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03"/>
  <workbookPr defaultThemeVersion="166925"/>
  <xr:revisionPtr revIDLastSave="0" documentId="8_{9253F03B-4FAC-4EF3-A14E-95156E9E4E65}" xr6:coauthVersionLast="47" xr6:coauthVersionMax="47" xr10:uidLastSave="{00000000-0000-0000-0000-000000000000}"/>
  <bookViews>
    <workbookView xWindow="240" yWindow="105" windowWidth="14805" windowHeight="8010" firstSheet="5" activeTab="4" xr2:uid="{00000000-000D-0000-FFFF-FFFF00000000}"/>
  </bookViews>
  <sheets>
    <sheet name="Formulario" sheetId="128" r:id="rId1"/>
    <sheet name="Datos iniciales " sheetId="127" r:id="rId2"/>
    <sheet name="PROVISIONALES" sheetId="124" r:id="rId3"/>
    <sheet name="APU PROVISIONALES" sheetId="135" r:id="rId4"/>
    <sheet name="ESTRUCTURA" sheetId="123" r:id="rId5"/>
    <sheet name="APU ESTRUCTURAS" sheetId="129" r:id="rId6"/>
    <sheet name="ARQUITECTURA" sheetId="122" r:id="rId7"/>
    <sheet name="APUS ARQUITECTURA" sheetId="157" r:id="rId8"/>
    <sheet name="SANITARIAS" sheetId="125" r:id="rId9"/>
    <sheet name="APUS SANITARIAS" sheetId="158" r:id="rId10"/>
    <sheet name="ELECTRICAS" sheetId="130" r:id="rId11"/>
    <sheet name="APUS ELECTRICAS" sheetId="159" r:id="rId12"/>
    <sheet name="COMUNICACIONES" sheetId="131" r:id="rId13"/>
    <sheet name="APUS COMUNICACIONES" sheetId="160" r:id="rId14"/>
    <sheet name="Obras provisionales" sheetId="119" r:id="rId15"/>
    <sheet name="Obras exteriores " sheetId="121" r:id="rId16"/>
    <sheet name="Estructura 1" sheetId="64" r:id="rId17"/>
    <sheet name="Estructura 2" sheetId="140" r:id="rId18"/>
    <sheet name="Escalera" sheetId="65" r:id="rId19"/>
    <sheet name="Cimentación 1 piso" sheetId="74" r:id="rId20"/>
    <sheet name="Cimentación 2 pisos " sheetId="72" r:id="rId21"/>
    <sheet name="Cimentación 3 pisos" sheetId="71" r:id="rId22"/>
    <sheet name="Cimentación 4 pisos" sheetId="62" r:id="rId23"/>
    <sheet name="Platea de Cimentacion" sheetId="138" r:id="rId24"/>
    <sheet name="BIBLIOTECA" sheetId="118" r:id="rId25"/>
    <sheet name="Laboratorio" sheetId="80" r:id="rId26"/>
    <sheet name="ALMACÉN MAT. DEP." sheetId="82" r:id="rId27"/>
    <sheet name="SUM" sheetId="83" r:id="rId28"/>
    <sheet name="MÓDULO DE CONECTIVIDAD" sheetId="84" r:id="rId29"/>
    <sheet name="DIRECCIÓN ADM" sheetId="85" r:id="rId30"/>
    <sheet name="SUBDIRECCIÓN " sheetId="155" r:id="rId31"/>
    <sheet name="SALA DE REUNIONES" sheetId="86" r:id="rId32"/>
    <sheet name="SECRETARÍA " sheetId="87" r:id="rId33"/>
    <sheet name="SALA DE ESPERA" sheetId="156" r:id="rId34"/>
    <sheet name="COORDINACIÓN ADMINISTRATIVA" sheetId="88" r:id="rId35"/>
    <sheet name="ARCHIVO" sheetId="89" r:id="rId36"/>
    <sheet name="TALLER CREATIVO PRIM" sheetId="90" r:id="rId37"/>
    <sheet name="TALLER CREATIVO SEC" sheetId="145" r:id="rId38"/>
    <sheet name="ECONOMATO" sheetId="91" r:id="rId39"/>
    <sheet name="COORDINACIÓN PEDAGÓGICA" sheetId="92" r:id="rId40"/>
    <sheet name="TÓPICO" sheetId="93" r:id="rId41"/>
    <sheet name="SALA DE PROFESORES" sheetId="94" r:id="rId42"/>
    <sheet name="TIENDA ESCOLAR" sheetId="95" r:id="rId43"/>
    <sheet name="ALMACÉN GENERAL " sheetId="96" r:id="rId44"/>
    <sheet name="SSHH ADM-HOMBRES" sheetId="97" r:id="rId45"/>
    <sheet name="SSHH ADM-MUJERES" sheetId="151" r:id="rId46"/>
    <sheet name="SSHH INICIAL-HOMBRES " sheetId="98" r:id="rId47"/>
    <sheet name="SSHH INICIAL- MUJERES" sheetId="147" r:id="rId48"/>
    <sheet name="SSHH PRIM-HOMBRES" sheetId="146" r:id="rId49"/>
    <sheet name="SSHH PRIM-MUJERES" sheetId="148" r:id="rId50"/>
    <sheet name="SSHH SEC-HOMBRES" sheetId="149" r:id="rId51"/>
    <sheet name="SSHH SEC-MUJERES" sheetId="150" r:id="rId52"/>
    <sheet name="VESTUARIOS HOMBRES" sheetId="99" r:id="rId53"/>
    <sheet name="VESTUARIOS MUJERES" sheetId="161" r:id="rId54"/>
    <sheet name="COCINA INICIAL" sheetId="152" r:id="rId55"/>
    <sheet name="COCINA PRIM- SEC" sheetId="100" r:id="rId56"/>
    <sheet name="OFICINA DE BIENESTAR" sheetId="102" r:id="rId57"/>
    <sheet name="LACTARIO" sheetId="103" r:id="rId58"/>
    <sheet name="CTO ELÉCTRICO" sheetId="104" r:id="rId59"/>
    <sheet name="DEP. MATERIAL DEPORTIVO" sheetId="106" r:id="rId60"/>
    <sheet name="DEPOSITO" sheetId="107" r:id="rId61"/>
    <sheet name="GUARDIANIA" sheetId="110" r:id="rId62"/>
    <sheet name="CUARTO DE LIMPIEZA" sheetId="112" r:id="rId63"/>
    <sheet name="AULA CICLO I" sheetId="113" r:id="rId64"/>
    <sheet name="AULA CICLO II" sheetId="141" r:id="rId65"/>
    <sheet name="AULA PRIMARIA" sheetId="143" r:id="rId66"/>
    <sheet name="AULA SECUNDARIA" sheetId="142" r:id="rId67"/>
    <sheet name="AULA PSICOMOTRICIDAD" sheetId="154" r:id="rId68"/>
    <sheet name="AULA DE INNOVACIÓN PRIM" sheetId="117" r:id="rId69"/>
    <sheet name="AULA DE INNOVACIÓN SEC" sheetId="144" r:id="rId70"/>
    <sheet name="TALLER EPT " sheetId="116" r:id="rId71"/>
    <sheet name="MAESTRANZA" sheetId="111" r:id="rId72"/>
    <sheet name="RESIDUOS" sheetId="109" r:id="rId73"/>
    <sheet name="CIRCULACIÓN " sheetId="108" r:id="rId74"/>
    <sheet name="ESCALERA PRIM" sheetId="153" r:id="rId75"/>
    <sheet name="ESCALERA SEC" sheetId="105" r:id="rId76"/>
    <sheet name="INGRESO" sheetId="101" r:id="rId7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23" l="1"/>
  <c r="H29" i="123"/>
  <c r="H27" i="123"/>
  <c r="J63" i="123"/>
  <c r="C546" i="129"/>
  <c r="C568" i="129"/>
  <c r="C584" i="129"/>
  <c r="C101" i="129"/>
  <c r="C116" i="129"/>
  <c r="I12" i="123"/>
  <c r="I130" i="129"/>
  <c r="I121" i="129"/>
  <c r="I122" i="129"/>
  <c r="I120" i="129"/>
  <c r="G117" i="129"/>
  <c r="K120" i="129"/>
  <c r="K121" i="129"/>
  <c r="K122" i="129"/>
  <c r="K123" i="129"/>
  <c r="K125" i="129"/>
  <c r="K126" i="129"/>
  <c r="K127" i="129"/>
  <c r="J129" i="129"/>
  <c r="K129" i="129"/>
  <c r="K130" i="129"/>
  <c r="K131" i="129"/>
  <c r="C138" i="129"/>
  <c r="G139" i="129"/>
  <c r="I113" i="129"/>
  <c r="I112" i="129"/>
  <c r="I111" i="129"/>
  <c r="I106" i="129"/>
  <c r="I107" i="129"/>
  <c r="I105" i="129"/>
  <c r="G102" i="129"/>
  <c r="K105" i="129"/>
  <c r="K106" i="129"/>
  <c r="K107" i="129"/>
  <c r="K108" i="129"/>
  <c r="J110" i="129"/>
  <c r="K110" i="129"/>
  <c r="K111" i="129"/>
  <c r="K112" i="129"/>
  <c r="K113" i="129"/>
  <c r="K114" i="129"/>
  <c r="C679" i="129"/>
  <c r="C696" i="129"/>
  <c r="C712" i="129"/>
  <c r="C728" i="129"/>
  <c r="C753" i="129"/>
  <c r="C770" i="129"/>
  <c r="C786" i="129"/>
  <c r="C807" i="129"/>
  <c r="C824" i="129"/>
  <c r="C654" i="129"/>
  <c r="C840" i="129"/>
  <c r="C638" i="129"/>
  <c r="C864" i="129"/>
  <c r="I651" i="129"/>
  <c r="I643" i="129"/>
  <c r="I642" i="129"/>
  <c r="C881" i="129"/>
  <c r="C622" i="129"/>
  <c r="I627" i="129"/>
  <c r="I626" i="129"/>
  <c r="C600" i="129"/>
  <c r="I619" i="129"/>
  <c r="I618" i="129"/>
  <c r="I617" i="129"/>
  <c r="C962" i="129"/>
  <c r="I605" i="129"/>
  <c r="I606" i="129"/>
  <c r="C955" i="129"/>
  <c r="C936" i="129"/>
  <c r="C917" i="129"/>
  <c r="C898" i="129"/>
  <c r="C975" i="129"/>
  <c r="C990" i="129"/>
  <c r="I604" i="129"/>
  <c r="G639" i="129"/>
  <c r="K642" i="129"/>
  <c r="K643" i="129"/>
  <c r="K644" i="129"/>
  <c r="K646" i="129"/>
  <c r="J647" i="129"/>
  <c r="K647" i="129"/>
  <c r="K648" i="129"/>
  <c r="J650" i="129"/>
  <c r="K650" i="129"/>
  <c r="K651" i="129"/>
  <c r="K652" i="129"/>
  <c r="G623" i="129"/>
  <c r="K626" i="129"/>
  <c r="K627" i="129"/>
  <c r="K628" i="129"/>
  <c r="K630" i="129"/>
  <c r="K631" i="129"/>
  <c r="K632" i="129"/>
  <c r="K633" i="129"/>
  <c r="J635" i="129"/>
  <c r="K635" i="129"/>
  <c r="K636" i="129"/>
  <c r="G601" i="129"/>
  <c r="K604" i="129"/>
  <c r="K605" i="129"/>
  <c r="K606" i="129"/>
  <c r="K609" i="129"/>
  <c r="K610" i="129"/>
  <c r="K611" i="129"/>
  <c r="K612" i="129"/>
  <c r="K613" i="129"/>
  <c r="K614" i="129"/>
  <c r="K617" i="129"/>
  <c r="K618" i="129"/>
  <c r="K619" i="129"/>
  <c r="C530" i="129"/>
  <c r="C1119" i="129"/>
  <c r="C513" i="129"/>
  <c r="C492" i="129"/>
  <c r="I543" i="129"/>
  <c r="I535" i="129"/>
  <c r="I534" i="129"/>
  <c r="K1123" i="129"/>
  <c r="K1124" i="129" s="1"/>
  <c r="K1120" i="129"/>
  <c r="I89" i="123" s="1"/>
  <c r="G1120" i="129"/>
  <c r="I519" i="129"/>
  <c r="I518" i="129"/>
  <c r="I517" i="129"/>
  <c r="I510" i="129"/>
  <c r="I509" i="129"/>
  <c r="I498" i="129"/>
  <c r="I497" i="129"/>
  <c r="I496" i="129"/>
  <c r="G531" i="129"/>
  <c r="K534" i="129"/>
  <c r="K535" i="129"/>
  <c r="K536" i="129"/>
  <c r="K538" i="129"/>
  <c r="J539" i="129"/>
  <c r="K539" i="129"/>
  <c r="K540" i="129"/>
  <c r="J542" i="129"/>
  <c r="K542" i="129"/>
  <c r="K543" i="129"/>
  <c r="K544" i="129"/>
  <c r="G514" i="129"/>
  <c r="K517" i="129"/>
  <c r="K518" i="129"/>
  <c r="K519" i="129"/>
  <c r="K520" i="129"/>
  <c r="K522" i="129"/>
  <c r="K523" i="129"/>
  <c r="K524" i="129"/>
  <c r="K525" i="129"/>
  <c r="J527" i="129"/>
  <c r="K527" i="129"/>
  <c r="K528" i="129"/>
  <c r="G493" i="129"/>
  <c r="K496" i="129"/>
  <c r="K497" i="129"/>
  <c r="K498" i="129"/>
  <c r="K499" i="129"/>
  <c r="K501" i="129"/>
  <c r="K502" i="129"/>
  <c r="K503" i="129"/>
  <c r="K504" i="129"/>
  <c r="K505" i="129"/>
  <c r="K506" i="129"/>
  <c r="J508" i="129"/>
  <c r="K508" i="129"/>
  <c r="K509" i="129"/>
  <c r="K510" i="129"/>
  <c r="K511" i="129"/>
  <c r="I1109" i="129"/>
  <c r="I1108" i="129"/>
  <c r="I1094" i="129"/>
  <c r="I1093" i="129"/>
  <c r="I1080" i="129"/>
  <c r="K1113" i="129"/>
  <c r="K1112" i="129"/>
  <c r="K1114" i="129" s="1"/>
  <c r="K1109" i="129"/>
  <c r="K1108" i="129"/>
  <c r="K1110" i="129" s="1"/>
  <c r="J1116" i="129" s="1"/>
  <c r="K1116" i="129" s="1"/>
  <c r="K1117" i="129" s="1"/>
  <c r="K1105" i="129"/>
  <c r="I88" i="123" s="1"/>
  <c r="G1105" i="129"/>
  <c r="K1098" i="129"/>
  <c r="K1097" i="129"/>
  <c r="K1099" i="129" s="1"/>
  <c r="K1094" i="129"/>
  <c r="K1093" i="129"/>
  <c r="K1095" i="129" s="1"/>
  <c r="J1101" i="129" s="1"/>
  <c r="K1101" i="129" s="1"/>
  <c r="K1102" i="129" s="1"/>
  <c r="K1090" i="129"/>
  <c r="I87" i="123" s="1"/>
  <c r="G1090" i="129"/>
  <c r="K1083" i="129"/>
  <c r="K1084" i="129" s="1"/>
  <c r="K1080" i="129"/>
  <c r="K1081" i="129" s="1"/>
  <c r="J1086" i="129" s="1"/>
  <c r="K1086" i="129" s="1"/>
  <c r="K1087" i="129" s="1"/>
  <c r="K1077" i="129"/>
  <c r="I86" i="123" s="1"/>
  <c r="G1077" i="129"/>
  <c r="K1073" i="129"/>
  <c r="K1074" i="129" s="1"/>
  <c r="K1070" i="129"/>
  <c r="I85" i="123" s="1"/>
  <c r="G1070" i="129"/>
  <c r="I1066" i="129"/>
  <c r="I1055" i="129"/>
  <c r="I1056" i="129"/>
  <c r="I1057" i="129"/>
  <c r="I1054" i="129"/>
  <c r="K1066" i="129"/>
  <c r="K1062" i="129"/>
  <c r="K1061" i="129"/>
  <c r="K1060" i="129"/>
  <c r="K1063" i="129" s="1"/>
  <c r="K1057" i="129"/>
  <c r="K1056" i="129"/>
  <c r="K1055" i="129"/>
  <c r="K1054" i="129"/>
  <c r="K1058" i="129" s="1"/>
  <c r="J1065" i="129" s="1"/>
  <c r="K1065" i="129" s="1"/>
  <c r="K1067" i="129" s="1"/>
  <c r="K1051" i="129"/>
  <c r="I84" i="123" s="1"/>
  <c r="G1051" i="129"/>
  <c r="I1047" i="129"/>
  <c r="I1036" i="129"/>
  <c r="I1037" i="129"/>
  <c r="I1038" i="129"/>
  <c r="I1035" i="129"/>
  <c r="K1047" i="129"/>
  <c r="K1043" i="129"/>
  <c r="K1042" i="129"/>
  <c r="K1041" i="129"/>
  <c r="K1044" i="129" s="1"/>
  <c r="K1038" i="129"/>
  <c r="K1037" i="129"/>
  <c r="K1036" i="129"/>
  <c r="K1035" i="129"/>
  <c r="K1039" i="129" s="1"/>
  <c r="J1046" i="129" s="1"/>
  <c r="K1046" i="129" s="1"/>
  <c r="K1048" i="129" s="1"/>
  <c r="K1032" i="129"/>
  <c r="I83" i="123" s="1"/>
  <c r="G1032" i="129"/>
  <c r="B672" i="157"/>
  <c r="C1050" i="129"/>
  <c r="C1069" i="129"/>
  <c r="C1076" i="129"/>
  <c r="C1089" i="129"/>
  <c r="C1104" i="129"/>
  <c r="C1031" i="129"/>
  <c r="B711" i="157"/>
  <c r="B638" i="157"/>
  <c r="B617" i="157"/>
  <c r="B624" i="157"/>
  <c r="B631" i="157"/>
  <c r="B658" i="157"/>
  <c r="B665" i="157"/>
  <c r="B704" i="157"/>
  <c r="B540" i="157"/>
  <c r="B524" i="157"/>
  <c r="B557" i="157"/>
  <c r="B574" i="157"/>
  <c r="B590" i="157"/>
  <c r="B606" i="157"/>
  <c r="B483" i="157"/>
  <c r="B503" i="157"/>
  <c r="C1211" i="129"/>
  <c r="C1196" i="129"/>
  <c r="C1183" i="129"/>
  <c r="B317" i="157"/>
  <c r="I1216" i="129"/>
  <c r="I1215" i="129"/>
  <c r="I1201" i="129"/>
  <c r="I1200" i="129"/>
  <c r="B291" i="157"/>
  <c r="B339" i="157"/>
  <c r="B346" i="157"/>
  <c r="B363" i="157"/>
  <c r="B382" i="157"/>
  <c r="B402" i="157"/>
  <c r="B409" i="157"/>
  <c r="B429" i="157"/>
  <c r="B448" i="157"/>
  <c r="B455" i="157"/>
  <c r="B462" i="157"/>
  <c r="B469" i="157"/>
  <c r="M543" i="157"/>
  <c r="B476" i="157"/>
  <c r="M544" i="157"/>
  <c r="K1220" i="129"/>
  <c r="K1219" i="129"/>
  <c r="K1221" i="129" s="1"/>
  <c r="K1216" i="129"/>
  <c r="K1215" i="129"/>
  <c r="K1217" i="129" s="1"/>
  <c r="J1223" i="129" s="1"/>
  <c r="K1223" i="129" s="1"/>
  <c r="K1224" i="129" s="1"/>
  <c r="K1212" i="129"/>
  <c r="I96" i="123" s="1"/>
  <c r="G1212" i="129"/>
  <c r="K1205" i="129"/>
  <c r="K1204" i="129"/>
  <c r="K1206" i="129" s="1"/>
  <c r="K1201" i="129"/>
  <c r="K1200" i="129"/>
  <c r="K1202" i="129" s="1"/>
  <c r="J1208" i="129" s="1"/>
  <c r="K1208" i="129" s="1"/>
  <c r="K1209" i="129" s="1"/>
  <c r="K1197" i="129"/>
  <c r="I95" i="123" s="1"/>
  <c r="G1197" i="129"/>
  <c r="I1187" i="129"/>
  <c r="K1190" i="129"/>
  <c r="K1191" i="129" s="1"/>
  <c r="K1187" i="129"/>
  <c r="K1188" i="129" s="1"/>
  <c r="J1193" i="129" s="1"/>
  <c r="K1193" i="129" s="1"/>
  <c r="K1194" i="129" s="1"/>
  <c r="K1184" i="129"/>
  <c r="I94" i="123" s="1"/>
  <c r="G1184" i="129"/>
  <c r="B126" i="157"/>
  <c r="B147" i="157"/>
  <c r="C1164" i="129"/>
  <c r="I1180" i="129"/>
  <c r="B91" i="157"/>
  <c r="B167" i="157"/>
  <c r="B187" i="157"/>
  <c r="B211" i="157"/>
  <c r="B231" i="157"/>
  <c r="B251" i="157"/>
  <c r="B271" i="157"/>
  <c r="I1169" i="129"/>
  <c r="I1170" i="129"/>
  <c r="I1171" i="129"/>
  <c r="B31" i="157"/>
  <c r="B49" i="157"/>
  <c r="B73" i="157"/>
  <c r="I1168" i="129"/>
  <c r="K1180" i="129"/>
  <c r="K1176" i="129"/>
  <c r="K1175" i="129"/>
  <c r="K1174" i="129"/>
  <c r="K1177" i="129" s="1"/>
  <c r="K1171" i="129"/>
  <c r="K1170" i="129"/>
  <c r="K1169" i="129"/>
  <c r="K1168" i="129"/>
  <c r="K1172" i="129" s="1"/>
  <c r="J1179" i="129" s="1"/>
  <c r="K1179" i="129" s="1"/>
  <c r="K1181" i="129" s="1"/>
  <c r="K1165" i="129"/>
  <c r="I93" i="123" s="1"/>
  <c r="G1165" i="129"/>
  <c r="B4" i="157"/>
  <c r="B208" i="158"/>
  <c r="B144" i="158"/>
  <c r="B162" i="158"/>
  <c r="B177" i="158"/>
  <c r="B194" i="158"/>
  <c r="B201" i="158"/>
  <c r="C1293" i="129"/>
  <c r="I1298" i="129"/>
  <c r="I1297" i="129"/>
  <c r="K1302" i="129"/>
  <c r="K1301" i="129"/>
  <c r="K1303" i="129" s="1"/>
  <c r="K1298" i="129"/>
  <c r="K1297" i="129"/>
  <c r="K1299" i="129" s="1"/>
  <c r="J1305" i="129" s="1"/>
  <c r="K1305" i="129" s="1"/>
  <c r="K1306" i="129" s="1"/>
  <c r="K1294" i="129"/>
  <c r="I102" i="123" s="1"/>
  <c r="G1294" i="129"/>
  <c r="B11" i="158"/>
  <c r="B18" i="158"/>
  <c r="B25" i="158"/>
  <c r="B31" i="158"/>
  <c r="B49" i="158"/>
  <c r="B68" i="158"/>
  <c r="B75" i="158"/>
  <c r="B90" i="158"/>
  <c r="B107" i="158"/>
  <c r="B126" i="158"/>
  <c r="B4" i="158"/>
  <c r="B113" i="159"/>
  <c r="B132" i="159"/>
  <c r="B139" i="159"/>
  <c r="C1261" i="129"/>
  <c r="B4" i="159"/>
  <c r="B25" i="159"/>
  <c r="B47" i="159"/>
  <c r="B65" i="159"/>
  <c r="B73" i="159"/>
  <c r="B87" i="159"/>
  <c r="B105" i="159"/>
  <c r="I1265" i="129"/>
  <c r="K1268" i="129"/>
  <c r="K1269" i="129" s="1"/>
  <c r="K1265" i="129"/>
  <c r="K1266" i="129" s="1"/>
  <c r="J1271" i="129" s="1"/>
  <c r="K1271" i="129" s="1"/>
  <c r="K1272" i="129" s="1"/>
  <c r="K1262" i="129"/>
  <c r="I100" i="123" s="1"/>
  <c r="G1262" i="129"/>
  <c r="B454" i="160"/>
  <c r="B468" i="160"/>
  <c r="B483" i="160"/>
  <c r="B496" i="160"/>
  <c r="B274" i="160"/>
  <c r="B288" i="160"/>
  <c r="B302" i="160"/>
  <c r="B317" i="160"/>
  <c r="B332" i="160"/>
  <c r="B347" i="160"/>
  <c r="B362" i="160"/>
  <c r="B376" i="160"/>
  <c r="B390" i="160"/>
  <c r="B407" i="160"/>
  <c r="B421" i="160"/>
  <c r="B439" i="160"/>
  <c r="C1005" i="129"/>
  <c r="C1012" i="129"/>
  <c r="B22" i="160"/>
  <c r="B40" i="160"/>
  <c r="B58" i="160"/>
  <c r="B76" i="160"/>
  <c r="B94" i="160"/>
  <c r="B112" i="160"/>
  <c r="B130" i="160"/>
  <c r="B145" i="160"/>
  <c r="B160" i="160"/>
  <c r="B175" i="160"/>
  <c r="B190" i="160"/>
  <c r="B204" i="160"/>
  <c r="B218" i="160"/>
  <c r="B232" i="160"/>
  <c r="B246" i="160"/>
  <c r="B260" i="160"/>
  <c r="B4" i="160"/>
  <c r="C1126" i="129"/>
  <c r="B512" i="160"/>
  <c r="C1145" i="129"/>
  <c r="C1226" i="129"/>
  <c r="C1245" i="129"/>
  <c r="C1274" i="129"/>
  <c r="C1308" i="129"/>
  <c r="C1315" i="129"/>
  <c r="C1324" i="129"/>
  <c r="C1334" i="129"/>
  <c r="C259" i="129"/>
  <c r="C297" i="129"/>
  <c r="C313" i="129"/>
  <c r="C329" i="129"/>
  <c r="C351" i="129"/>
  <c r="C367" i="129"/>
  <c r="C385" i="129"/>
  <c r="C406" i="129"/>
  <c r="C422" i="129"/>
  <c r="C438" i="129"/>
  <c r="C459" i="129"/>
  <c r="C476" i="129"/>
  <c r="C275" i="129"/>
  <c r="C220" i="129"/>
  <c r="C201" i="129"/>
  <c r="C160" i="129"/>
  <c r="C1471" i="129"/>
  <c r="C182" i="129"/>
  <c r="C1487" i="129"/>
  <c r="C88" i="129"/>
  <c r="C77" i="129"/>
  <c r="C690" i="135"/>
  <c r="C683" i="135"/>
  <c r="C676" i="135"/>
  <c r="C669" i="135"/>
  <c r="C62" i="129"/>
  <c r="C662" i="135"/>
  <c r="C45" i="129"/>
  <c r="C655" i="135"/>
  <c r="C648" i="135"/>
  <c r="C28" i="129"/>
  <c r="C641" i="135"/>
  <c r="C634" i="135"/>
  <c r="C17" i="129"/>
  <c r="C1" i="129"/>
  <c r="C619" i="135"/>
  <c r="C605" i="135"/>
  <c r="C589" i="135"/>
  <c r="C577" i="135"/>
  <c r="C561" i="135"/>
  <c r="C546" i="135"/>
  <c r="C532" i="135"/>
  <c r="C517" i="135"/>
  <c r="C499" i="135"/>
  <c r="C486" i="135"/>
  <c r="C459" i="135"/>
  <c r="C466" i="135"/>
  <c r="C441" i="135"/>
  <c r="C428" i="135"/>
  <c r="C421" i="135"/>
  <c r="C412" i="135"/>
  <c r="C395" i="135"/>
  <c r="C382" i="135"/>
  <c r="C374" i="135"/>
  <c r="C366" i="135"/>
  <c r="C354" i="135"/>
  <c r="C345" i="135"/>
  <c r="C331" i="135"/>
  <c r="C319" i="135"/>
  <c r="C293" i="135"/>
  <c r="C274" i="135"/>
  <c r="C254" i="135"/>
  <c r="C247" i="135"/>
  <c r="C240" i="135"/>
  <c r="C229" i="135"/>
  <c r="C219" i="135"/>
  <c r="C212" i="135"/>
  <c r="C205" i="135"/>
  <c r="C198" i="135"/>
  <c r="C191" i="135"/>
  <c r="C168" i="135"/>
  <c r="C139" i="135"/>
  <c r="C123" i="135"/>
  <c r="C99" i="135"/>
  <c r="C75" i="135"/>
  <c r="C51" i="135"/>
  <c r="C27" i="135"/>
  <c r="C2" i="135"/>
  <c r="B69" i="127"/>
  <c r="D17" i="127"/>
  <c r="D45" i="127"/>
  <c r="M2" i="161" s="1"/>
  <c r="H16" i="125"/>
  <c r="E45" i="103"/>
  <c r="E46" i="103"/>
  <c r="E44" i="103"/>
  <c r="E45" i="110"/>
  <c r="E46" i="110"/>
  <c r="E46" i="150"/>
  <c r="E45" i="149"/>
  <c r="E46" i="149"/>
  <c r="E45" i="112"/>
  <c r="E46" i="112"/>
  <c r="E44" i="112"/>
  <c r="E46" i="148"/>
  <c r="E45" i="146"/>
  <c r="E46" i="146"/>
  <c r="E46" i="147"/>
  <c r="E45" i="98"/>
  <c r="E46" i="98"/>
  <c r="E46" i="151"/>
  <c r="E45" i="97"/>
  <c r="E46" i="97"/>
  <c r="E45" i="95"/>
  <c r="E46" i="95"/>
  <c r="E45" i="93"/>
  <c r="E46" i="93"/>
  <c r="E46" i="145"/>
  <c r="E45" i="145"/>
  <c r="E44" i="145"/>
  <c r="E45" i="90"/>
  <c r="E46" i="90"/>
  <c r="J212" i="158"/>
  <c r="J213" i="158" s="1"/>
  <c r="J209" i="158"/>
  <c r="I28" i="125" s="1"/>
  <c r="F209" i="158"/>
  <c r="J205" i="158"/>
  <c r="J206" i="158" s="1"/>
  <c r="J202" i="158"/>
  <c r="I27" i="125" s="1"/>
  <c r="F202" i="158"/>
  <c r="J198" i="158"/>
  <c r="J199" i="158" s="1"/>
  <c r="J195" i="158"/>
  <c r="I26" i="125" s="1"/>
  <c r="F195" i="158"/>
  <c r="E45" i="83"/>
  <c r="E46" i="83"/>
  <c r="J715" i="157"/>
  <c r="J716" i="157" s="1"/>
  <c r="J712" i="157"/>
  <c r="I66" i="122" s="1"/>
  <c r="F712" i="157"/>
  <c r="J708" i="157"/>
  <c r="J709" i="157" s="1"/>
  <c r="J705" i="157"/>
  <c r="I65" i="122" s="1"/>
  <c r="F705" i="157"/>
  <c r="J698" i="157"/>
  <c r="J697" i="157"/>
  <c r="J696" i="157"/>
  <c r="J695" i="157"/>
  <c r="J694" i="157"/>
  <c r="J693" i="157"/>
  <c r="J692" i="157"/>
  <c r="J691" i="157"/>
  <c r="J690" i="157"/>
  <c r="J689" i="157"/>
  <c r="J688" i="157"/>
  <c r="J687" i="157"/>
  <c r="J686" i="157"/>
  <c r="J685" i="157"/>
  <c r="J684" i="157"/>
  <c r="J683" i="157"/>
  <c r="J682" i="157"/>
  <c r="J699" i="157" s="1"/>
  <c r="H679" i="157"/>
  <c r="J679" i="157" s="1"/>
  <c r="H678" i="157"/>
  <c r="J678" i="157" s="1"/>
  <c r="H677" i="157"/>
  <c r="J677" i="157" s="1"/>
  <c r="H676" i="157"/>
  <c r="J676" i="157" s="1"/>
  <c r="J680" i="157" s="1"/>
  <c r="I701" i="157" s="1"/>
  <c r="J701" i="157" s="1"/>
  <c r="J702" i="157" s="1"/>
  <c r="J673" i="157"/>
  <c r="I63" i="122" s="1"/>
  <c r="F673" i="157"/>
  <c r="J669" i="157"/>
  <c r="J670" i="157" s="1"/>
  <c r="J666" i="157"/>
  <c r="I61" i="122" s="1"/>
  <c r="F666" i="157"/>
  <c r="J662" i="157"/>
  <c r="J663" i="157" s="1"/>
  <c r="J659" i="157"/>
  <c r="I60" i="122" s="1"/>
  <c r="F659" i="157"/>
  <c r="J652" i="157"/>
  <c r="J651" i="157"/>
  <c r="J650" i="157"/>
  <c r="J649" i="157"/>
  <c r="J648" i="157"/>
  <c r="J647" i="157"/>
  <c r="J653" i="157" s="1"/>
  <c r="H644" i="157"/>
  <c r="J644" i="157" s="1"/>
  <c r="H643" i="157"/>
  <c r="J643" i="157" s="1"/>
  <c r="H642" i="157"/>
  <c r="J642" i="157" s="1"/>
  <c r="J645" i="157" s="1"/>
  <c r="I655" i="157" s="1"/>
  <c r="J655" i="157" s="1"/>
  <c r="J656" i="157" s="1"/>
  <c r="J639" i="157"/>
  <c r="I59" i="122" s="1"/>
  <c r="F639" i="157"/>
  <c r="J635" i="157"/>
  <c r="J636" i="157" s="1"/>
  <c r="J632" i="157"/>
  <c r="I58" i="122" s="1"/>
  <c r="F632" i="157"/>
  <c r="J628" i="157"/>
  <c r="J629" i="157" s="1"/>
  <c r="J625" i="157"/>
  <c r="I56" i="122" s="1"/>
  <c r="F625" i="157"/>
  <c r="J621" i="157"/>
  <c r="J622" i="157" s="1"/>
  <c r="J618" i="157"/>
  <c r="I54" i="122" s="1"/>
  <c r="F618" i="157"/>
  <c r="H611" i="157"/>
  <c r="J611" i="157" s="1"/>
  <c r="H610" i="157"/>
  <c r="J610" i="157" s="1"/>
  <c r="J612" i="157" s="1"/>
  <c r="I614" i="157" s="1"/>
  <c r="J614" i="157" s="1"/>
  <c r="J615" i="157" s="1"/>
  <c r="J607" i="157"/>
  <c r="I52" i="122" s="1"/>
  <c r="F607" i="157"/>
  <c r="J600" i="157"/>
  <c r="J599" i="157"/>
  <c r="J601" i="157" s="1"/>
  <c r="H596" i="157"/>
  <c r="J596" i="157" s="1"/>
  <c r="H595" i="157"/>
  <c r="J595" i="157" s="1"/>
  <c r="H594" i="157"/>
  <c r="J594" i="157" s="1"/>
  <c r="J597" i="157" s="1"/>
  <c r="I603" i="157" s="1"/>
  <c r="J603" i="157" s="1"/>
  <c r="J604" i="157" s="1"/>
  <c r="J591" i="157"/>
  <c r="I50" i="122" s="1"/>
  <c r="F591" i="157"/>
  <c r="J584" i="157"/>
  <c r="J583" i="157"/>
  <c r="J585" i="157" s="1"/>
  <c r="H580" i="157"/>
  <c r="J580" i="157" s="1"/>
  <c r="H579" i="157"/>
  <c r="J579" i="157" s="1"/>
  <c r="H578" i="157"/>
  <c r="J578" i="157" s="1"/>
  <c r="J581" i="157" s="1"/>
  <c r="I587" i="157" s="1"/>
  <c r="J587" i="157" s="1"/>
  <c r="J588" i="157" s="1"/>
  <c r="J575" i="157"/>
  <c r="I48" i="122" s="1"/>
  <c r="F575" i="157"/>
  <c r="J568" i="157"/>
  <c r="J567" i="157"/>
  <c r="J566" i="157"/>
  <c r="J569" i="157" s="1"/>
  <c r="H563" i="157"/>
  <c r="J563" i="157" s="1"/>
  <c r="H562" i="157"/>
  <c r="J562" i="157" s="1"/>
  <c r="H561" i="157"/>
  <c r="J561" i="157" s="1"/>
  <c r="J564" i="157" s="1"/>
  <c r="I571" i="157" s="1"/>
  <c r="J571" i="157" s="1"/>
  <c r="J572" i="157" s="1"/>
  <c r="J558" i="157"/>
  <c r="I46" i="122" s="1"/>
  <c r="F558" i="157"/>
  <c r="J551" i="157"/>
  <c r="J550" i="157"/>
  <c r="J549" i="157"/>
  <c r="J552" i="157" s="1"/>
  <c r="H546" i="157"/>
  <c r="J546" i="157" s="1"/>
  <c r="H545" i="157"/>
  <c r="J545" i="157" s="1"/>
  <c r="H544" i="157"/>
  <c r="J544" i="157" s="1"/>
  <c r="J547" i="157" s="1"/>
  <c r="I554" i="157" s="1"/>
  <c r="J554" i="157" s="1"/>
  <c r="J555" i="157" s="1"/>
  <c r="J541" i="157"/>
  <c r="I45" i="122" s="1"/>
  <c r="F541" i="157"/>
  <c r="J534" i="157"/>
  <c r="J533" i="157"/>
  <c r="J535" i="157" s="1"/>
  <c r="H530" i="157"/>
  <c r="J530" i="157" s="1"/>
  <c r="H529" i="157"/>
  <c r="J529" i="157" s="1"/>
  <c r="H528" i="157"/>
  <c r="J528" i="157" s="1"/>
  <c r="J531" i="157" s="1"/>
  <c r="I537" i="157" s="1"/>
  <c r="J537" i="157" s="1"/>
  <c r="J538" i="157" s="1"/>
  <c r="J525" i="157"/>
  <c r="I44" i="122" s="1"/>
  <c r="F525" i="157"/>
  <c r="F5" i="160"/>
  <c r="H8" i="160"/>
  <c r="J8" i="160"/>
  <c r="H9" i="160"/>
  <c r="J9" i="160"/>
  <c r="J10" i="160"/>
  <c r="J12" i="160"/>
  <c r="J13" i="160"/>
  <c r="J14" i="160"/>
  <c r="J15" i="160"/>
  <c r="J16" i="160"/>
  <c r="J17" i="160"/>
  <c r="I19" i="160"/>
  <c r="J19" i="160"/>
  <c r="J20" i="160"/>
  <c r="F23" i="160"/>
  <c r="H26" i="160"/>
  <c r="J26" i="160"/>
  <c r="H27" i="160"/>
  <c r="J27" i="160"/>
  <c r="J28" i="160"/>
  <c r="J30" i="160"/>
  <c r="J31" i="160"/>
  <c r="J32" i="160"/>
  <c r="J33" i="160"/>
  <c r="J34" i="160"/>
  <c r="J35" i="160"/>
  <c r="I37" i="160"/>
  <c r="J37" i="160"/>
  <c r="J38" i="160"/>
  <c r="F41" i="160"/>
  <c r="H44" i="160"/>
  <c r="J44" i="160"/>
  <c r="H45" i="160"/>
  <c r="J45" i="160"/>
  <c r="J46" i="160"/>
  <c r="J48" i="160"/>
  <c r="J49" i="160"/>
  <c r="J50" i="160"/>
  <c r="J51" i="160"/>
  <c r="J52" i="160"/>
  <c r="J53" i="160"/>
  <c r="I55" i="160"/>
  <c r="J55" i="160"/>
  <c r="J56" i="160"/>
  <c r="F59" i="160"/>
  <c r="H62" i="160"/>
  <c r="J62" i="160"/>
  <c r="H63" i="160"/>
  <c r="J63" i="160"/>
  <c r="H64" i="160"/>
  <c r="J64" i="160"/>
  <c r="J65" i="160"/>
  <c r="J67" i="160"/>
  <c r="J68" i="160"/>
  <c r="J69" i="160"/>
  <c r="J70" i="160"/>
  <c r="J71" i="160"/>
  <c r="I73" i="160"/>
  <c r="J73" i="160"/>
  <c r="J74" i="160"/>
  <c r="F77" i="160"/>
  <c r="H80" i="160"/>
  <c r="J80" i="160"/>
  <c r="H81" i="160"/>
  <c r="J81" i="160"/>
  <c r="H82" i="160"/>
  <c r="J82" i="160"/>
  <c r="J83" i="160"/>
  <c r="J85" i="160"/>
  <c r="J86" i="160"/>
  <c r="J87" i="160"/>
  <c r="J88" i="160"/>
  <c r="J89" i="160"/>
  <c r="I91" i="160"/>
  <c r="J91" i="160"/>
  <c r="J92" i="160"/>
  <c r="F95" i="160"/>
  <c r="H98" i="160"/>
  <c r="J98" i="160"/>
  <c r="H99" i="160"/>
  <c r="J99" i="160"/>
  <c r="H100" i="160"/>
  <c r="J100" i="160"/>
  <c r="J101" i="160"/>
  <c r="J103" i="160"/>
  <c r="J104" i="160"/>
  <c r="J105" i="160"/>
  <c r="J106" i="160"/>
  <c r="J107" i="160"/>
  <c r="I109" i="160"/>
  <c r="J109" i="160"/>
  <c r="J110" i="160"/>
  <c r="F113" i="160"/>
  <c r="H116" i="160"/>
  <c r="J116" i="160"/>
  <c r="H117" i="160"/>
  <c r="J117" i="160"/>
  <c r="H118" i="160"/>
  <c r="J118" i="160"/>
  <c r="J119" i="160"/>
  <c r="J121" i="160"/>
  <c r="J122" i="160"/>
  <c r="J123" i="160"/>
  <c r="J124" i="160"/>
  <c r="J125" i="160"/>
  <c r="I127" i="160"/>
  <c r="J127" i="160"/>
  <c r="J128" i="160"/>
  <c r="F131" i="160"/>
  <c r="H134" i="160"/>
  <c r="J134" i="160"/>
  <c r="H135" i="160"/>
  <c r="J135" i="160"/>
  <c r="H136" i="160"/>
  <c r="J136" i="160"/>
  <c r="J137" i="160"/>
  <c r="J139" i="160"/>
  <c r="J140" i="160"/>
  <c r="I142" i="160"/>
  <c r="J142" i="160"/>
  <c r="J143" i="160"/>
  <c r="F146" i="160"/>
  <c r="H149" i="160"/>
  <c r="J149" i="160"/>
  <c r="H150" i="160"/>
  <c r="J150" i="160"/>
  <c r="H151" i="160"/>
  <c r="J151" i="160"/>
  <c r="J152" i="160"/>
  <c r="J154" i="160"/>
  <c r="J155" i="160"/>
  <c r="I157" i="160"/>
  <c r="J157" i="160"/>
  <c r="J158" i="160"/>
  <c r="F161" i="160"/>
  <c r="H164" i="160"/>
  <c r="J164" i="160"/>
  <c r="H165" i="160"/>
  <c r="J165" i="160"/>
  <c r="H166" i="160"/>
  <c r="J166" i="160"/>
  <c r="J167" i="160"/>
  <c r="J169" i="160"/>
  <c r="J170" i="160"/>
  <c r="I172" i="160"/>
  <c r="J172" i="160"/>
  <c r="J173" i="160"/>
  <c r="F176" i="160"/>
  <c r="H179" i="160"/>
  <c r="J179" i="160"/>
  <c r="H180" i="160"/>
  <c r="J180" i="160"/>
  <c r="H181" i="160"/>
  <c r="J181" i="160"/>
  <c r="J182" i="160"/>
  <c r="J184" i="160"/>
  <c r="J185" i="160"/>
  <c r="I187" i="160"/>
  <c r="J187" i="160"/>
  <c r="J188" i="160"/>
  <c r="F191" i="160"/>
  <c r="H194" i="160"/>
  <c r="J194" i="160"/>
  <c r="H195" i="160"/>
  <c r="J195" i="160"/>
  <c r="J196" i="160"/>
  <c r="J198" i="160"/>
  <c r="J199" i="160"/>
  <c r="I201" i="160"/>
  <c r="J201" i="160"/>
  <c r="J202" i="160"/>
  <c r="F205" i="160"/>
  <c r="H208" i="160"/>
  <c r="J208" i="160"/>
  <c r="H209" i="160"/>
  <c r="J209" i="160"/>
  <c r="J210" i="160"/>
  <c r="J212" i="160"/>
  <c r="J213" i="160"/>
  <c r="I215" i="160"/>
  <c r="J215" i="160"/>
  <c r="J216" i="160"/>
  <c r="F219" i="160"/>
  <c r="H222" i="160"/>
  <c r="J222" i="160"/>
  <c r="H223" i="160"/>
  <c r="J223" i="160"/>
  <c r="J224" i="160"/>
  <c r="J226" i="160"/>
  <c r="J227" i="160"/>
  <c r="I229" i="160"/>
  <c r="J229" i="160"/>
  <c r="J230" i="160"/>
  <c r="F233" i="160"/>
  <c r="H236" i="160"/>
  <c r="J236" i="160"/>
  <c r="H237" i="160"/>
  <c r="J237" i="160"/>
  <c r="J238" i="160"/>
  <c r="J240" i="160"/>
  <c r="J241" i="160"/>
  <c r="I243" i="160"/>
  <c r="J243" i="160"/>
  <c r="J244" i="160"/>
  <c r="F247" i="160"/>
  <c r="H250" i="160"/>
  <c r="J250" i="160"/>
  <c r="H251" i="160"/>
  <c r="J251" i="160"/>
  <c r="J252" i="160"/>
  <c r="J254" i="160"/>
  <c r="J255" i="160"/>
  <c r="I257" i="160"/>
  <c r="J257" i="160"/>
  <c r="J258" i="160"/>
  <c r="F261" i="160"/>
  <c r="H264" i="160"/>
  <c r="J264" i="160"/>
  <c r="H265" i="160"/>
  <c r="J265" i="160"/>
  <c r="J266" i="160"/>
  <c r="J268" i="160"/>
  <c r="J269" i="160"/>
  <c r="I271" i="160"/>
  <c r="J271" i="160"/>
  <c r="J272" i="160"/>
  <c r="F275" i="160"/>
  <c r="H278" i="160"/>
  <c r="J278" i="160"/>
  <c r="H279" i="160"/>
  <c r="J279" i="160"/>
  <c r="J280" i="160"/>
  <c r="J282" i="160"/>
  <c r="J283" i="160"/>
  <c r="I285" i="160"/>
  <c r="J285" i="160"/>
  <c r="J286" i="160"/>
  <c r="F289" i="160"/>
  <c r="H292" i="160"/>
  <c r="J292" i="160"/>
  <c r="H293" i="160"/>
  <c r="J293" i="160"/>
  <c r="J294" i="160"/>
  <c r="J296" i="160"/>
  <c r="J297" i="160"/>
  <c r="I299" i="160"/>
  <c r="J299" i="160"/>
  <c r="J300" i="160"/>
  <c r="F303" i="160"/>
  <c r="H306" i="160"/>
  <c r="J306" i="160"/>
  <c r="H307" i="160"/>
  <c r="J307" i="160"/>
  <c r="J308" i="160"/>
  <c r="J310" i="160"/>
  <c r="J311" i="160"/>
  <c r="I313" i="160"/>
  <c r="J313" i="160"/>
  <c r="H314" i="160"/>
  <c r="J314" i="160"/>
  <c r="J315" i="160"/>
  <c r="F318" i="160"/>
  <c r="H321" i="160"/>
  <c r="J321" i="160"/>
  <c r="H322" i="160"/>
  <c r="J322" i="160"/>
  <c r="J323" i="160"/>
  <c r="J325" i="160"/>
  <c r="J326" i="160"/>
  <c r="I328" i="160"/>
  <c r="J328" i="160"/>
  <c r="H329" i="160"/>
  <c r="J329" i="160"/>
  <c r="J330" i="160"/>
  <c r="F333" i="160"/>
  <c r="H336" i="160"/>
  <c r="J336" i="160"/>
  <c r="H337" i="160"/>
  <c r="J337" i="160"/>
  <c r="J338" i="160"/>
  <c r="J340" i="160"/>
  <c r="J341" i="160"/>
  <c r="I343" i="160"/>
  <c r="J343" i="160"/>
  <c r="H344" i="160"/>
  <c r="J344" i="160"/>
  <c r="J345" i="160"/>
  <c r="F348" i="160"/>
  <c r="H351" i="160"/>
  <c r="J351" i="160"/>
  <c r="H352" i="160"/>
  <c r="J352" i="160"/>
  <c r="J353" i="160"/>
  <c r="J355" i="160"/>
  <c r="J356" i="160"/>
  <c r="I358" i="160"/>
  <c r="J358" i="160"/>
  <c r="H359" i="160"/>
  <c r="J359" i="160"/>
  <c r="J360" i="160"/>
  <c r="F363" i="160"/>
  <c r="H366" i="160"/>
  <c r="J366" i="160"/>
  <c r="H367" i="160"/>
  <c r="J367" i="160"/>
  <c r="J368" i="160"/>
  <c r="J370" i="160"/>
  <c r="I373" i="160"/>
  <c r="J373" i="160"/>
  <c r="J374" i="160"/>
  <c r="F377" i="160"/>
  <c r="H380" i="160"/>
  <c r="J380" i="160"/>
  <c r="H381" i="160"/>
  <c r="J381" i="160"/>
  <c r="J382" i="160"/>
  <c r="J384" i="160"/>
  <c r="J385" i="160"/>
  <c r="I387" i="160"/>
  <c r="J387" i="160"/>
  <c r="J388" i="160"/>
  <c r="F391" i="160"/>
  <c r="H394" i="160"/>
  <c r="J394" i="160"/>
  <c r="H395" i="160"/>
  <c r="J395" i="160"/>
  <c r="J396" i="160"/>
  <c r="J398" i="160"/>
  <c r="J399" i="160"/>
  <c r="J400" i="160"/>
  <c r="J401" i="160"/>
  <c r="J402" i="160"/>
  <c r="I404" i="160"/>
  <c r="J404" i="160"/>
  <c r="J405" i="160"/>
  <c r="F408" i="160"/>
  <c r="H411" i="160"/>
  <c r="J411" i="160"/>
  <c r="H412" i="160"/>
  <c r="J412" i="160"/>
  <c r="J413" i="160"/>
  <c r="J415" i="160"/>
  <c r="J416" i="160"/>
  <c r="I418" i="160"/>
  <c r="J418" i="160"/>
  <c r="J419" i="160"/>
  <c r="F422" i="160"/>
  <c r="H425" i="160"/>
  <c r="J425" i="160"/>
  <c r="H426" i="160"/>
  <c r="J426" i="160"/>
  <c r="J427" i="160"/>
  <c r="J429" i="160"/>
  <c r="J430" i="160"/>
  <c r="J431" i="160"/>
  <c r="J432" i="160"/>
  <c r="J433" i="160"/>
  <c r="I435" i="160"/>
  <c r="J435" i="160"/>
  <c r="H436" i="160"/>
  <c r="J436" i="160"/>
  <c r="J437" i="160"/>
  <c r="F440" i="160"/>
  <c r="H443" i="160"/>
  <c r="J443" i="160"/>
  <c r="H444" i="160"/>
  <c r="J444" i="160"/>
  <c r="J445" i="160"/>
  <c r="J447" i="160"/>
  <c r="J448" i="160"/>
  <c r="I450" i="160"/>
  <c r="J450" i="160"/>
  <c r="H451" i="160"/>
  <c r="J451" i="160"/>
  <c r="J452" i="160"/>
  <c r="F455" i="160"/>
  <c r="H458" i="160"/>
  <c r="J458" i="160"/>
  <c r="H459" i="160"/>
  <c r="J459" i="160"/>
  <c r="J460" i="160"/>
  <c r="J462" i="160"/>
  <c r="J463" i="160"/>
  <c r="I465" i="160"/>
  <c r="J465" i="160"/>
  <c r="J466" i="160"/>
  <c r="F469" i="160"/>
  <c r="H472" i="160"/>
  <c r="J472" i="160"/>
  <c r="H473" i="160"/>
  <c r="J473" i="160"/>
  <c r="J474" i="160"/>
  <c r="J476" i="160"/>
  <c r="J477" i="160"/>
  <c r="I479" i="160"/>
  <c r="J479" i="160"/>
  <c r="H480" i="160"/>
  <c r="J480" i="160"/>
  <c r="J481" i="160"/>
  <c r="F484" i="160"/>
  <c r="H487" i="160"/>
  <c r="J487" i="160"/>
  <c r="J488" i="160"/>
  <c r="J490" i="160"/>
  <c r="J491" i="160"/>
  <c r="I493" i="160"/>
  <c r="J493" i="160"/>
  <c r="J494" i="160"/>
  <c r="F497" i="160"/>
  <c r="H500" i="160"/>
  <c r="J500" i="160"/>
  <c r="H501" i="160"/>
  <c r="J501" i="160"/>
  <c r="H502" i="160"/>
  <c r="J502" i="160"/>
  <c r="J503" i="160"/>
  <c r="J505" i="160"/>
  <c r="J506" i="160"/>
  <c r="I508" i="160"/>
  <c r="J508" i="160"/>
  <c r="H509" i="160"/>
  <c r="J509" i="160"/>
  <c r="J510" i="160"/>
  <c r="F513" i="160"/>
  <c r="H516" i="160"/>
  <c r="J516" i="160"/>
  <c r="H517" i="160"/>
  <c r="J517" i="160"/>
  <c r="H518" i="160"/>
  <c r="J518" i="160"/>
  <c r="J519" i="160"/>
  <c r="J521" i="160"/>
  <c r="J522" i="160"/>
  <c r="J523" i="160"/>
  <c r="J524" i="160"/>
  <c r="I526" i="160"/>
  <c r="J526" i="160"/>
  <c r="J527" i="160"/>
  <c r="H15" i="158"/>
  <c r="J15" i="158" s="1"/>
  <c r="J16" i="158" s="1"/>
  <c r="J12" i="158"/>
  <c r="F12" i="158"/>
  <c r="F5" i="158"/>
  <c r="H8" i="158"/>
  <c r="J8" i="158"/>
  <c r="J9" i="158" s="1"/>
  <c r="J5" i="158"/>
  <c r="J143" i="159"/>
  <c r="J144" i="159" s="1"/>
  <c r="J140" i="159"/>
  <c r="I14" i="130" s="1"/>
  <c r="F140" i="159"/>
  <c r="J136" i="159"/>
  <c r="J137" i="159" s="1"/>
  <c r="J133" i="159"/>
  <c r="I13" i="130" s="1"/>
  <c r="F133" i="159"/>
  <c r="J126" i="159"/>
  <c r="J125" i="159"/>
  <c r="J124" i="159"/>
  <c r="J123" i="159"/>
  <c r="J122" i="159"/>
  <c r="J121" i="159"/>
  <c r="J127" i="159" s="1"/>
  <c r="H118" i="159"/>
  <c r="J118" i="159" s="1"/>
  <c r="H117" i="159"/>
  <c r="J117" i="159" s="1"/>
  <c r="J119" i="159" s="1"/>
  <c r="I129" i="159" s="1"/>
  <c r="J129" i="159" s="1"/>
  <c r="J130" i="159" s="1"/>
  <c r="J114" i="159"/>
  <c r="F114" i="159"/>
  <c r="J109" i="159"/>
  <c r="J110" i="159" s="1"/>
  <c r="J106" i="159"/>
  <c r="F106" i="159"/>
  <c r="H102" i="159"/>
  <c r="J102" i="159" s="1"/>
  <c r="J98" i="159"/>
  <c r="J97" i="159"/>
  <c r="J99" i="159" s="1"/>
  <c r="J96" i="159"/>
  <c r="H93" i="159"/>
  <c r="J93" i="159" s="1"/>
  <c r="H92" i="159"/>
  <c r="J92" i="159" s="1"/>
  <c r="H91" i="159"/>
  <c r="J91" i="159" s="1"/>
  <c r="J94" i="159" s="1"/>
  <c r="I101" i="159" s="1"/>
  <c r="J101" i="159" s="1"/>
  <c r="J103" i="159" s="1"/>
  <c r="J88" i="159"/>
  <c r="F88" i="159"/>
  <c r="J81" i="159"/>
  <c r="J82" i="159" s="1"/>
  <c r="H78" i="159"/>
  <c r="J78" i="159" s="1"/>
  <c r="H77" i="159"/>
  <c r="J77" i="159" s="1"/>
  <c r="J79" i="159" s="1"/>
  <c r="I84" i="159" s="1"/>
  <c r="J84" i="159" s="1"/>
  <c r="J85" i="159" s="1"/>
  <c r="J74" i="159"/>
  <c r="F74" i="159"/>
  <c r="J69" i="159"/>
  <c r="J70" i="159" s="1"/>
  <c r="J66" i="159"/>
  <c r="F66" i="159"/>
  <c r="J59" i="159"/>
  <c r="J58" i="159"/>
  <c r="J57" i="159"/>
  <c r="J56" i="159"/>
  <c r="J55" i="159"/>
  <c r="J60" i="159" s="1"/>
  <c r="H52" i="159"/>
  <c r="J52" i="159" s="1"/>
  <c r="H51" i="159"/>
  <c r="J51" i="159" s="1"/>
  <c r="J53" i="159" s="1"/>
  <c r="I62" i="159" s="1"/>
  <c r="J62" i="159" s="1"/>
  <c r="J63" i="159" s="1"/>
  <c r="J48" i="159"/>
  <c r="F48" i="159"/>
  <c r="J41" i="159"/>
  <c r="J40" i="159"/>
  <c r="J39" i="159"/>
  <c r="J38" i="159"/>
  <c r="J37" i="159"/>
  <c r="J36" i="159"/>
  <c r="J35" i="159"/>
  <c r="J34" i="159"/>
  <c r="J42" i="159" s="1"/>
  <c r="H31" i="159"/>
  <c r="J31" i="159" s="1"/>
  <c r="H30" i="159"/>
  <c r="J30" i="159" s="1"/>
  <c r="H29" i="159"/>
  <c r="J29" i="159" s="1"/>
  <c r="J32" i="159" s="1"/>
  <c r="I44" i="159" s="1"/>
  <c r="J44" i="159" s="1"/>
  <c r="J45" i="159" s="1"/>
  <c r="J26" i="159"/>
  <c r="F26" i="159"/>
  <c r="J19" i="159"/>
  <c r="J18" i="159"/>
  <c r="J17" i="159"/>
  <c r="J16" i="159"/>
  <c r="J15" i="159"/>
  <c r="J14" i="159"/>
  <c r="J13" i="159"/>
  <c r="J20" i="159" s="1"/>
  <c r="H10" i="159"/>
  <c r="J10" i="159" s="1"/>
  <c r="H9" i="159"/>
  <c r="J9" i="159" s="1"/>
  <c r="H8" i="159"/>
  <c r="J8" i="159" s="1"/>
  <c r="J11" i="159" s="1"/>
  <c r="I22" i="159" s="1"/>
  <c r="J22" i="159" s="1"/>
  <c r="J23" i="159" s="1"/>
  <c r="J5" i="159"/>
  <c r="F5" i="159"/>
  <c r="J188" i="158"/>
  <c r="J187" i="158"/>
  <c r="J186" i="158"/>
  <c r="J189" i="158" s="1"/>
  <c r="H183" i="158"/>
  <c r="J183" i="158" s="1"/>
  <c r="H182" i="158"/>
  <c r="J182" i="158" s="1"/>
  <c r="H181" i="158"/>
  <c r="J181" i="158" s="1"/>
  <c r="J184" i="158" s="1"/>
  <c r="I191" i="158" s="1"/>
  <c r="J191" i="158" s="1"/>
  <c r="J192" i="158" s="1"/>
  <c r="J178" i="158"/>
  <c r="F178" i="158"/>
  <c r="J171" i="158"/>
  <c r="J172" i="158" s="1"/>
  <c r="H168" i="158"/>
  <c r="J168" i="158" s="1"/>
  <c r="H167" i="158"/>
  <c r="J167" i="158" s="1"/>
  <c r="H166" i="158"/>
  <c r="J166" i="158" s="1"/>
  <c r="J169" i="158" s="1"/>
  <c r="I174" i="158" s="1"/>
  <c r="J174" i="158" s="1"/>
  <c r="J175" i="158" s="1"/>
  <c r="J163" i="158"/>
  <c r="F163" i="158"/>
  <c r="J156" i="158"/>
  <c r="J155" i="158"/>
  <c r="J154" i="158"/>
  <c r="J153" i="158"/>
  <c r="J157" i="158" s="1"/>
  <c r="H150" i="158"/>
  <c r="J150" i="158" s="1"/>
  <c r="H149" i="158"/>
  <c r="J149" i="158" s="1"/>
  <c r="H148" i="158"/>
  <c r="J148" i="158" s="1"/>
  <c r="J151" i="158" s="1"/>
  <c r="I159" i="158" s="1"/>
  <c r="J159" i="158" s="1"/>
  <c r="J160" i="158" s="1"/>
  <c r="J145" i="158"/>
  <c r="F145" i="158"/>
  <c r="J138" i="158"/>
  <c r="J137" i="158"/>
  <c r="J136" i="158"/>
  <c r="J135" i="158"/>
  <c r="J139" i="158" s="1"/>
  <c r="H132" i="158"/>
  <c r="J132" i="158" s="1"/>
  <c r="H131" i="158"/>
  <c r="J131" i="158" s="1"/>
  <c r="H130" i="158"/>
  <c r="J130" i="158" s="1"/>
  <c r="J133" i="158" s="1"/>
  <c r="I141" i="158" s="1"/>
  <c r="J141" i="158" s="1"/>
  <c r="J142" i="158" s="1"/>
  <c r="J127" i="158"/>
  <c r="F127" i="158"/>
  <c r="J120" i="158"/>
  <c r="J119" i="158"/>
  <c r="J118" i="158"/>
  <c r="J117" i="158"/>
  <c r="J116" i="158"/>
  <c r="J121" i="158" s="1"/>
  <c r="H113" i="158"/>
  <c r="J113" i="158" s="1"/>
  <c r="H112" i="158"/>
  <c r="J112" i="158" s="1"/>
  <c r="H111" i="158"/>
  <c r="J111" i="158" s="1"/>
  <c r="J114" i="158" s="1"/>
  <c r="I123" i="158" s="1"/>
  <c r="J123" i="158" s="1"/>
  <c r="J124" i="158" s="1"/>
  <c r="J108" i="158"/>
  <c r="F108" i="158"/>
  <c r="J101" i="158"/>
  <c r="J100" i="158"/>
  <c r="J99" i="158"/>
  <c r="J102" i="158" s="1"/>
  <c r="H96" i="158"/>
  <c r="J96" i="158" s="1"/>
  <c r="H95" i="158"/>
  <c r="J95" i="158" s="1"/>
  <c r="H94" i="158"/>
  <c r="J94" i="158" s="1"/>
  <c r="J97" i="158" s="1"/>
  <c r="I104" i="158" s="1"/>
  <c r="J104" i="158" s="1"/>
  <c r="J105" i="158" s="1"/>
  <c r="J91" i="158"/>
  <c r="F91" i="158"/>
  <c r="J84" i="158"/>
  <c r="J85" i="158" s="1"/>
  <c r="H81" i="158"/>
  <c r="J81" i="158" s="1"/>
  <c r="H80" i="158"/>
  <c r="J80" i="158" s="1"/>
  <c r="H79" i="158"/>
  <c r="J79" i="158" s="1"/>
  <c r="J82" i="158" s="1"/>
  <c r="I87" i="158" s="1"/>
  <c r="J87" i="158" s="1"/>
  <c r="J88" i="158" s="1"/>
  <c r="J76" i="158"/>
  <c r="F76" i="158"/>
  <c r="J72" i="158"/>
  <c r="J73" i="158" s="1"/>
  <c r="J69" i="158"/>
  <c r="F69" i="158"/>
  <c r="J62" i="158"/>
  <c r="J61" i="158"/>
  <c r="J60" i="158"/>
  <c r="J59" i="158"/>
  <c r="J58" i="158"/>
  <c r="J63" i="158" s="1"/>
  <c r="H55" i="158"/>
  <c r="J55" i="158" s="1"/>
  <c r="H54" i="158"/>
  <c r="J54" i="158" s="1"/>
  <c r="H53" i="158"/>
  <c r="J53" i="158" s="1"/>
  <c r="J56" i="158" s="1"/>
  <c r="I65" i="158" s="1"/>
  <c r="J65" i="158" s="1"/>
  <c r="J66" i="158" s="1"/>
  <c r="J50" i="158"/>
  <c r="F50" i="158"/>
  <c r="J43" i="158"/>
  <c r="J42" i="158"/>
  <c r="J41" i="158"/>
  <c r="J40" i="158"/>
  <c r="J44" i="158" s="1"/>
  <c r="H37" i="158"/>
  <c r="J37" i="158" s="1"/>
  <c r="H36" i="158"/>
  <c r="J36" i="158" s="1"/>
  <c r="H35" i="158"/>
  <c r="J35" i="158" s="1"/>
  <c r="J38" i="158" s="1"/>
  <c r="I46" i="158" s="1"/>
  <c r="J46" i="158" s="1"/>
  <c r="J47" i="158" s="1"/>
  <c r="J32" i="158"/>
  <c r="F32" i="158"/>
  <c r="J29" i="158"/>
  <c r="J30" i="158" s="1"/>
  <c r="J26" i="158"/>
  <c r="F26" i="158"/>
  <c r="H22" i="158"/>
  <c r="J22" i="158" s="1"/>
  <c r="J23" i="158" s="1"/>
  <c r="F19" i="158"/>
  <c r="H521" i="157"/>
  <c r="J521" i="157" s="1"/>
  <c r="J517" i="157"/>
  <c r="J516" i="157"/>
  <c r="J515" i="157"/>
  <c r="J514" i="157"/>
  <c r="J513" i="157"/>
  <c r="J512" i="157"/>
  <c r="J518" i="157" s="1"/>
  <c r="H509" i="157"/>
  <c r="J509" i="157" s="1"/>
  <c r="H508" i="157"/>
  <c r="J508" i="157" s="1"/>
  <c r="H507" i="157"/>
  <c r="J507" i="157" s="1"/>
  <c r="J510" i="157" s="1"/>
  <c r="I520" i="157" s="1"/>
  <c r="J520" i="157" s="1"/>
  <c r="J522" i="157" s="1"/>
  <c r="J504" i="157"/>
  <c r="F504" i="157"/>
  <c r="H500" i="157"/>
  <c r="J500" i="157" s="1"/>
  <c r="J496" i="157"/>
  <c r="J495" i="157"/>
  <c r="J494" i="157"/>
  <c r="J493" i="157"/>
  <c r="J492" i="157"/>
  <c r="J497" i="157" s="1"/>
  <c r="H489" i="157"/>
  <c r="J489" i="157" s="1"/>
  <c r="H488" i="157"/>
  <c r="J488" i="157" s="1"/>
  <c r="H487" i="157"/>
  <c r="J487" i="157" s="1"/>
  <c r="J490" i="157" s="1"/>
  <c r="I499" i="157" s="1"/>
  <c r="J499" i="157" s="1"/>
  <c r="J501" i="157" s="1"/>
  <c r="J484" i="157"/>
  <c r="F484" i="157"/>
  <c r="J480" i="157"/>
  <c r="J481" i="157" s="1"/>
  <c r="J477" i="157"/>
  <c r="F477" i="157"/>
  <c r="J473" i="157"/>
  <c r="J474" i="157" s="1"/>
  <c r="J470" i="157"/>
  <c r="F470" i="157"/>
  <c r="J466" i="157"/>
  <c r="J467" i="157" s="1"/>
  <c r="J463" i="157"/>
  <c r="F463" i="157"/>
  <c r="J459" i="157"/>
  <c r="J460" i="157" s="1"/>
  <c r="J456" i="157"/>
  <c r="F456" i="157"/>
  <c r="J452" i="157"/>
  <c r="J453" i="157" s="1"/>
  <c r="J449" i="157"/>
  <c r="F449" i="157"/>
  <c r="J442" i="157"/>
  <c r="J441" i="157"/>
  <c r="J440" i="157"/>
  <c r="J439" i="157"/>
  <c r="J438" i="157"/>
  <c r="J443" i="157" s="1"/>
  <c r="H435" i="157"/>
  <c r="J435" i="157" s="1"/>
  <c r="H434" i="157"/>
  <c r="J434" i="157" s="1"/>
  <c r="H433" i="157"/>
  <c r="J433" i="157" s="1"/>
  <c r="J436" i="157" s="1"/>
  <c r="I445" i="157" s="1"/>
  <c r="J445" i="157" s="1"/>
  <c r="J446" i="157" s="1"/>
  <c r="J430" i="157"/>
  <c r="F430" i="157"/>
  <c r="J423" i="157"/>
  <c r="J422" i="157"/>
  <c r="J421" i="157"/>
  <c r="J420" i="157"/>
  <c r="J419" i="157"/>
  <c r="J418" i="157"/>
  <c r="J424" i="157" s="1"/>
  <c r="H415" i="157"/>
  <c r="J415" i="157" s="1"/>
  <c r="H414" i="157"/>
  <c r="J414" i="157" s="1"/>
  <c r="H413" i="157"/>
  <c r="J413" i="157" s="1"/>
  <c r="J416" i="157" s="1"/>
  <c r="I426" i="157" s="1"/>
  <c r="J426" i="157" s="1"/>
  <c r="J427" i="157" s="1"/>
  <c r="J410" i="157"/>
  <c r="F410" i="157"/>
  <c r="J406" i="157"/>
  <c r="J407" i="157" s="1"/>
  <c r="J403" i="157"/>
  <c r="F403" i="157"/>
  <c r="J396" i="157"/>
  <c r="J395" i="157"/>
  <c r="J394" i="157"/>
  <c r="J393" i="157"/>
  <c r="J392" i="157"/>
  <c r="J391" i="157"/>
  <c r="J397" i="157" s="1"/>
  <c r="H388" i="157"/>
  <c r="J388" i="157" s="1"/>
  <c r="H387" i="157"/>
  <c r="J387" i="157" s="1"/>
  <c r="H386" i="157"/>
  <c r="J386" i="157" s="1"/>
  <c r="J389" i="157" s="1"/>
  <c r="I399" i="157" s="1"/>
  <c r="J399" i="157" s="1"/>
  <c r="J400" i="157" s="1"/>
  <c r="J383" i="157"/>
  <c r="F383" i="157"/>
  <c r="J376" i="157"/>
  <c r="J375" i="157"/>
  <c r="J374" i="157"/>
  <c r="J373" i="157"/>
  <c r="J372" i="157"/>
  <c r="J377" i="157" s="1"/>
  <c r="H369" i="157"/>
  <c r="J369" i="157" s="1"/>
  <c r="H368" i="157"/>
  <c r="J368" i="157" s="1"/>
  <c r="H367" i="157"/>
  <c r="J367" i="157" s="1"/>
  <c r="J370" i="157" s="1"/>
  <c r="I379" i="157" s="1"/>
  <c r="J379" i="157" s="1"/>
  <c r="J380" i="157" s="1"/>
  <c r="J364" i="157"/>
  <c r="F364" i="157"/>
  <c r="J357" i="157"/>
  <c r="J356" i="157"/>
  <c r="J355" i="157"/>
  <c r="J358" i="157" s="1"/>
  <c r="H352" i="157"/>
  <c r="J352" i="157" s="1"/>
  <c r="H351" i="157"/>
  <c r="J351" i="157" s="1"/>
  <c r="H350" i="157"/>
  <c r="J350" i="157" s="1"/>
  <c r="J353" i="157" s="1"/>
  <c r="I360" i="157" s="1"/>
  <c r="J360" i="157" s="1"/>
  <c r="J361" i="157" s="1"/>
  <c r="J347" i="157"/>
  <c r="F347" i="157"/>
  <c r="J343" i="157"/>
  <c r="J344" i="157" s="1"/>
  <c r="J340" i="157"/>
  <c r="F340" i="157"/>
  <c r="H336" i="157"/>
  <c r="J336" i="157" s="1"/>
  <c r="H335" i="157"/>
  <c r="J335" i="157" s="1"/>
  <c r="J331" i="157"/>
  <c r="J330" i="157"/>
  <c r="J329" i="157"/>
  <c r="J328" i="157"/>
  <c r="J327" i="157"/>
  <c r="J332" i="157" s="1"/>
  <c r="H324" i="157"/>
  <c r="J324" i="157" s="1"/>
  <c r="H323" i="157"/>
  <c r="J323" i="157" s="1"/>
  <c r="H322" i="157"/>
  <c r="J322" i="157" s="1"/>
  <c r="H321" i="157"/>
  <c r="J321" i="157" s="1"/>
  <c r="J325" i="157" s="1"/>
  <c r="I334" i="157" s="1"/>
  <c r="J334" i="157" s="1"/>
  <c r="J337" i="157" s="1"/>
  <c r="J318" i="157"/>
  <c r="F318" i="157"/>
  <c r="H313" i="157"/>
  <c r="J313" i="157" s="1"/>
  <c r="H312" i="157"/>
  <c r="J312" i="157" s="1"/>
  <c r="J308" i="157"/>
  <c r="J307" i="157"/>
  <c r="J306" i="157"/>
  <c r="J305" i="157"/>
  <c r="J304" i="157"/>
  <c r="J303" i="157"/>
  <c r="J302" i="157"/>
  <c r="J309" i="157" s="1"/>
  <c r="H299" i="157"/>
  <c r="J299" i="157" s="1"/>
  <c r="H298" i="157"/>
  <c r="J298" i="157" s="1"/>
  <c r="H297" i="157"/>
  <c r="J297" i="157" s="1"/>
  <c r="H296" i="157"/>
  <c r="J296" i="157" s="1"/>
  <c r="H295" i="157"/>
  <c r="J295" i="157" s="1"/>
  <c r="J300" i="157" s="1"/>
  <c r="I311" i="157" s="1"/>
  <c r="J311" i="157" s="1"/>
  <c r="J314" i="157" s="1"/>
  <c r="J292" i="157"/>
  <c r="F292" i="157"/>
  <c r="J285" i="157"/>
  <c r="J284" i="157"/>
  <c r="J283" i="157"/>
  <c r="J282" i="157"/>
  <c r="J281" i="157"/>
  <c r="J280" i="157"/>
  <c r="J286" i="157" s="1"/>
  <c r="H277" i="157"/>
  <c r="J277" i="157" s="1"/>
  <c r="H276" i="157"/>
  <c r="J276" i="157" s="1"/>
  <c r="H275" i="157"/>
  <c r="J275" i="157" s="1"/>
  <c r="J278" i="157" s="1"/>
  <c r="I288" i="157" s="1"/>
  <c r="J288" i="157" s="1"/>
  <c r="J289" i="157" s="1"/>
  <c r="J272" i="157"/>
  <c r="F272" i="157"/>
  <c r="J265" i="157"/>
  <c r="J264" i="157"/>
  <c r="J263" i="157"/>
  <c r="J262" i="157"/>
  <c r="J261" i="157"/>
  <c r="J260" i="157"/>
  <c r="J266" i="157" s="1"/>
  <c r="H257" i="157"/>
  <c r="J257" i="157" s="1"/>
  <c r="H256" i="157"/>
  <c r="J256" i="157" s="1"/>
  <c r="H255" i="157"/>
  <c r="J255" i="157" s="1"/>
  <c r="J258" i="157" s="1"/>
  <c r="I268" i="157" s="1"/>
  <c r="J268" i="157" s="1"/>
  <c r="J269" i="157" s="1"/>
  <c r="J252" i="157"/>
  <c r="F252" i="157"/>
  <c r="H248" i="157"/>
  <c r="J248" i="157" s="1"/>
  <c r="J244" i="157"/>
  <c r="J243" i="157"/>
  <c r="J242" i="157"/>
  <c r="J241" i="157"/>
  <c r="J245" i="157" s="1"/>
  <c r="H238" i="157"/>
  <c r="J238" i="157" s="1"/>
  <c r="H237" i="157"/>
  <c r="J237" i="157" s="1"/>
  <c r="J236" i="157"/>
  <c r="J235" i="157"/>
  <c r="J239" i="157" s="1"/>
  <c r="I247" i="157" s="1"/>
  <c r="J247" i="157" s="1"/>
  <c r="J249" i="157" s="1"/>
  <c r="J232" i="157"/>
  <c r="F232" i="157"/>
  <c r="H228" i="157"/>
  <c r="J228" i="157" s="1"/>
  <c r="J224" i="157"/>
  <c r="J223" i="157"/>
  <c r="J222" i="157"/>
  <c r="J221" i="157"/>
  <c r="J220" i="157"/>
  <c r="J225" i="157" s="1"/>
  <c r="H217" i="157"/>
  <c r="J217" i="157" s="1"/>
  <c r="H216" i="157"/>
  <c r="J216" i="157" s="1"/>
  <c r="H215" i="157"/>
  <c r="J215" i="157" s="1"/>
  <c r="J218" i="157" s="1"/>
  <c r="I227" i="157" s="1"/>
  <c r="J227" i="157" s="1"/>
  <c r="J229" i="157" s="1"/>
  <c r="J212" i="157"/>
  <c r="F212" i="157"/>
  <c r="H207" i="157"/>
  <c r="J207" i="157" s="1"/>
  <c r="J204" i="157"/>
  <c r="J203" i="157"/>
  <c r="J202" i="157"/>
  <c r="J201" i="157"/>
  <c r="J200" i="157"/>
  <c r="J199" i="157"/>
  <c r="J198" i="157"/>
  <c r="J205" i="157" s="1"/>
  <c r="H195" i="157"/>
  <c r="J195" i="157" s="1"/>
  <c r="H194" i="157"/>
  <c r="J194" i="157" s="1"/>
  <c r="H193" i="157"/>
  <c r="J193" i="157" s="1"/>
  <c r="H192" i="157"/>
  <c r="J192" i="157" s="1"/>
  <c r="J196" i="157" s="1"/>
  <c r="I208" i="157" s="1"/>
  <c r="J208" i="157" s="1"/>
  <c r="F188" i="157"/>
  <c r="J181" i="157"/>
  <c r="J180" i="157"/>
  <c r="J179" i="157"/>
  <c r="J178" i="157"/>
  <c r="J177" i="157"/>
  <c r="J176" i="157"/>
  <c r="J182" i="157" s="1"/>
  <c r="H173" i="157"/>
  <c r="J173" i="157" s="1"/>
  <c r="H172" i="157"/>
  <c r="J172" i="157" s="1"/>
  <c r="H171" i="157"/>
  <c r="J171" i="157" s="1"/>
  <c r="J174" i="157" s="1"/>
  <c r="I184" i="157" s="1"/>
  <c r="J184" i="157" s="1"/>
  <c r="J185" i="157" s="1"/>
  <c r="J168" i="157"/>
  <c r="F168" i="157"/>
  <c r="J161" i="157"/>
  <c r="J160" i="157"/>
  <c r="J159" i="157"/>
  <c r="J158" i="157"/>
  <c r="J157" i="157"/>
  <c r="J156" i="157"/>
  <c r="J162" i="157" s="1"/>
  <c r="H153" i="157"/>
  <c r="J153" i="157" s="1"/>
  <c r="H152" i="157"/>
  <c r="J152" i="157" s="1"/>
  <c r="H151" i="157"/>
  <c r="J151" i="157" s="1"/>
  <c r="J154" i="157" s="1"/>
  <c r="I164" i="157" s="1"/>
  <c r="J164" i="157" s="1"/>
  <c r="J165" i="157" s="1"/>
  <c r="J148" i="157"/>
  <c r="F148" i="157"/>
  <c r="J141" i="157"/>
  <c r="J140" i="157"/>
  <c r="J139" i="157"/>
  <c r="J138" i="157"/>
  <c r="J137" i="157"/>
  <c r="J136" i="157"/>
  <c r="J135" i="157"/>
  <c r="J142" i="157" s="1"/>
  <c r="H132" i="157"/>
  <c r="J132" i="157" s="1"/>
  <c r="H131" i="157"/>
  <c r="J131" i="157" s="1"/>
  <c r="H130" i="157"/>
  <c r="J130" i="157" s="1"/>
  <c r="J133" i="157" s="1"/>
  <c r="I144" i="157" s="1"/>
  <c r="J144" i="157" s="1"/>
  <c r="J145" i="157" s="1"/>
  <c r="J127" i="157"/>
  <c r="F127" i="157"/>
  <c r="AA124" i="157"/>
  <c r="AA123" i="157"/>
  <c r="AA122" i="157"/>
  <c r="AA121" i="157"/>
  <c r="AA120" i="157"/>
  <c r="AA125" i="157" s="1"/>
  <c r="J118" i="157"/>
  <c r="Y117" i="157"/>
  <c r="AA117" i="157" s="1"/>
  <c r="J117" i="157"/>
  <c r="Y116" i="157"/>
  <c r="AA116" i="157" s="1"/>
  <c r="J116" i="157"/>
  <c r="Y115" i="157"/>
  <c r="AA115" i="157" s="1"/>
  <c r="AA118" i="157" s="1"/>
  <c r="Z127" i="157" s="1"/>
  <c r="AA127" i="157" s="1"/>
  <c r="AA128" i="157" s="1"/>
  <c r="J115" i="157"/>
  <c r="J114" i="157"/>
  <c r="J113" i="157"/>
  <c r="AA112" i="157"/>
  <c r="W112" i="157"/>
  <c r="J112" i="157"/>
  <c r="J111" i="157"/>
  <c r="J110" i="157"/>
  <c r="J109" i="157"/>
  <c r="Y108" i="157"/>
  <c r="AA108" i="157" s="1"/>
  <c r="J108" i="157"/>
  <c r="J107" i="157"/>
  <c r="J106" i="157"/>
  <c r="J105" i="157"/>
  <c r="Z104" i="157"/>
  <c r="AA104" i="157" s="1"/>
  <c r="J104" i="157"/>
  <c r="AA103" i="157"/>
  <c r="AA105" i="157" s="1"/>
  <c r="J103" i="157"/>
  <c r="J102" i="157"/>
  <c r="J101" i="157"/>
  <c r="J119" i="157" s="1"/>
  <c r="Y100" i="157"/>
  <c r="AA100" i="157" s="1"/>
  <c r="Y99" i="157"/>
  <c r="AA99" i="157" s="1"/>
  <c r="AA101" i="157" s="1"/>
  <c r="Z107" i="157" s="1"/>
  <c r="AA107" i="157" s="1"/>
  <c r="AA109" i="157" s="1"/>
  <c r="H98" i="157"/>
  <c r="J98" i="157" s="1"/>
  <c r="H97" i="157"/>
  <c r="J97" i="157" s="1"/>
  <c r="AA96" i="157"/>
  <c r="W96" i="157"/>
  <c r="H96" i="157"/>
  <c r="J96" i="157" s="1"/>
  <c r="H95" i="157"/>
  <c r="J95" i="157" s="1"/>
  <c r="J99" i="157" s="1"/>
  <c r="I121" i="157" s="1"/>
  <c r="J121" i="157" s="1"/>
  <c r="J122" i="157" s="1"/>
  <c r="J92" i="157"/>
  <c r="F92" i="157"/>
  <c r="AA89" i="157"/>
  <c r="AA88" i="157"/>
  <c r="AA87" i="157"/>
  <c r="AA90" i="157" s="1"/>
  <c r="J85" i="157"/>
  <c r="Y84" i="157"/>
  <c r="AA84" i="157" s="1"/>
  <c r="J84" i="157"/>
  <c r="Y83" i="157"/>
  <c r="AA83" i="157" s="1"/>
  <c r="J83" i="157"/>
  <c r="Y82" i="157"/>
  <c r="AA82" i="157" s="1"/>
  <c r="AA85" i="157" s="1"/>
  <c r="Z92" i="157" s="1"/>
  <c r="AA92" i="157" s="1"/>
  <c r="AA93" i="157" s="1"/>
  <c r="J82" i="157"/>
  <c r="J86" i="157" s="1"/>
  <c r="AA79" i="157"/>
  <c r="W79" i="157"/>
  <c r="H79" i="157"/>
  <c r="J79" i="157" s="1"/>
  <c r="H78" i="157"/>
  <c r="J78" i="157" s="1"/>
  <c r="J80" i="157" s="1"/>
  <c r="I88" i="157" s="1"/>
  <c r="J88" i="157" s="1"/>
  <c r="J89" i="157" s="1"/>
  <c r="H77" i="157"/>
  <c r="J77" i="157" s="1"/>
  <c r="Y75" i="157"/>
  <c r="AA75" i="157" s="1"/>
  <c r="Y74" i="157"/>
  <c r="AA74" i="157" s="1"/>
  <c r="J74" i="157"/>
  <c r="F74" i="157"/>
  <c r="AA70" i="157"/>
  <c r="AA69" i="157"/>
  <c r="AA68" i="157"/>
  <c r="AA67" i="157"/>
  <c r="J67" i="157"/>
  <c r="AA66" i="157"/>
  <c r="AA71" i="157" s="1"/>
  <c r="J66" i="157"/>
  <c r="J65" i="157"/>
  <c r="J64" i="157"/>
  <c r="Y63" i="157"/>
  <c r="AA63" i="157" s="1"/>
  <c r="J63" i="157"/>
  <c r="Y62" i="157"/>
  <c r="AA62" i="157" s="1"/>
  <c r="J62" i="157"/>
  <c r="Y61" i="157"/>
  <c r="AA61" i="157" s="1"/>
  <c r="AA64" i="157" s="1"/>
  <c r="Z73" i="157" s="1"/>
  <c r="AA73" i="157" s="1"/>
  <c r="AA76" i="157" s="1"/>
  <c r="J61" i="157"/>
  <c r="J60" i="157"/>
  <c r="J59" i="157"/>
  <c r="J68" i="157" s="1"/>
  <c r="AA58" i="157"/>
  <c r="W58" i="157"/>
  <c r="H56" i="157"/>
  <c r="J56" i="157" s="1"/>
  <c r="H55" i="157"/>
  <c r="J55" i="157" s="1"/>
  <c r="Y54" i="157"/>
  <c r="AA54" i="157" s="1"/>
  <c r="H54" i="157"/>
  <c r="J54" i="157" s="1"/>
  <c r="H53" i="157"/>
  <c r="J53" i="157" s="1"/>
  <c r="J57" i="157" s="1"/>
  <c r="I70" i="157" s="1"/>
  <c r="J70" i="157" s="1"/>
  <c r="J71" i="157" s="1"/>
  <c r="Z50" i="157"/>
  <c r="AA50" i="157" s="1"/>
  <c r="J50" i="157"/>
  <c r="F50" i="157"/>
  <c r="AA49" i="157"/>
  <c r="AA51" i="157" s="1"/>
  <c r="Y46" i="157"/>
  <c r="AA46" i="157" s="1"/>
  <c r="H46" i="157"/>
  <c r="J46" i="157" s="1"/>
  <c r="Y45" i="157"/>
  <c r="AA45" i="157" s="1"/>
  <c r="AA47" i="157" s="1"/>
  <c r="Z53" i="157" s="1"/>
  <c r="AA53" i="157" s="1"/>
  <c r="AA55" i="157" s="1"/>
  <c r="AA42" i="157"/>
  <c r="W42" i="157"/>
  <c r="J42" i="157"/>
  <c r="J41" i="157"/>
  <c r="J40" i="157"/>
  <c r="J39" i="157"/>
  <c r="J43" i="157" s="1"/>
  <c r="H36" i="157"/>
  <c r="J36" i="157" s="1"/>
  <c r="AA35" i="157"/>
  <c r="H35" i="157"/>
  <c r="J35" i="157" s="1"/>
  <c r="J37" i="157" s="1"/>
  <c r="I45" i="157" s="1"/>
  <c r="J45" i="157" s="1"/>
  <c r="J47" i="157" s="1"/>
  <c r="AA34" i="157"/>
  <c r="AA33" i="157"/>
  <c r="AA36" i="157" s="1"/>
  <c r="J32" i="157"/>
  <c r="F32" i="157"/>
  <c r="Y30" i="157"/>
  <c r="AA30" i="157" s="1"/>
  <c r="Y29" i="157"/>
  <c r="AA29" i="157" s="1"/>
  <c r="AA31" i="157" s="1"/>
  <c r="Z38" i="157" s="1"/>
  <c r="AA38" i="157" s="1"/>
  <c r="AA39" i="157" s="1"/>
  <c r="I28" i="157"/>
  <c r="J28" i="157" s="1"/>
  <c r="I27" i="157"/>
  <c r="J27" i="157" s="1"/>
  <c r="AA26" i="157"/>
  <c r="W26" i="157"/>
  <c r="I26" i="157"/>
  <c r="J26" i="157" s="1"/>
  <c r="I25" i="157"/>
  <c r="J25" i="157" s="1"/>
  <c r="I24" i="157"/>
  <c r="J24" i="157" s="1"/>
  <c r="I23" i="157"/>
  <c r="J23" i="157" s="1"/>
  <c r="Y22" i="157"/>
  <c r="AA22" i="157" s="1"/>
  <c r="Y21" i="157"/>
  <c r="AA21" i="157" s="1"/>
  <c r="H19" i="157"/>
  <c r="J19" i="157" s="1"/>
  <c r="AA17" i="157"/>
  <c r="AA16" i="157"/>
  <c r="AA15" i="157"/>
  <c r="J15" i="157"/>
  <c r="AA14" i="157"/>
  <c r="J14" i="157"/>
  <c r="AA13" i="157"/>
  <c r="AA18" i="157" s="1"/>
  <c r="J13" i="157"/>
  <c r="J12" i="157"/>
  <c r="J16" i="157" s="1"/>
  <c r="Y10" i="157"/>
  <c r="AA10" i="157" s="1"/>
  <c r="Y9" i="157"/>
  <c r="AA9" i="157" s="1"/>
  <c r="H9" i="157"/>
  <c r="J9" i="157" s="1"/>
  <c r="Y8" i="157"/>
  <c r="AA8" i="157" s="1"/>
  <c r="AA11" i="157" s="1"/>
  <c r="Z20" i="157" s="1"/>
  <c r="AA20" i="157" s="1"/>
  <c r="AA23" i="157" s="1"/>
  <c r="H8" i="157"/>
  <c r="J8" i="157" s="1"/>
  <c r="J10" i="157" s="1"/>
  <c r="I18" i="157" s="1"/>
  <c r="J18" i="157" s="1"/>
  <c r="J20" i="157" s="1"/>
  <c r="AA5" i="157"/>
  <c r="I22" i="157" s="1"/>
  <c r="J22" i="157" s="1"/>
  <c r="J29" i="157" s="1"/>
  <c r="W5" i="157"/>
  <c r="J5" i="157"/>
  <c r="F5" i="157"/>
  <c r="D18" i="127"/>
  <c r="D19" i="127"/>
  <c r="D20" i="127"/>
  <c r="D21" i="127"/>
  <c r="D22" i="127"/>
  <c r="D23" i="127"/>
  <c r="D24" i="127"/>
  <c r="D25" i="127"/>
  <c r="D26" i="127"/>
  <c r="D27" i="127"/>
  <c r="D28" i="127"/>
  <c r="D29" i="127"/>
  <c r="D30" i="127"/>
  <c r="D31" i="127"/>
  <c r="D32" i="127"/>
  <c r="D33" i="127"/>
  <c r="D34" i="127"/>
  <c r="D35" i="127"/>
  <c r="D36" i="127"/>
  <c r="D37" i="127"/>
  <c r="D38" i="127"/>
  <c r="D39" i="127"/>
  <c r="D40" i="127"/>
  <c r="D41" i="127"/>
  <c r="D42" i="127"/>
  <c r="D43" i="127"/>
  <c r="D44" i="127"/>
  <c r="D46" i="127"/>
  <c r="D47" i="127"/>
  <c r="D48" i="127"/>
  <c r="D49" i="127"/>
  <c r="D50" i="127"/>
  <c r="D51" i="127"/>
  <c r="D52" i="127"/>
  <c r="D53" i="127"/>
  <c r="D54" i="127"/>
  <c r="D55" i="127"/>
  <c r="D56" i="127"/>
  <c r="D57" i="127"/>
  <c r="D58" i="127"/>
  <c r="D59" i="127"/>
  <c r="D60" i="127"/>
  <c r="D61" i="127"/>
  <c r="D62" i="127"/>
  <c r="D63" i="127"/>
  <c r="D64" i="127"/>
  <c r="D65" i="127"/>
  <c r="D66" i="127"/>
  <c r="D67" i="127"/>
  <c r="D68" i="127"/>
  <c r="M2" i="105"/>
  <c r="M2" i="144"/>
  <c r="M2" i="154"/>
  <c r="M2" i="142"/>
  <c r="M2" i="143"/>
  <c r="M2" i="141"/>
  <c r="M2" i="100"/>
  <c r="M2" i="150"/>
  <c r="M2" i="149"/>
  <c r="M2" i="148"/>
  <c r="M2" i="146"/>
  <c r="M2" i="147"/>
  <c r="M2" i="151"/>
  <c r="G45" i="151" s="1"/>
  <c r="M2" i="145"/>
  <c r="M2" i="156"/>
  <c r="E66" i="156"/>
  <c r="E65" i="156"/>
  <c r="E64" i="156"/>
  <c r="E61" i="156"/>
  <c r="E60" i="156"/>
  <c r="E59" i="156"/>
  <c r="E52" i="156"/>
  <c r="E36" i="156"/>
  <c r="E35" i="156"/>
  <c r="E30" i="156"/>
  <c r="E29" i="156"/>
  <c r="E14" i="156"/>
  <c r="E13" i="156"/>
  <c r="E8" i="156"/>
  <c r="M2" i="155"/>
  <c r="E65" i="155"/>
  <c r="E64" i="155"/>
  <c r="E61" i="155"/>
  <c r="E60" i="155"/>
  <c r="E59" i="155"/>
  <c r="E52" i="155"/>
  <c r="E37" i="155"/>
  <c r="E30" i="155"/>
  <c r="E29" i="155"/>
  <c r="E22" i="155"/>
  <c r="E21" i="155"/>
  <c r="E14" i="155"/>
  <c r="E8" i="155"/>
  <c r="E6" i="155"/>
  <c r="E65" i="154"/>
  <c r="E64" i="154"/>
  <c r="E62" i="154"/>
  <c r="E61" i="154"/>
  <c r="E60" i="154"/>
  <c r="E59" i="154"/>
  <c r="E52" i="154"/>
  <c r="E36" i="154"/>
  <c r="E35" i="154"/>
  <c r="E31" i="154"/>
  <c r="E29" i="154"/>
  <c r="E14" i="154"/>
  <c r="E13" i="154"/>
  <c r="E7" i="154"/>
  <c r="E6" i="154"/>
  <c r="E65" i="152"/>
  <c r="E64" i="152"/>
  <c r="E61" i="152"/>
  <c r="E60" i="152"/>
  <c r="E59" i="152"/>
  <c r="E57" i="152"/>
  <c r="E56" i="152"/>
  <c r="E55" i="152"/>
  <c r="E54" i="152"/>
  <c r="E53" i="152"/>
  <c r="E52" i="152"/>
  <c r="E49" i="152"/>
  <c r="E48" i="152"/>
  <c r="E46" i="152"/>
  <c r="E36" i="152"/>
  <c r="E33" i="152"/>
  <c r="E29" i="152"/>
  <c r="E16" i="152"/>
  <c r="E14" i="152"/>
  <c r="E7" i="152"/>
  <c r="E6" i="152"/>
  <c r="E65" i="151"/>
  <c r="E64" i="151"/>
  <c r="E61" i="151"/>
  <c r="E60" i="151"/>
  <c r="E59" i="151"/>
  <c r="E57" i="151"/>
  <c r="E56" i="151"/>
  <c r="E55" i="151"/>
  <c r="E54" i="151"/>
  <c r="E53" i="151"/>
  <c r="E52" i="151"/>
  <c r="E49" i="151"/>
  <c r="E48" i="151"/>
  <c r="E44" i="151"/>
  <c r="E41" i="151"/>
  <c r="E36" i="151"/>
  <c r="E35" i="151"/>
  <c r="E33" i="151"/>
  <c r="E29" i="151"/>
  <c r="E14" i="151"/>
  <c r="E10" i="151"/>
  <c r="E9" i="151"/>
  <c r="E7" i="151"/>
  <c r="E6" i="151"/>
  <c r="E65" i="150"/>
  <c r="E64" i="150"/>
  <c r="E61" i="150"/>
  <c r="E60" i="150"/>
  <c r="E59" i="150"/>
  <c r="E57" i="150"/>
  <c r="E56" i="150"/>
  <c r="E55" i="150"/>
  <c r="E54" i="150"/>
  <c r="E53" i="150"/>
  <c r="E52" i="150"/>
  <c r="E49" i="150"/>
  <c r="E48" i="150"/>
  <c r="E44" i="150"/>
  <c r="E41" i="150"/>
  <c r="E36" i="150"/>
  <c r="E35" i="150"/>
  <c r="E33" i="150"/>
  <c r="E29" i="150"/>
  <c r="E16" i="150"/>
  <c r="E14" i="150"/>
  <c r="E10" i="150"/>
  <c r="E9" i="150"/>
  <c r="E7" i="150"/>
  <c r="E6" i="150"/>
  <c r="E65" i="149"/>
  <c r="E64" i="149"/>
  <c r="E61" i="149"/>
  <c r="E60" i="149"/>
  <c r="E59" i="149"/>
  <c r="E57" i="149"/>
  <c r="E56" i="149"/>
  <c r="E55" i="149"/>
  <c r="E54" i="149"/>
  <c r="E53" i="149"/>
  <c r="E52" i="149"/>
  <c r="E49" i="149"/>
  <c r="E48" i="149"/>
  <c r="E44" i="149"/>
  <c r="E41" i="149"/>
  <c r="E36" i="149"/>
  <c r="E35" i="149"/>
  <c r="E33" i="149"/>
  <c r="E29" i="149"/>
  <c r="E16" i="149"/>
  <c r="E14" i="149"/>
  <c r="E10" i="149"/>
  <c r="E9" i="149"/>
  <c r="E7" i="149"/>
  <c r="E6" i="149"/>
  <c r="E65" i="148"/>
  <c r="E64" i="148"/>
  <c r="E61" i="148"/>
  <c r="E60" i="148"/>
  <c r="E59" i="148"/>
  <c r="E57" i="148"/>
  <c r="E56" i="148"/>
  <c r="E55" i="148"/>
  <c r="E54" i="148"/>
  <c r="E53" i="148"/>
  <c r="E52" i="148"/>
  <c r="E49" i="148"/>
  <c r="E48" i="148"/>
  <c r="E44" i="148"/>
  <c r="E41" i="148"/>
  <c r="E36" i="148"/>
  <c r="E35" i="148"/>
  <c r="E33" i="148"/>
  <c r="E29" i="148"/>
  <c r="E16" i="148"/>
  <c r="E14" i="148"/>
  <c r="E10" i="148"/>
  <c r="E9" i="148"/>
  <c r="E7" i="148"/>
  <c r="E6" i="148"/>
  <c r="E65" i="147"/>
  <c r="E64" i="147"/>
  <c r="E61" i="147"/>
  <c r="E60" i="147"/>
  <c r="E59" i="147"/>
  <c r="E57" i="147"/>
  <c r="E56" i="147"/>
  <c r="E55" i="147"/>
  <c r="E54" i="147"/>
  <c r="E53" i="147"/>
  <c r="E52" i="147"/>
  <c r="E49" i="147"/>
  <c r="E48" i="147"/>
  <c r="E44" i="147"/>
  <c r="E41" i="147"/>
  <c r="E36" i="147"/>
  <c r="E35" i="147"/>
  <c r="E33" i="147"/>
  <c r="E29" i="147"/>
  <c r="E16" i="147"/>
  <c r="E14" i="147"/>
  <c r="E10" i="147"/>
  <c r="E9" i="147"/>
  <c r="E7" i="147"/>
  <c r="E6" i="147"/>
  <c r="E65" i="146"/>
  <c r="E64" i="146"/>
  <c r="E61" i="146"/>
  <c r="E60" i="146"/>
  <c r="E59" i="146"/>
  <c r="E57" i="146"/>
  <c r="E56" i="146"/>
  <c r="E55" i="146"/>
  <c r="E54" i="146"/>
  <c r="E53" i="146"/>
  <c r="E52" i="146"/>
  <c r="E49" i="146"/>
  <c r="E48" i="146"/>
  <c r="E44" i="146"/>
  <c r="E41" i="146"/>
  <c r="E36" i="146"/>
  <c r="E35" i="146"/>
  <c r="E33" i="146"/>
  <c r="E29" i="146"/>
  <c r="E16" i="146"/>
  <c r="E14" i="146"/>
  <c r="E10" i="146"/>
  <c r="E9" i="146"/>
  <c r="E7" i="146"/>
  <c r="E6" i="146"/>
  <c r="E67" i="145"/>
  <c r="E66" i="145"/>
  <c r="E65" i="145"/>
  <c r="E64" i="145"/>
  <c r="E61" i="145"/>
  <c r="E60" i="145"/>
  <c r="E59" i="145"/>
  <c r="E55" i="145"/>
  <c r="E54" i="145"/>
  <c r="E53" i="145"/>
  <c r="E52" i="145"/>
  <c r="E48" i="145"/>
  <c r="E42" i="145"/>
  <c r="E41" i="145"/>
  <c r="E35" i="145"/>
  <c r="E30" i="145"/>
  <c r="E29" i="145"/>
  <c r="E14" i="145"/>
  <c r="E13" i="145"/>
  <c r="E7" i="145"/>
  <c r="E6" i="145"/>
  <c r="E65" i="144"/>
  <c r="E64" i="144"/>
  <c r="E62" i="144"/>
  <c r="E61" i="144"/>
  <c r="E60" i="144"/>
  <c r="E59" i="144"/>
  <c r="E52" i="144"/>
  <c r="E36" i="144"/>
  <c r="E35" i="144"/>
  <c r="E31" i="144"/>
  <c r="E29" i="144"/>
  <c r="E14" i="144"/>
  <c r="E13" i="144"/>
  <c r="E7" i="144"/>
  <c r="E6" i="144"/>
  <c r="E65" i="143"/>
  <c r="E64" i="143"/>
  <c r="E62" i="143"/>
  <c r="E61" i="143"/>
  <c r="E60" i="143"/>
  <c r="E59" i="143"/>
  <c r="E52" i="143"/>
  <c r="E36" i="143"/>
  <c r="E35" i="143"/>
  <c r="E31" i="143"/>
  <c r="E29" i="143"/>
  <c r="E14" i="143"/>
  <c r="E13" i="143"/>
  <c r="E7" i="143"/>
  <c r="E6" i="143"/>
  <c r="E65" i="142"/>
  <c r="E64" i="142"/>
  <c r="E62" i="142"/>
  <c r="E61" i="142"/>
  <c r="E60" i="142"/>
  <c r="E59" i="142"/>
  <c r="E52" i="142"/>
  <c r="E36" i="142"/>
  <c r="E35" i="142"/>
  <c r="E31" i="142"/>
  <c r="E29" i="142"/>
  <c r="E14" i="142"/>
  <c r="E13" i="142"/>
  <c r="E7" i="142"/>
  <c r="E6" i="142"/>
  <c r="E65" i="141"/>
  <c r="E64" i="141"/>
  <c r="E62" i="141"/>
  <c r="E61" i="141"/>
  <c r="E60" i="141"/>
  <c r="E59" i="141"/>
  <c r="E52" i="141"/>
  <c r="E36" i="141"/>
  <c r="E35" i="141"/>
  <c r="E31" i="141"/>
  <c r="E29" i="141"/>
  <c r="E14" i="141"/>
  <c r="E13" i="141"/>
  <c r="E7" i="141"/>
  <c r="E6" i="141"/>
  <c r="E78" i="127"/>
  <c r="E77" i="127"/>
  <c r="E74" i="127"/>
  <c r="I217" i="129"/>
  <c r="I206" i="129"/>
  <c r="I207" i="129"/>
  <c r="I205" i="129"/>
  <c r="G202" i="129"/>
  <c r="K205" i="129"/>
  <c r="K206" i="129"/>
  <c r="K207" i="129"/>
  <c r="K208" i="129"/>
  <c r="K210" i="129"/>
  <c r="K211" i="129"/>
  <c r="K212" i="129"/>
  <c r="K213" i="129"/>
  <c r="K214" i="129"/>
  <c r="J216" i="129"/>
  <c r="K216" i="129"/>
  <c r="K217" i="129"/>
  <c r="K218" i="129"/>
  <c r="I326" i="129"/>
  <c r="I318" i="129"/>
  <c r="I317" i="129"/>
  <c r="G314" i="129"/>
  <c r="K317" i="129"/>
  <c r="K318" i="129"/>
  <c r="K319" i="129"/>
  <c r="K321" i="129"/>
  <c r="J322" i="129"/>
  <c r="K322" i="129"/>
  <c r="K323" i="129"/>
  <c r="J325" i="129"/>
  <c r="K325" i="129"/>
  <c r="K326" i="129"/>
  <c r="K327" i="129"/>
  <c r="I302" i="129"/>
  <c r="I301" i="129"/>
  <c r="G298" i="129"/>
  <c r="K301" i="129"/>
  <c r="K302" i="129"/>
  <c r="K303" i="129"/>
  <c r="K305" i="129"/>
  <c r="K306" i="129"/>
  <c r="K307" i="129"/>
  <c r="K308" i="129"/>
  <c r="J310" i="129"/>
  <c r="K310" i="129"/>
  <c r="K311" i="129"/>
  <c r="I294" i="129"/>
  <c r="I293" i="129"/>
  <c r="I280" i="129"/>
  <c r="I281" i="129"/>
  <c r="I279" i="129"/>
  <c r="G276" i="129"/>
  <c r="K279" i="129"/>
  <c r="K280" i="129"/>
  <c r="K281" i="129"/>
  <c r="K282" i="129"/>
  <c r="K284" i="129"/>
  <c r="K285" i="129"/>
  <c r="K286" i="129"/>
  <c r="K287" i="129"/>
  <c r="K288" i="129"/>
  <c r="K289" i="129"/>
  <c r="K290" i="129"/>
  <c r="J292" i="129"/>
  <c r="K292" i="129"/>
  <c r="K293" i="129"/>
  <c r="K294" i="129"/>
  <c r="K295" i="129"/>
  <c r="I157" i="129"/>
  <c r="I143" i="129"/>
  <c r="I144" i="129"/>
  <c r="I145" i="129"/>
  <c r="I146" i="129"/>
  <c r="I142" i="129"/>
  <c r="K157" i="129"/>
  <c r="K153" i="129"/>
  <c r="K152" i="129"/>
  <c r="K151" i="129"/>
  <c r="K150" i="129"/>
  <c r="K149" i="129"/>
  <c r="K154" i="129" s="1"/>
  <c r="K146" i="129"/>
  <c r="K145" i="129"/>
  <c r="K144" i="129"/>
  <c r="K143" i="129"/>
  <c r="K142" i="129"/>
  <c r="K147" i="129" s="1"/>
  <c r="N2" i="138"/>
  <c r="M2" i="140"/>
  <c r="E11" i="140"/>
  <c r="E10" i="140"/>
  <c r="E7" i="140"/>
  <c r="E6" i="140"/>
  <c r="E73" i="127"/>
  <c r="E72" i="127"/>
  <c r="J28" i="124"/>
  <c r="J31" i="124"/>
  <c r="J32" i="124"/>
  <c r="J33" i="124"/>
  <c r="J34" i="124"/>
  <c r="J35" i="124"/>
  <c r="J36" i="124"/>
  <c r="J37" i="124"/>
  <c r="J22" i="124"/>
  <c r="J21" i="124"/>
  <c r="J18" i="124"/>
  <c r="J40" i="124"/>
  <c r="J41" i="124"/>
  <c r="J17" i="124"/>
  <c r="J16" i="124"/>
  <c r="J43" i="124"/>
  <c r="J45" i="124"/>
  <c r="J15" i="124"/>
  <c r="J48" i="124"/>
  <c r="J49" i="124"/>
  <c r="J50" i="124"/>
  <c r="J13" i="124"/>
  <c r="J52" i="124"/>
  <c r="J53" i="124"/>
  <c r="J54" i="124"/>
  <c r="J55" i="124"/>
  <c r="Z144" i="119"/>
  <c r="J57" i="124"/>
  <c r="Z104" i="119"/>
  <c r="Z80" i="119"/>
  <c r="J58" i="124"/>
  <c r="Z56" i="119"/>
  <c r="J60" i="124"/>
  <c r="Z32" i="119"/>
  <c r="J62" i="124"/>
  <c r="Z7" i="119"/>
  <c r="J63" i="124"/>
  <c r="J64" i="124"/>
  <c r="J12" i="124"/>
  <c r="J65" i="124"/>
  <c r="J11" i="124"/>
  <c r="J10" i="124"/>
  <c r="J9" i="124"/>
  <c r="J68" i="124"/>
  <c r="K140" i="135"/>
  <c r="J69" i="124"/>
  <c r="K100" i="135"/>
  <c r="J70" i="124"/>
  <c r="K52" i="135"/>
  <c r="J71" i="124"/>
  <c r="K28" i="135"/>
  <c r="K3" i="135"/>
  <c r="J72" i="124"/>
  <c r="J73" i="124"/>
  <c r="J74" i="124"/>
  <c r="J76" i="124"/>
  <c r="J77" i="124"/>
  <c r="K76" i="135"/>
  <c r="I9" i="119"/>
  <c r="I10" i="119"/>
  <c r="J8" i="124"/>
  <c r="I11" i="119"/>
  <c r="I12" i="119"/>
  <c r="I13" i="119"/>
  <c r="J7" i="124"/>
  <c r="J6" i="124"/>
  <c r="J39" i="119"/>
  <c r="J40" i="119"/>
  <c r="J41" i="119"/>
  <c r="J42" i="119"/>
  <c r="J43" i="119"/>
  <c r="J38" i="119"/>
  <c r="U417" i="121"/>
  <c r="U410" i="121"/>
  <c r="W239" i="140"/>
  <c r="Y239" i="140" s="1"/>
  <c r="X235" i="140"/>
  <c r="Y235" i="140" s="1"/>
  <c r="Y234" i="140"/>
  <c r="Y236" i="140" s="1"/>
  <c r="W231" i="140"/>
  <c r="Y231" i="140" s="1"/>
  <c r="W230" i="140"/>
  <c r="Y230" i="140" s="1"/>
  <c r="Y232" i="140" s="1"/>
  <c r="X238" i="140" s="1"/>
  <c r="Y238" i="140" s="1"/>
  <c r="Y240" i="140" s="1"/>
  <c r="Y227" i="140"/>
  <c r="U227" i="140"/>
  <c r="Y220" i="140"/>
  <c r="Y219" i="140"/>
  <c r="Y218" i="140"/>
  <c r="Y221" i="140" s="1"/>
  <c r="W215" i="140"/>
  <c r="Y215" i="140" s="1"/>
  <c r="W214" i="140"/>
  <c r="Y214" i="140" s="1"/>
  <c r="W213" i="140"/>
  <c r="Y213" i="140" s="1"/>
  <c r="Y216" i="140" s="1"/>
  <c r="X223" i="140" s="1"/>
  <c r="Y223" i="140" s="1"/>
  <c r="Y224" i="140" s="1"/>
  <c r="Y210" i="140"/>
  <c r="U210" i="140"/>
  <c r="W206" i="140"/>
  <c r="Y206" i="140" s="1"/>
  <c r="W205" i="140"/>
  <c r="Y205" i="140" s="1"/>
  <c r="Y201" i="140"/>
  <c r="Y200" i="140"/>
  <c r="Y199" i="140"/>
  <c r="Y198" i="140"/>
  <c r="Y197" i="140"/>
  <c r="Y202" i="140" s="1"/>
  <c r="W194" i="140"/>
  <c r="Y194" i="140" s="1"/>
  <c r="W193" i="140"/>
  <c r="Y193" i="140" s="1"/>
  <c r="W192" i="140"/>
  <c r="Y192" i="140" s="1"/>
  <c r="Y195" i="140" s="1"/>
  <c r="X204" i="140" s="1"/>
  <c r="Y204" i="140" s="1"/>
  <c r="Y207" i="140" s="1"/>
  <c r="Y189" i="140"/>
  <c r="U189" i="140"/>
  <c r="Y181" i="140"/>
  <c r="Y183" i="140" s="1"/>
  <c r="W178" i="140"/>
  <c r="Y178" i="140" s="1"/>
  <c r="W177" i="140"/>
  <c r="Y177" i="140" s="1"/>
  <c r="W176" i="140"/>
  <c r="Y176" i="140" s="1"/>
  <c r="Y179" i="140" s="1"/>
  <c r="X185" i="140" s="1"/>
  <c r="Y185" i="140" s="1"/>
  <c r="Y186" i="140" s="1"/>
  <c r="Y173" i="140"/>
  <c r="U173" i="140"/>
  <c r="X166" i="140"/>
  <c r="Y166" i="140" s="1"/>
  <c r="Y165" i="140"/>
  <c r="Y167" i="140" s="1"/>
  <c r="W162" i="140"/>
  <c r="Y162" i="140" s="1"/>
  <c r="W161" i="140"/>
  <c r="Y161" i="140" s="1"/>
  <c r="W160" i="140"/>
  <c r="Y160" i="140" s="1"/>
  <c r="Y163" i="140" s="1"/>
  <c r="X169" i="140" s="1"/>
  <c r="Y169" i="140" s="1"/>
  <c r="Y170" i="140" s="1"/>
  <c r="Y157" i="140"/>
  <c r="U157" i="140"/>
  <c r="Y150" i="140"/>
  <c r="Y149" i="140"/>
  <c r="Y148" i="140"/>
  <c r="Y151" i="140" s="1"/>
  <c r="W145" i="140"/>
  <c r="Y145" i="140" s="1"/>
  <c r="W144" i="140"/>
  <c r="Y144" i="140" s="1"/>
  <c r="W143" i="140"/>
  <c r="Y143" i="140" s="1"/>
  <c r="Y146" i="140" s="1"/>
  <c r="X153" i="140" s="1"/>
  <c r="Y153" i="140" s="1"/>
  <c r="Y154" i="140" s="1"/>
  <c r="Y140" i="140"/>
  <c r="U140" i="140"/>
  <c r="W135" i="140"/>
  <c r="Y135" i="140" s="1"/>
  <c r="W134" i="140"/>
  <c r="Y134" i="140" s="1"/>
  <c r="Y131" i="140"/>
  <c r="Y130" i="140"/>
  <c r="Y129" i="140"/>
  <c r="Y128" i="140"/>
  <c r="Y127" i="140"/>
  <c r="Y126" i="140"/>
  <c r="Y125" i="140"/>
  <c r="Y132" i="140" s="1"/>
  <c r="W122" i="140"/>
  <c r="Y122" i="140" s="1"/>
  <c r="W121" i="140"/>
  <c r="Y121" i="140" s="1"/>
  <c r="W120" i="140"/>
  <c r="Y120" i="140" s="1"/>
  <c r="W119" i="140"/>
  <c r="Y119" i="140" s="1"/>
  <c r="W118" i="140"/>
  <c r="Y118" i="140" s="1"/>
  <c r="Y123" i="140" s="1"/>
  <c r="X136" i="140" s="1"/>
  <c r="Y136" i="140" s="1"/>
  <c r="U115" i="140"/>
  <c r="W111" i="140"/>
  <c r="Y111" i="140" s="1"/>
  <c r="X107" i="140"/>
  <c r="Y107" i="140" s="1"/>
  <c r="Y106" i="140"/>
  <c r="Y108" i="140" s="1"/>
  <c r="W103" i="140"/>
  <c r="Y103" i="140" s="1"/>
  <c r="W102" i="140"/>
  <c r="Y102" i="140" s="1"/>
  <c r="Y104" i="140" s="1"/>
  <c r="X110" i="140" s="1"/>
  <c r="Y110" i="140" s="1"/>
  <c r="Y112" i="140" s="1"/>
  <c r="Y99" i="140"/>
  <c r="U99" i="140"/>
  <c r="Y92" i="140"/>
  <c r="Y91" i="140"/>
  <c r="Y90" i="140"/>
  <c r="Y93" i="140" s="1"/>
  <c r="W87" i="140"/>
  <c r="Y87" i="140" s="1"/>
  <c r="W86" i="140"/>
  <c r="Y86" i="140" s="1"/>
  <c r="Y88" i="140" s="1"/>
  <c r="X95" i="140" s="1"/>
  <c r="Y95" i="140" s="1"/>
  <c r="Y96" i="140" s="1"/>
  <c r="Y83" i="140"/>
  <c r="U83" i="140"/>
  <c r="W79" i="140"/>
  <c r="Y79" i="140" s="1"/>
  <c r="W78" i="140"/>
  <c r="Y78" i="140" s="1"/>
  <c r="W77" i="140"/>
  <c r="Y77" i="140" s="1"/>
  <c r="Y73" i="140"/>
  <c r="Y72" i="140"/>
  <c r="Y71" i="140"/>
  <c r="Y70" i="140"/>
  <c r="Y69" i="140"/>
  <c r="Y74" i="140" s="1"/>
  <c r="W66" i="140"/>
  <c r="Y66" i="140" s="1"/>
  <c r="W65" i="140"/>
  <c r="Y65" i="140" s="1"/>
  <c r="W64" i="140"/>
  <c r="Y64" i="140" s="1"/>
  <c r="Y67" i="140" s="1"/>
  <c r="X76" i="140" s="1"/>
  <c r="Y76" i="140" s="1"/>
  <c r="Y80" i="140" s="1"/>
  <c r="Y61" i="140"/>
  <c r="U61" i="140"/>
  <c r="W55" i="140"/>
  <c r="Y55" i="140" s="1"/>
  <c r="X51" i="140"/>
  <c r="Y51" i="140" s="1"/>
  <c r="Y50" i="140"/>
  <c r="Y52" i="140" s="1"/>
  <c r="W47" i="140"/>
  <c r="Y47" i="140" s="1"/>
  <c r="W46" i="140"/>
  <c r="Y46" i="140" s="1"/>
  <c r="Y48" i="140" s="1"/>
  <c r="X54" i="140" s="1"/>
  <c r="Y54" i="140" s="1"/>
  <c r="Y56" i="140" s="1"/>
  <c r="Y43" i="140"/>
  <c r="U43" i="140"/>
  <c r="Y36" i="140"/>
  <c r="Y35" i="140"/>
  <c r="Y34" i="140"/>
  <c r="Y37" i="140" s="1"/>
  <c r="W31" i="140"/>
  <c r="Y31" i="140" s="1"/>
  <c r="W30" i="140"/>
  <c r="Y30" i="140" s="1"/>
  <c r="W29" i="140"/>
  <c r="Y29" i="140" s="1"/>
  <c r="Y32" i="140" s="1"/>
  <c r="X39" i="140" s="1"/>
  <c r="Y39" i="140" s="1"/>
  <c r="Y40" i="140" s="1"/>
  <c r="Y26" i="140"/>
  <c r="U26" i="140"/>
  <c r="W22" i="140"/>
  <c r="Y22" i="140" s="1"/>
  <c r="W21" i="140"/>
  <c r="Y21" i="140" s="1"/>
  <c r="Y17" i="140"/>
  <c r="Y16" i="140"/>
  <c r="Y15" i="140"/>
  <c r="Y14" i="140"/>
  <c r="Y13" i="140"/>
  <c r="Y18" i="140" s="1"/>
  <c r="H12" i="140"/>
  <c r="H11" i="140"/>
  <c r="W10" i="140"/>
  <c r="Y10" i="140" s="1"/>
  <c r="H10" i="140"/>
  <c r="W9" i="140"/>
  <c r="Y9" i="140" s="1"/>
  <c r="W8" i="140"/>
  <c r="Y8" i="140" s="1"/>
  <c r="Y11" i="140" s="1"/>
  <c r="X20" i="140" s="1"/>
  <c r="Y20" i="140" s="1"/>
  <c r="Y23" i="140" s="1"/>
  <c r="H8" i="140"/>
  <c r="H7" i="140"/>
  <c r="Y5" i="140"/>
  <c r="H6" i="140" s="1"/>
  <c r="U5" i="140"/>
  <c r="J15" i="121"/>
  <c r="U403" i="121" s="1"/>
  <c r="H29" i="138"/>
  <c r="H28" i="138"/>
  <c r="H25" i="138"/>
  <c r="H24" i="138"/>
  <c r="H30" i="138"/>
  <c r="H26" i="138"/>
  <c r="H21" i="138"/>
  <c r="H19" i="138"/>
  <c r="H17" i="138"/>
  <c r="H15" i="123" s="1"/>
  <c r="H11" i="138"/>
  <c r="H12" i="138"/>
  <c r="H13" i="138"/>
  <c r="H14" i="138"/>
  <c r="H15" i="138"/>
  <c r="H10" i="138"/>
  <c r="H9" i="138"/>
  <c r="M2" i="64"/>
  <c r="N2" i="62"/>
  <c r="N2" i="65"/>
  <c r="Y452" i="65"/>
  <c r="W214" i="64"/>
  <c r="W215" i="64"/>
  <c r="W213" i="64"/>
  <c r="H32" i="62"/>
  <c r="H31" i="62"/>
  <c r="H33" i="62" s="1"/>
  <c r="H28" i="62"/>
  <c r="H27" i="62"/>
  <c r="H29" i="62" s="1"/>
  <c r="H24" i="62"/>
  <c r="H25" i="62" s="1"/>
  <c r="N2" i="74"/>
  <c r="H17" i="74" s="1"/>
  <c r="Y220" i="138"/>
  <c r="Y275" i="138"/>
  <c r="X279" i="138"/>
  <c r="V266" i="138"/>
  <c r="X270" i="138"/>
  <c r="X269" i="138"/>
  <c r="Z279" i="138"/>
  <c r="Z275" i="138"/>
  <c r="Z274" i="138"/>
  <c r="Z270" i="138"/>
  <c r="Z269" i="138"/>
  <c r="Z272" i="138" s="1"/>
  <c r="V250" i="138"/>
  <c r="Z258" i="138"/>
  <c r="Z259" i="138"/>
  <c r="Z257" i="138"/>
  <c r="Z260" i="138" s="1"/>
  <c r="Z237" i="138"/>
  <c r="Z238" i="138"/>
  <c r="Z239" i="138"/>
  <c r="Z240" i="138"/>
  <c r="Z241" i="138"/>
  <c r="Z236" i="138"/>
  <c r="X254" i="138"/>
  <c r="Z254" i="138" s="1"/>
  <c r="X253" i="138"/>
  <c r="Z253" i="138" s="1"/>
  <c r="Z255" i="138" s="1"/>
  <c r="Y262" i="138" s="1"/>
  <c r="Z262" i="138" s="1"/>
  <c r="Z263" i="138" s="1"/>
  <c r="Z250" i="138" s="1"/>
  <c r="V228" i="138"/>
  <c r="X246" i="138"/>
  <c r="Z246" i="138" s="1"/>
  <c r="X245" i="138"/>
  <c r="Z245" i="138" s="1"/>
  <c r="Z242" i="138"/>
  <c r="X232" i="138"/>
  <c r="Z232" i="138" s="1"/>
  <c r="X233" i="138"/>
  <c r="Z233" i="138" s="1"/>
  <c r="X231" i="138"/>
  <c r="Z231" i="138" s="1"/>
  <c r="Z234" i="138" s="1"/>
  <c r="Y244" i="138" s="1"/>
  <c r="Z244" i="138" s="1"/>
  <c r="Z247" i="138" s="1"/>
  <c r="V212" i="138"/>
  <c r="Z220" i="138"/>
  <c r="Z219" i="138"/>
  <c r="Z221" i="138" s="1"/>
  <c r="X224" i="138"/>
  <c r="Z224" i="138" s="1"/>
  <c r="X216" i="138"/>
  <c r="Z216" i="138" s="1"/>
  <c r="X215" i="138"/>
  <c r="Z215" i="138" s="1"/>
  <c r="Z217" i="138" s="1"/>
  <c r="Y223" i="138" s="1"/>
  <c r="Z223" i="138" s="1"/>
  <c r="Z225" i="138" s="1"/>
  <c r="V195" i="138"/>
  <c r="Z204" i="138"/>
  <c r="Z203" i="138"/>
  <c r="Z202" i="138"/>
  <c r="Z205" i="138" s="1"/>
  <c r="X199" i="138"/>
  <c r="Z199" i="138" s="1"/>
  <c r="X198" i="138"/>
  <c r="Z198" i="138" s="1"/>
  <c r="Z200" i="138" s="1"/>
  <c r="X191" i="138"/>
  <c r="X190" i="138"/>
  <c r="V173" i="138"/>
  <c r="Z191" i="138"/>
  <c r="Z190" i="138"/>
  <c r="Z182" i="138"/>
  <c r="Z183" i="138"/>
  <c r="Z184" i="138"/>
  <c r="Z185" i="138"/>
  <c r="Z186" i="138"/>
  <c r="Z181" i="138"/>
  <c r="Z187" i="138" s="1"/>
  <c r="X177" i="138"/>
  <c r="Z177" i="138" s="1"/>
  <c r="X178" i="138"/>
  <c r="Z178" i="138" s="1"/>
  <c r="X176" i="138"/>
  <c r="Z176" i="138" s="1"/>
  <c r="Z179" i="138" s="1"/>
  <c r="Y189" i="138" s="1"/>
  <c r="Z189" i="138" s="1"/>
  <c r="Z192" i="138" s="1"/>
  <c r="Z173" i="138" s="1"/>
  <c r="V154" i="138"/>
  <c r="X169" i="138"/>
  <c r="Z169" i="138"/>
  <c r="Z163" i="138"/>
  <c r="Z164" i="138"/>
  <c r="Z165" i="138"/>
  <c r="Z162" i="138"/>
  <c r="X158" i="138"/>
  <c r="Z158" i="138" s="1"/>
  <c r="X159" i="138"/>
  <c r="Z159" i="138" s="1"/>
  <c r="X157" i="138"/>
  <c r="Z157" i="138" s="1"/>
  <c r="Z160" i="138" s="1"/>
  <c r="Y168" i="138" s="1"/>
  <c r="Z168" i="138" s="1"/>
  <c r="V135" i="138"/>
  <c r="Z144" i="138"/>
  <c r="Z145" i="138"/>
  <c r="Z146" i="138"/>
  <c r="Z143" i="138"/>
  <c r="Z147" i="138" s="1"/>
  <c r="X150" i="138"/>
  <c r="Z150" i="138" s="1"/>
  <c r="X139" i="138"/>
  <c r="Z139" i="138" s="1"/>
  <c r="X140" i="138"/>
  <c r="Z140" i="138" s="1"/>
  <c r="X138" i="138"/>
  <c r="Z138" i="138" s="1"/>
  <c r="Z141" i="138" s="1"/>
  <c r="Y149" i="138" s="1"/>
  <c r="Z149" i="138" s="1"/>
  <c r="Z151" i="138" s="1"/>
  <c r="Z135" i="138" s="1"/>
  <c r="X127" i="138"/>
  <c r="V109" i="138"/>
  <c r="Z127" i="138"/>
  <c r="Z123" i="138"/>
  <c r="Z122" i="138"/>
  <c r="Z121" i="138"/>
  <c r="Z120" i="138"/>
  <c r="Z119" i="138"/>
  <c r="Z124" i="138" s="1"/>
  <c r="X113" i="138"/>
  <c r="Z113" i="138" s="1"/>
  <c r="X114" i="138"/>
  <c r="Z114" i="138" s="1"/>
  <c r="X115" i="138"/>
  <c r="Z115" i="138" s="1"/>
  <c r="X116" i="138"/>
  <c r="Z116" i="138" s="1"/>
  <c r="X112" i="138"/>
  <c r="Z112" i="138" s="1"/>
  <c r="Z117" i="138" s="1"/>
  <c r="Y126" i="138" s="1"/>
  <c r="Z126" i="138" s="1"/>
  <c r="V96" i="138"/>
  <c r="X105" i="138"/>
  <c r="Z105" i="138" s="1"/>
  <c r="X104" i="138"/>
  <c r="Z104" i="138" s="1"/>
  <c r="X100" i="138"/>
  <c r="Z100" i="138" s="1"/>
  <c r="X99" i="138"/>
  <c r="Z99" i="138" s="1"/>
  <c r="Z101" i="138" s="1"/>
  <c r="Y103" i="138" s="1"/>
  <c r="Z103" i="138" s="1"/>
  <c r="Z106" i="138" s="1"/>
  <c r="Z96" i="138" s="1"/>
  <c r="V85" i="138"/>
  <c r="X92" i="138"/>
  <c r="X80" i="138"/>
  <c r="X81" i="138"/>
  <c r="X79" i="138"/>
  <c r="Z92" i="138"/>
  <c r="X88" i="138"/>
  <c r="Z88" i="138" s="1"/>
  <c r="Z89" i="138" s="1"/>
  <c r="Y91" i="138" s="1"/>
  <c r="Z91" i="138" s="1"/>
  <c r="Z93" i="138" s="1"/>
  <c r="Z85" i="138" s="1"/>
  <c r="V70" i="138"/>
  <c r="Z80" i="138"/>
  <c r="Z81" i="138"/>
  <c r="Z79" i="138"/>
  <c r="X74" i="138"/>
  <c r="Z74" i="138" s="1"/>
  <c r="X75" i="138"/>
  <c r="Z75" i="138" s="1"/>
  <c r="X73" i="138"/>
  <c r="Z73" i="138" s="1"/>
  <c r="Z76" i="138" s="1"/>
  <c r="Y78" i="138" s="1"/>
  <c r="Z78" i="138" s="1"/>
  <c r="V53" i="138"/>
  <c r="Z61" i="138"/>
  <c r="Z62" i="138"/>
  <c r="X66" i="138"/>
  <c r="Z66" i="138" s="1"/>
  <c r="X65" i="138"/>
  <c r="Z65" i="138" s="1"/>
  <c r="X57" i="138"/>
  <c r="Z57" i="138" s="1"/>
  <c r="X58" i="138"/>
  <c r="Z58" i="138" s="1"/>
  <c r="X56" i="138"/>
  <c r="Z56" i="138" s="1"/>
  <c r="Z59" i="138" s="1"/>
  <c r="Y64" i="138" s="1"/>
  <c r="Z64" i="138" s="1"/>
  <c r="Z67" i="138" s="1"/>
  <c r="Z53" i="138" s="1"/>
  <c r="V36" i="138"/>
  <c r="X49" i="138"/>
  <c r="Z49" i="138"/>
  <c r="Z45" i="138"/>
  <c r="Z44" i="138"/>
  <c r="Z46" i="138" s="1"/>
  <c r="X40" i="138"/>
  <c r="Z40" i="138" s="1"/>
  <c r="X41" i="138"/>
  <c r="Z41" i="138" s="1"/>
  <c r="X39" i="138"/>
  <c r="Z39" i="138" s="1"/>
  <c r="Z42" i="138" s="1"/>
  <c r="Y48" i="138" s="1"/>
  <c r="Z48" i="138" s="1"/>
  <c r="X29" i="138"/>
  <c r="Z29" i="138" s="1"/>
  <c r="X28" i="138"/>
  <c r="Z28" i="138" s="1"/>
  <c r="Z30" i="138" s="1"/>
  <c r="V25" i="138"/>
  <c r="I29" i="138"/>
  <c r="J29" i="138" s="1"/>
  <c r="I24" i="138"/>
  <c r="J24" i="138" s="1"/>
  <c r="I19" i="138"/>
  <c r="J19" i="138" s="1"/>
  <c r="I15" i="138"/>
  <c r="J15" i="138" s="1"/>
  <c r="I14" i="138"/>
  <c r="J14" i="138" s="1"/>
  <c r="I12" i="138"/>
  <c r="J12" i="138" s="1"/>
  <c r="X18" i="138"/>
  <c r="X13" i="138"/>
  <c r="X14" i="138"/>
  <c r="X12" i="138"/>
  <c r="Z13" i="138"/>
  <c r="Z14" i="138"/>
  <c r="Z12" i="138"/>
  <c r="Z15" i="138" s="1"/>
  <c r="Y17" i="138" s="1"/>
  <c r="Z18" i="138"/>
  <c r="Z17" i="138"/>
  <c r="Z19" i="138" s="1"/>
  <c r="V9" i="138"/>
  <c r="J14" i="121"/>
  <c r="J13" i="121"/>
  <c r="N2" i="71"/>
  <c r="K694" i="135"/>
  <c r="K695" i="135" s="1"/>
  <c r="K691" i="135"/>
  <c r="G691" i="135"/>
  <c r="K677" i="135"/>
  <c r="K681" i="135"/>
  <c r="K687" i="135"/>
  <c r="K688" i="135" s="1"/>
  <c r="K684" i="135"/>
  <c r="G684" i="135"/>
  <c r="K680" i="135"/>
  <c r="G677" i="135"/>
  <c r="K673" i="135"/>
  <c r="K674" i="135" s="1"/>
  <c r="K670" i="135"/>
  <c r="G670" i="135"/>
  <c r="K666" i="135"/>
  <c r="K667" i="135" s="1"/>
  <c r="K663" i="135"/>
  <c r="G663" i="135"/>
  <c r="K659" i="135"/>
  <c r="K660" i="135" s="1"/>
  <c r="K656" i="135"/>
  <c r="G656" i="135"/>
  <c r="K652" i="135"/>
  <c r="K653" i="135" s="1"/>
  <c r="K649" i="135"/>
  <c r="G649" i="135"/>
  <c r="K645" i="135"/>
  <c r="K646" i="135" s="1"/>
  <c r="K642" i="135"/>
  <c r="G642" i="135"/>
  <c r="K635" i="135"/>
  <c r="K639" i="135"/>
  <c r="K638" i="135"/>
  <c r="G635" i="135"/>
  <c r="K620" i="135"/>
  <c r="K623" i="135"/>
  <c r="K625" i="135"/>
  <c r="I631" i="135"/>
  <c r="I624" i="135"/>
  <c r="I623" i="135"/>
  <c r="K606" i="135"/>
  <c r="I609" i="135"/>
  <c r="K590" i="135"/>
  <c r="K603" i="135"/>
  <c r="K595" i="135"/>
  <c r="I602" i="135"/>
  <c r="I601" i="135"/>
  <c r="I594" i="135"/>
  <c r="I593" i="135"/>
  <c r="K578" i="135"/>
  <c r="I586" i="135"/>
  <c r="I582" i="135"/>
  <c r="I581" i="135"/>
  <c r="K572" i="135"/>
  <c r="K562" i="135"/>
  <c r="I565" i="135"/>
  <c r="I558" i="135"/>
  <c r="I551" i="135"/>
  <c r="I550" i="135"/>
  <c r="K555" i="135"/>
  <c r="K533" i="135"/>
  <c r="I537" i="135"/>
  <c r="K518" i="135"/>
  <c r="I529" i="135"/>
  <c r="I522" i="135"/>
  <c r="I521" i="135"/>
  <c r="K500" i="135"/>
  <c r="K512" i="135"/>
  <c r="K506" i="135"/>
  <c r="I505" i="135"/>
  <c r="I504" i="135"/>
  <c r="I503" i="135"/>
  <c r="K487" i="135"/>
  <c r="I490" i="135"/>
  <c r="Z512" i="119"/>
  <c r="K481" i="135"/>
  <c r="K473" i="135"/>
  <c r="I472" i="135"/>
  <c r="I471" i="135"/>
  <c r="I470" i="135"/>
  <c r="K631" i="135"/>
  <c r="K627" i="135"/>
  <c r="K628" i="135" s="1"/>
  <c r="K624" i="135"/>
  <c r="J630" i="135"/>
  <c r="K630" i="135" s="1"/>
  <c r="K632" i="135" s="1"/>
  <c r="G620" i="135"/>
  <c r="K613" i="135"/>
  <c r="K612" i="135"/>
  <c r="K614" i="135" s="1"/>
  <c r="K609" i="135"/>
  <c r="K610" i="135" s="1"/>
  <c r="J616" i="135" s="1"/>
  <c r="K616" i="135" s="1"/>
  <c r="K617" i="135" s="1"/>
  <c r="G606" i="135"/>
  <c r="K602" i="135"/>
  <c r="K601" i="135"/>
  <c r="K597" i="135"/>
  <c r="K598" i="135" s="1"/>
  <c r="K594" i="135"/>
  <c r="K593" i="135"/>
  <c r="J600" i="135" s="1"/>
  <c r="K600" i="135" s="1"/>
  <c r="G590" i="135"/>
  <c r="K586" i="135"/>
  <c r="K582" i="135"/>
  <c r="K581" i="135"/>
  <c r="K583" i="135" s="1"/>
  <c r="J585" i="135" s="1"/>
  <c r="K585" i="135" s="1"/>
  <c r="K587" i="135" s="1"/>
  <c r="G578" i="135"/>
  <c r="K571" i="135"/>
  <c r="K570" i="135"/>
  <c r="K569" i="135"/>
  <c r="K568" i="135"/>
  <c r="K565" i="135"/>
  <c r="K566" i="135" s="1"/>
  <c r="J574" i="135" s="1"/>
  <c r="K574" i="135" s="1"/>
  <c r="K575" i="135" s="1"/>
  <c r="G562" i="135"/>
  <c r="K558" i="135"/>
  <c r="K554" i="135"/>
  <c r="K551" i="135"/>
  <c r="K550" i="135"/>
  <c r="G547" i="135"/>
  <c r="K540" i="135"/>
  <c r="K541" i="135" s="1"/>
  <c r="K537" i="135"/>
  <c r="K538" i="135" s="1"/>
  <c r="J543" i="135" s="1"/>
  <c r="K543" i="135" s="1"/>
  <c r="K544" i="135" s="1"/>
  <c r="G533" i="135"/>
  <c r="K529" i="135"/>
  <c r="K525" i="135"/>
  <c r="K526" i="135" s="1"/>
  <c r="K522" i="135"/>
  <c r="K521" i="135"/>
  <c r="K523" i="135" s="1"/>
  <c r="J528" i="135" s="1"/>
  <c r="K528" i="135" s="1"/>
  <c r="K530" i="135" s="1"/>
  <c r="G518" i="135"/>
  <c r="K511" i="135"/>
  <c r="K510" i="135"/>
  <c r="K509" i="135"/>
  <c r="K508" i="135"/>
  <c r="K505" i="135"/>
  <c r="K504" i="135"/>
  <c r="K503" i="135"/>
  <c r="J514" i="135" s="1"/>
  <c r="K514" i="135" s="1"/>
  <c r="K515" i="135" s="1"/>
  <c r="G500" i="135"/>
  <c r="K493" i="135"/>
  <c r="K494" i="135" s="1"/>
  <c r="K490" i="135"/>
  <c r="K491" i="135" s="1"/>
  <c r="J496" i="135" s="1"/>
  <c r="K496" i="135" s="1"/>
  <c r="K497" i="135" s="1"/>
  <c r="G487" i="135"/>
  <c r="K480" i="135"/>
  <c r="K479" i="135"/>
  <c r="K478" i="135"/>
  <c r="K477" i="135"/>
  <c r="K476" i="135"/>
  <c r="K475" i="135"/>
  <c r="K472" i="135"/>
  <c r="K471" i="135"/>
  <c r="J483" i="135" s="1"/>
  <c r="K483" i="135" s="1"/>
  <c r="K484" i="135" s="1"/>
  <c r="K467" i="135" s="1"/>
  <c r="K470" i="135"/>
  <c r="G467" i="135"/>
  <c r="K463" i="135"/>
  <c r="K454" i="135"/>
  <c r="K442" i="135"/>
  <c r="I445" i="135"/>
  <c r="K429" i="135"/>
  <c r="I432" i="135"/>
  <c r="K422" i="135"/>
  <c r="K426" i="135"/>
  <c r="K416" i="135"/>
  <c r="K419" i="135"/>
  <c r="K396" i="135"/>
  <c r="K410" i="135"/>
  <c r="K407" i="135"/>
  <c r="K404" i="135"/>
  <c r="K401" i="135"/>
  <c r="K399" i="135"/>
  <c r="I400" i="135"/>
  <c r="I399" i="135"/>
  <c r="K390" i="135"/>
  <c r="K391" i="135"/>
  <c r="K392" i="135"/>
  <c r="K387" i="135"/>
  <c r="K386" i="135"/>
  <c r="K388" i="135"/>
  <c r="I392" i="135"/>
  <c r="I391" i="135"/>
  <c r="I387" i="135"/>
  <c r="I386" i="135"/>
  <c r="K380" i="135"/>
  <c r="K375" i="135"/>
  <c r="K378" i="135"/>
  <c r="K372" i="135"/>
  <c r="K358" i="135"/>
  <c r="K364" i="135"/>
  <c r="K351" i="135"/>
  <c r="K350" i="135"/>
  <c r="K352" i="135"/>
  <c r="K346" i="135"/>
  <c r="K343" i="135"/>
  <c r="K340" i="135"/>
  <c r="K335" i="135"/>
  <c r="K464" i="135"/>
  <c r="K460" i="135" s="1"/>
  <c r="G460" i="135"/>
  <c r="K453" i="135"/>
  <c r="K452" i="135"/>
  <c r="K451" i="135"/>
  <c r="K450" i="135"/>
  <c r="K449" i="135"/>
  <c r="K448" i="135"/>
  <c r="K445" i="135"/>
  <c r="K446" i="135" s="1"/>
  <c r="J456" i="135" s="1"/>
  <c r="K456" i="135" s="1"/>
  <c r="K457" i="135" s="1"/>
  <c r="G442" i="135"/>
  <c r="K435" i="135"/>
  <c r="K436" i="135" s="1"/>
  <c r="K432" i="135"/>
  <c r="K433" i="135" s="1"/>
  <c r="J438" i="135" s="1"/>
  <c r="K438" i="135" s="1"/>
  <c r="K439" i="135" s="1"/>
  <c r="G429" i="135"/>
  <c r="K425" i="135"/>
  <c r="G422" i="135"/>
  <c r="K418" i="135"/>
  <c r="K417" i="135"/>
  <c r="K413" i="135"/>
  <c r="G413" i="135"/>
  <c r="K406" i="135"/>
  <c r="K405" i="135"/>
  <c r="K403" i="135"/>
  <c r="K400" i="135"/>
  <c r="J409" i="135"/>
  <c r="K409" i="135" s="1"/>
  <c r="G396" i="135"/>
  <c r="J390" i="135"/>
  <c r="K393" i="135" s="1"/>
  <c r="K383" i="135"/>
  <c r="G383" i="135"/>
  <c r="K379" i="135"/>
  <c r="G375" i="135"/>
  <c r="K371" i="135"/>
  <c r="K370" i="135"/>
  <c r="K367" i="135"/>
  <c r="G367" i="135"/>
  <c r="K363" i="135"/>
  <c r="K362" i="135"/>
  <c r="K361" i="135"/>
  <c r="K360" i="135"/>
  <c r="K359" i="135"/>
  <c r="K355" i="135"/>
  <c r="G355" i="135"/>
  <c r="K349" i="135"/>
  <c r="G346" i="135"/>
  <c r="K342" i="135"/>
  <c r="K341" i="135"/>
  <c r="K339" i="135"/>
  <c r="K338" i="135"/>
  <c r="K337" i="135"/>
  <c r="K336" i="135"/>
  <c r="K332" i="135"/>
  <c r="G332" i="135"/>
  <c r="K327" i="135"/>
  <c r="K323" i="135"/>
  <c r="K316" i="135"/>
  <c r="K310" i="135"/>
  <c r="K301" i="135"/>
  <c r="K297" i="135"/>
  <c r="K317" i="135"/>
  <c r="K294" i="135"/>
  <c r="K275" i="135"/>
  <c r="K286" i="135"/>
  <c r="K291" i="135"/>
  <c r="I290" i="135"/>
  <c r="I289" i="135"/>
  <c r="I279" i="135"/>
  <c r="I278" i="135"/>
  <c r="K267" i="135"/>
  <c r="I271" i="135"/>
  <c r="I270" i="135"/>
  <c r="I259" i="135"/>
  <c r="I258" i="135"/>
  <c r="K328" i="135"/>
  <c r="K326" i="135"/>
  <c r="K325" i="135"/>
  <c r="K324" i="135"/>
  <c r="K329" i="135"/>
  <c r="K320" i="135" s="1"/>
  <c r="G320" i="135"/>
  <c r="K315" i="135"/>
  <c r="K314" i="135"/>
  <c r="K313" i="135"/>
  <c r="K312" i="135"/>
  <c r="K311" i="135"/>
  <c r="K309" i="135"/>
  <c r="K308" i="135"/>
  <c r="K307" i="135"/>
  <c r="K306" i="135"/>
  <c r="K305" i="135"/>
  <c r="K304" i="135"/>
  <c r="K303" i="135"/>
  <c r="K302" i="135"/>
  <c r="K300" i="135"/>
  <c r="K299" i="135"/>
  <c r="K298" i="135"/>
  <c r="G294" i="135"/>
  <c r="K290" i="135"/>
  <c r="K289" i="135"/>
  <c r="K285" i="135"/>
  <c r="K284" i="135"/>
  <c r="K283" i="135"/>
  <c r="K282" i="135"/>
  <c r="K279" i="135"/>
  <c r="K278" i="135"/>
  <c r="K280" i="135" s="1"/>
  <c r="J288" i="135" s="1"/>
  <c r="K288" i="135" s="1"/>
  <c r="G275" i="135"/>
  <c r="K271" i="135"/>
  <c r="K270" i="135"/>
  <c r="K266" i="135"/>
  <c r="K265" i="135"/>
  <c r="K264" i="135"/>
  <c r="K263" i="135"/>
  <c r="K262" i="135"/>
  <c r="K259" i="135"/>
  <c r="K258" i="135"/>
  <c r="G255" i="135"/>
  <c r="I27" i="119"/>
  <c r="G248" i="135"/>
  <c r="Z196" i="119"/>
  <c r="Z173" i="119"/>
  <c r="K169" i="135"/>
  <c r="K192" i="135"/>
  <c r="K213" i="135"/>
  <c r="K206" i="135"/>
  <c r="K199" i="135"/>
  <c r="G241" i="135"/>
  <c r="K238" i="135"/>
  <c r="K234" i="135"/>
  <c r="I236" i="135"/>
  <c r="I233" i="135"/>
  <c r="I223" i="135"/>
  <c r="K236" i="135"/>
  <c r="K233" i="135"/>
  <c r="G230" i="135"/>
  <c r="K223" i="135"/>
  <c r="G220" i="135"/>
  <c r="K216" i="135"/>
  <c r="K217" i="135" s="1"/>
  <c r="G213" i="135"/>
  <c r="K209" i="135"/>
  <c r="K210" i="135" s="1"/>
  <c r="G206" i="135"/>
  <c r="K202" i="135"/>
  <c r="K203" i="135" s="1"/>
  <c r="G199" i="135"/>
  <c r="K195" i="135"/>
  <c r="K196" i="135" s="1"/>
  <c r="G192" i="135"/>
  <c r="I174" i="135"/>
  <c r="I173" i="135"/>
  <c r="I172" i="135"/>
  <c r="I144" i="135"/>
  <c r="I143" i="135"/>
  <c r="I128" i="135"/>
  <c r="I127" i="135"/>
  <c r="I105" i="135"/>
  <c r="I104" i="135"/>
  <c r="I103" i="135"/>
  <c r="I81" i="135"/>
  <c r="I80" i="135"/>
  <c r="I79" i="135"/>
  <c r="K66" i="135"/>
  <c r="I57" i="135"/>
  <c r="I56" i="135"/>
  <c r="I55" i="135"/>
  <c r="I33" i="135"/>
  <c r="I32" i="135"/>
  <c r="I31" i="135"/>
  <c r="I9" i="135"/>
  <c r="I8" i="135"/>
  <c r="I7" i="135"/>
  <c r="K185" i="135"/>
  <c r="K184" i="135"/>
  <c r="K183" i="135"/>
  <c r="K182" i="135"/>
  <c r="K181" i="135"/>
  <c r="K180" i="135"/>
  <c r="K179" i="135"/>
  <c r="K178" i="135"/>
  <c r="K177" i="135"/>
  <c r="K186" i="135" s="1"/>
  <c r="K174" i="135"/>
  <c r="K173" i="135"/>
  <c r="K172" i="135"/>
  <c r="K175" i="135" s="1"/>
  <c r="J188" i="135" s="1"/>
  <c r="K188" i="135" s="1"/>
  <c r="K189" i="135" s="1"/>
  <c r="G169" i="135"/>
  <c r="K163" i="135"/>
  <c r="K162" i="135"/>
  <c r="K161" i="135"/>
  <c r="K160" i="135"/>
  <c r="K159" i="135"/>
  <c r="K158" i="135"/>
  <c r="K157" i="135"/>
  <c r="K156" i="135"/>
  <c r="K155" i="135"/>
  <c r="K154" i="135"/>
  <c r="K153" i="135"/>
  <c r="K152" i="135"/>
  <c r="K151" i="135"/>
  <c r="K150" i="135"/>
  <c r="K149" i="135"/>
  <c r="K148" i="135"/>
  <c r="K147" i="135"/>
  <c r="K164" i="135" s="1"/>
  <c r="K144" i="135"/>
  <c r="K143" i="135"/>
  <c r="K145" i="135" s="1"/>
  <c r="J165" i="135" s="1"/>
  <c r="K165" i="135" s="1"/>
  <c r="K166" i="135" s="1"/>
  <c r="G140" i="135"/>
  <c r="K133" i="135"/>
  <c r="K132" i="135"/>
  <c r="K131" i="135"/>
  <c r="K134" i="135" s="1"/>
  <c r="K128" i="135"/>
  <c r="K127" i="135"/>
  <c r="K129" i="135" s="1"/>
  <c r="J136" i="135" s="1"/>
  <c r="K136" i="135" s="1"/>
  <c r="K137" i="135" s="1"/>
  <c r="K124" i="135"/>
  <c r="G124" i="135"/>
  <c r="K117" i="135"/>
  <c r="K116" i="135"/>
  <c r="K115" i="135"/>
  <c r="K114" i="135"/>
  <c r="K113" i="135"/>
  <c r="K112" i="135"/>
  <c r="K111" i="135"/>
  <c r="K110" i="135"/>
  <c r="K109" i="135"/>
  <c r="K108" i="135"/>
  <c r="K118" i="135" s="1"/>
  <c r="K105" i="135"/>
  <c r="K104" i="135"/>
  <c r="K103" i="135"/>
  <c r="K106" i="135" s="1"/>
  <c r="J120" i="135" s="1"/>
  <c r="K120" i="135" s="1"/>
  <c r="K121" i="135" s="1"/>
  <c r="G100" i="135"/>
  <c r="K93" i="135"/>
  <c r="K92" i="135"/>
  <c r="K91" i="135"/>
  <c r="K90" i="135"/>
  <c r="K89" i="135"/>
  <c r="K88" i="135"/>
  <c r="K87" i="135"/>
  <c r="K86" i="135"/>
  <c r="K85" i="135"/>
  <c r="K84" i="135"/>
  <c r="K94" i="135" s="1"/>
  <c r="K81" i="135"/>
  <c r="K80" i="135"/>
  <c r="K79" i="135"/>
  <c r="K82" i="135" s="1"/>
  <c r="J96" i="135" s="1"/>
  <c r="K96" i="135" s="1"/>
  <c r="K97" i="135" s="1"/>
  <c r="G76" i="135"/>
  <c r="K69" i="135"/>
  <c r="K68" i="135"/>
  <c r="K67" i="135"/>
  <c r="K65" i="135"/>
  <c r="K64" i="135"/>
  <c r="K63" i="135"/>
  <c r="K62" i="135"/>
  <c r="K61" i="135"/>
  <c r="K60" i="135"/>
  <c r="K70" i="135" s="1"/>
  <c r="K57" i="135"/>
  <c r="K56" i="135"/>
  <c r="K55" i="135"/>
  <c r="K58" i="135" s="1"/>
  <c r="J72" i="135" s="1"/>
  <c r="K72" i="135" s="1"/>
  <c r="K73" i="135" s="1"/>
  <c r="G52" i="135"/>
  <c r="K45" i="135"/>
  <c r="K44" i="135"/>
  <c r="K43" i="135"/>
  <c r="K42" i="135"/>
  <c r="K41" i="135"/>
  <c r="K40" i="135"/>
  <c r="K39" i="135"/>
  <c r="K38" i="135"/>
  <c r="K37" i="135"/>
  <c r="K36" i="135"/>
  <c r="K46" i="135" s="1"/>
  <c r="K33" i="135"/>
  <c r="K32" i="135"/>
  <c r="K31" i="135"/>
  <c r="K34" i="135" s="1"/>
  <c r="J48" i="135" s="1"/>
  <c r="K48" i="135" s="1"/>
  <c r="K49" i="135" s="1"/>
  <c r="G28" i="135"/>
  <c r="K21" i="135"/>
  <c r="K20" i="135"/>
  <c r="K19" i="135"/>
  <c r="K18" i="135"/>
  <c r="K17" i="135"/>
  <c r="K16" i="135"/>
  <c r="K15" i="135"/>
  <c r="K14" i="135"/>
  <c r="K13" i="135"/>
  <c r="K12" i="135"/>
  <c r="K22" i="135" s="1"/>
  <c r="K9" i="135"/>
  <c r="K8" i="135"/>
  <c r="K7" i="135"/>
  <c r="K10" i="135" s="1"/>
  <c r="J24" i="135" s="1"/>
  <c r="K24" i="135" s="1"/>
  <c r="K25" i="135" s="1"/>
  <c r="G3" i="135"/>
  <c r="I24" i="124"/>
  <c r="I25" i="124"/>
  <c r="I31" i="124"/>
  <c r="K31" i="124" s="1"/>
  <c r="I32" i="124"/>
  <c r="K32" i="124" s="1"/>
  <c r="I33" i="124"/>
  <c r="K33" i="124" s="1"/>
  <c r="I34" i="124"/>
  <c r="K34" i="124" s="1"/>
  <c r="I35" i="124"/>
  <c r="K35" i="124" s="1"/>
  <c r="I36" i="124"/>
  <c r="K36" i="124" s="1"/>
  <c r="I37" i="124"/>
  <c r="K37" i="124" s="1"/>
  <c r="I40" i="124"/>
  <c r="K40" i="124" s="1"/>
  <c r="I41" i="124"/>
  <c r="K41" i="124" s="1"/>
  <c r="I43" i="124"/>
  <c r="K43" i="124" s="1"/>
  <c r="K42" i="124" s="1"/>
  <c r="I45" i="124"/>
  <c r="K45" i="124" s="1"/>
  <c r="K44" i="124" s="1"/>
  <c r="I48" i="124"/>
  <c r="K48" i="124" s="1"/>
  <c r="I53" i="124"/>
  <c r="K53" i="124" s="1"/>
  <c r="I60" i="124"/>
  <c r="K60" i="124" s="1"/>
  <c r="K59" i="124" s="1"/>
  <c r="I8" i="124"/>
  <c r="K8" i="124" s="1"/>
  <c r="I9" i="124"/>
  <c r="K9" i="124" s="1"/>
  <c r="I10" i="124"/>
  <c r="K10" i="124" s="1"/>
  <c r="I12" i="124"/>
  <c r="K12" i="124" s="1"/>
  <c r="I13" i="124"/>
  <c r="I15" i="124"/>
  <c r="K15" i="124" s="1"/>
  <c r="I17" i="124"/>
  <c r="K17" i="124" s="1"/>
  <c r="I6" i="124"/>
  <c r="K6" i="124" s="1"/>
  <c r="AG704" i="121"/>
  <c r="AE684" i="121"/>
  <c r="AE488" i="121"/>
  <c r="AE494" i="121"/>
  <c r="AE493" i="121"/>
  <c r="AE481" i="121"/>
  <c r="AE477" i="121"/>
  <c r="AE462" i="121"/>
  <c r="AE470" i="121"/>
  <c r="AE453" i="121"/>
  <c r="AE443" i="121"/>
  <c r="AE432" i="121"/>
  <c r="AG328" i="121"/>
  <c r="AE317" i="121"/>
  <c r="V253" i="121"/>
  <c r="V254" i="121"/>
  <c r="V255" i="121"/>
  <c r="V256" i="121"/>
  <c r="V257" i="121"/>
  <c r="V258" i="121"/>
  <c r="V259" i="121"/>
  <c r="V260" i="121"/>
  <c r="V261" i="121"/>
  <c r="V262" i="121"/>
  <c r="V263" i="121"/>
  <c r="V264" i="121"/>
  <c r="V265" i="121"/>
  <c r="V266" i="121"/>
  <c r="V267" i="121"/>
  <c r="V268" i="121"/>
  <c r="V252" i="121"/>
  <c r="V269" i="121" s="1"/>
  <c r="T247" i="121"/>
  <c r="AE223" i="121"/>
  <c r="AG48" i="121"/>
  <c r="AE43" i="121"/>
  <c r="AE25" i="121"/>
  <c r="AE9" i="121"/>
  <c r="AG9" i="121" s="1"/>
  <c r="AE382" i="121"/>
  <c r="I1476" i="129"/>
  <c r="I1475" i="129"/>
  <c r="K1480" i="129"/>
  <c r="K1479" i="129"/>
  <c r="K1481" i="129" s="1"/>
  <c r="K1476" i="129"/>
  <c r="K1475" i="129"/>
  <c r="K1477" i="129" s="1"/>
  <c r="J1483" i="129" s="1"/>
  <c r="K1483" i="129" s="1"/>
  <c r="K1484" i="129" s="1"/>
  <c r="K1472" i="129"/>
  <c r="I109" i="123" s="1"/>
  <c r="G1472" i="129"/>
  <c r="AG673" i="121"/>
  <c r="U1371" i="129"/>
  <c r="AG503" i="121"/>
  <c r="AE310" i="121"/>
  <c r="AG310" i="121" s="1"/>
  <c r="AE291" i="121"/>
  <c r="AE79" i="121"/>
  <c r="AE78" i="121"/>
  <c r="AE77" i="121"/>
  <c r="AE85" i="121"/>
  <c r="AE84" i="121"/>
  <c r="AE83" i="121"/>
  <c r="AG83" i="121"/>
  <c r="AG84" i="121"/>
  <c r="AG85" i="121"/>
  <c r="G1488" i="129"/>
  <c r="K1491" i="129"/>
  <c r="K1492" i="129"/>
  <c r="K1488" i="129" s="1"/>
  <c r="I111" i="123" s="1"/>
  <c r="S1459" i="129"/>
  <c r="U1462" i="129"/>
  <c r="W1462" i="129"/>
  <c r="U1463" i="129"/>
  <c r="W1463" i="129"/>
  <c r="W1464" i="129"/>
  <c r="W1466" i="129"/>
  <c r="W1467" i="129"/>
  <c r="W1468" i="129"/>
  <c r="V1470" i="129"/>
  <c r="W1470" i="129"/>
  <c r="U1471" i="129"/>
  <c r="W1471" i="129"/>
  <c r="W1472" i="129"/>
  <c r="S1437" i="129"/>
  <c r="U1440" i="129"/>
  <c r="W1440" i="129"/>
  <c r="U1441" i="129"/>
  <c r="W1441" i="129"/>
  <c r="U1442" i="129"/>
  <c r="W1442" i="129"/>
  <c r="W1443" i="129"/>
  <c r="W1445" i="129"/>
  <c r="W1446" i="129"/>
  <c r="W1447" i="129"/>
  <c r="W1448" i="129"/>
  <c r="W1449" i="129"/>
  <c r="W1450" i="129"/>
  <c r="V1452" i="129"/>
  <c r="W1452" i="129"/>
  <c r="U1453" i="129"/>
  <c r="W1453" i="129"/>
  <c r="U1454" i="129"/>
  <c r="W1454" i="129"/>
  <c r="U1455" i="129"/>
  <c r="W1455" i="129"/>
  <c r="W1456" i="129"/>
  <c r="S1421" i="129"/>
  <c r="U1424" i="129"/>
  <c r="W1424" i="129"/>
  <c r="U1425" i="129"/>
  <c r="W1425" i="129"/>
  <c r="W1426" i="129"/>
  <c r="W1428" i="129"/>
  <c r="W1429" i="129"/>
  <c r="W1430" i="129"/>
  <c r="W1431" i="129"/>
  <c r="V1433" i="129"/>
  <c r="W1433" i="129"/>
  <c r="W1434" i="129"/>
  <c r="S1405" i="129"/>
  <c r="U1408" i="129"/>
  <c r="W1408" i="129"/>
  <c r="U1409" i="129"/>
  <c r="W1409" i="129"/>
  <c r="W1410" i="129"/>
  <c r="W1412" i="129"/>
  <c r="W1413" i="129"/>
  <c r="W1414" i="129"/>
  <c r="V1416" i="129"/>
  <c r="W1416" i="129"/>
  <c r="U1417" i="129"/>
  <c r="W1417" i="129"/>
  <c r="W1418" i="129"/>
  <c r="S1384" i="129"/>
  <c r="U1387" i="129"/>
  <c r="W1387" i="129"/>
  <c r="U1388" i="129"/>
  <c r="W1388" i="129"/>
  <c r="U1389" i="129"/>
  <c r="W1389" i="129"/>
  <c r="W1390" i="129"/>
  <c r="W1392" i="129"/>
  <c r="W1393" i="129"/>
  <c r="W1394" i="129"/>
  <c r="W1395" i="129"/>
  <c r="W1396" i="129"/>
  <c r="W1397" i="129"/>
  <c r="V1399" i="129"/>
  <c r="W1399" i="129"/>
  <c r="U1400" i="129"/>
  <c r="W1400" i="129"/>
  <c r="U1401" i="129"/>
  <c r="W1401" i="129"/>
  <c r="W1402" i="129"/>
  <c r="S1367" i="129"/>
  <c r="U1370" i="129"/>
  <c r="W1370" i="129"/>
  <c r="W1371" i="129"/>
  <c r="U1372" i="129"/>
  <c r="W1372" i="129"/>
  <c r="W1373" i="129"/>
  <c r="W1375" i="129"/>
  <c r="W1376" i="129"/>
  <c r="W1377" i="129"/>
  <c r="W1378" i="129"/>
  <c r="V1380" i="129"/>
  <c r="W1380" i="129"/>
  <c r="W1381" i="129"/>
  <c r="S1351" i="129"/>
  <c r="U1354" i="129"/>
  <c r="W1354" i="129"/>
  <c r="U1355" i="129"/>
  <c r="W1355" i="129"/>
  <c r="W1356" i="129"/>
  <c r="W1358" i="129"/>
  <c r="W1359" i="129"/>
  <c r="W1360" i="129"/>
  <c r="V1362" i="129"/>
  <c r="W1362" i="129"/>
  <c r="U1363" i="129"/>
  <c r="W1363" i="129"/>
  <c r="W1364" i="129"/>
  <c r="G1316" i="129"/>
  <c r="S1316" i="129"/>
  <c r="U1319" i="129"/>
  <c r="W1319" i="129"/>
  <c r="U1320" i="129"/>
  <c r="W1320" i="129"/>
  <c r="K1321" i="129"/>
  <c r="U1321" i="129"/>
  <c r="W1321" i="129"/>
  <c r="W1322" i="129"/>
  <c r="W1324" i="129"/>
  <c r="G1325" i="129"/>
  <c r="W1325" i="129"/>
  <c r="W1326" i="129"/>
  <c r="W1327" i="129"/>
  <c r="V1329" i="129"/>
  <c r="W1329" i="129"/>
  <c r="K1330" i="129"/>
  <c r="W1330" i="129"/>
  <c r="S1333" i="129"/>
  <c r="G1335" i="129"/>
  <c r="U1336" i="129"/>
  <c r="W1336" i="129"/>
  <c r="U1337" i="129"/>
  <c r="W1337" i="129"/>
  <c r="U1338" i="129"/>
  <c r="W1338" i="129"/>
  <c r="W1339" i="129"/>
  <c r="K1340" i="129"/>
  <c r="W1341" i="129"/>
  <c r="W1342" i="129"/>
  <c r="W1343" i="129"/>
  <c r="W1344" i="129"/>
  <c r="V1346" i="129"/>
  <c r="W1346" i="129"/>
  <c r="U1347" i="129"/>
  <c r="W1347" i="129"/>
  <c r="W1348" i="129"/>
  <c r="G1309" i="129"/>
  <c r="K1312" i="129"/>
  <c r="K1313" i="129"/>
  <c r="K1309" i="129" s="1"/>
  <c r="I104" i="123" s="1"/>
  <c r="I1290" i="129"/>
  <c r="I1281" i="129"/>
  <c r="I1280" i="129"/>
  <c r="I1279" i="129"/>
  <c r="I1278" i="129"/>
  <c r="I1252" i="129"/>
  <c r="I1251" i="129"/>
  <c r="I1250" i="129"/>
  <c r="I1249" i="129"/>
  <c r="I1233" i="129"/>
  <c r="I1232" i="129"/>
  <c r="I1231" i="129"/>
  <c r="I1230" i="129"/>
  <c r="G1275" i="129"/>
  <c r="K1278" i="129"/>
  <c r="K1279" i="129"/>
  <c r="K1280" i="129"/>
  <c r="K1281" i="129"/>
  <c r="K1282" i="129"/>
  <c r="K1284" i="129"/>
  <c r="K1285" i="129"/>
  <c r="K1286" i="129"/>
  <c r="K1287" i="129"/>
  <c r="J1289" i="129"/>
  <c r="K1289" i="129"/>
  <c r="K1290" i="129"/>
  <c r="K1291" i="129"/>
  <c r="G1246" i="129"/>
  <c r="K1249" i="129"/>
  <c r="K1250" i="129"/>
  <c r="K1251" i="129"/>
  <c r="K1252" i="129"/>
  <c r="K1253" i="129"/>
  <c r="K1255" i="129"/>
  <c r="K1256" i="129"/>
  <c r="J1258" i="129"/>
  <c r="K1258" i="129"/>
  <c r="K1259" i="129"/>
  <c r="G1227" i="129"/>
  <c r="K1230" i="129"/>
  <c r="K1231" i="129"/>
  <c r="K1232" i="129"/>
  <c r="K1233" i="129"/>
  <c r="K1234" i="129"/>
  <c r="K1236" i="129"/>
  <c r="K1237" i="129"/>
  <c r="K1238" i="129"/>
  <c r="K1239" i="129"/>
  <c r="K1240" i="129"/>
  <c r="J1242" i="129"/>
  <c r="K1242" i="129"/>
  <c r="K1243" i="129"/>
  <c r="I1161" i="129"/>
  <c r="I1142" i="129"/>
  <c r="G1146" i="129"/>
  <c r="I1149" i="129"/>
  <c r="K1149" i="129"/>
  <c r="I1150" i="129"/>
  <c r="K1150" i="129"/>
  <c r="I1151" i="129"/>
  <c r="K1151" i="129"/>
  <c r="I1152" i="129"/>
  <c r="K1152" i="129"/>
  <c r="K1153" i="129"/>
  <c r="K1155" i="129"/>
  <c r="K1156" i="129"/>
  <c r="K1157" i="129"/>
  <c r="K1158" i="129"/>
  <c r="J1160" i="129"/>
  <c r="K1160" i="129"/>
  <c r="K1161" i="129"/>
  <c r="K1162" i="129"/>
  <c r="G1127" i="129"/>
  <c r="I1130" i="129"/>
  <c r="K1130" i="129"/>
  <c r="I1131" i="129"/>
  <c r="K1131" i="129"/>
  <c r="I1132" i="129"/>
  <c r="K1132" i="129"/>
  <c r="I1133" i="129"/>
  <c r="K1133" i="129"/>
  <c r="K1134" i="129"/>
  <c r="K1136" i="129"/>
  <c r="K1137" i="129"/>
  <c r="K1138" i="129"/>
  <c r="K1139" i="129"/>
  <c r="J1141" i="129"/>
  <c r="K1141" i="129"/>
  <c r="K1142" i="129"/>
  <c r="G1013" i="129"/>
  <c r="I1016" i="129"/>
  <c r="K1016" i="129"/>
  <c r="I1017" i="129"/>
  <c r="K1017" i="129"/>
  <c r="I1018" i="129"/>
  <c r="K1018" i="129"/>
  <c r="I1019" i="129"/>
  <c r="K1019" i="129"/>
  <c r="K1020" i="129"/>
  <c r="K1022" i="129"/>
  <c r="K1023" i="129"/>
  <c r="K1024" i="129"/>
  <c r="K1025" i="129"/>
  <c r="J1027" i="129"/>
  <c r="K1027" i="129"/>
  <c r="I1028" i="129"/>
  <c r="K1028" i="129"/>
  <c r="K1029" i="129"/>
  <c r="G1006" i="129"/>
  <c r="K1009" i="129"/>
  <c r="K1010" i="129"/>
  <c r="K1006" i="129" s="1"/>
  <c r="G991" i="129"/>
  <c r="I994" i="129"/>
  <c r="K994" i="129"/>
  <c r="I995" i="129"/>
  <c r="K995" i="129"/>
  <c r="K996" i="129"/>
  <c r="K998" i="129"/>
  <c r="K999" i="129"/>
  <c r="K1000" i="129"/>
  <c r="J1002" i="129"/>
  <c r="K1002" i="129"/>
  <c r="K1003" i="129"/>
  <c r="G976" i="129"/>
  <c r="I979" i="129"/>
  <c r="K979" i="129"/>
  <c r="I980" i="129"/>
  <c r="K980" i="129"/>
  <c r="K981" i="129"/>
  <c r="K983" i="129"/>
  <c r="K984" i="129"/>
  <c r="K985" i="129"/>
  <c r="J987" i="129"/>
  <c r="K987" i="129"/>
  <c r="K988" i="129"/>
  <c r="G963" i="129"/>
  <c r="I966" i="129"/>
  <c r="K966" i="129"/>
  <c r="K967" i="129"/>
  <c r="K969" i="129"/>
  <c r="K970" i="129"/>
  <c r="J972" i="129"/>
  <c r="K972" i="129"/>
  <c r="K973" i="129"/>
  <c r="G956" i="129"/>
  <c r="K959" i="129"/>
  <c r="K960" i="129"/>
  <c r="K956" i="129" s="1"/>
  <c r="G937" i="129"/>
  <c r="I940" i="129"/>
  <c r="K940" i="129"/>
  <c r="I941" i="129"/>
  <c r="K941" i="129"/>
  <c r="I942" i="129"/>
  <c r="K942" i="129"/>
  <c r="I943" i="129"/>
  <c r="K943" i="129"/>
  <c r="K944" i="129"/>
  <c r="K946" i="129"/>
  <c r="K947" i="129"/>
  <c r="K948" i="129"/>
  <c r="K949" i="129"/>
  <c r="J951" i="129"/>
  <c r="K951" i="129"/>
  <c r="I952" i="129"/>
  <c r="K952" i="129"/>
  <c r="K953" i="129"/>
  <c r="G918" i="129"/>
  <c r="I921" i="129"/>
  <c r="K921" i="129"/>
  <c r="I922" i="129"/>
  <c r="K922" i="129"/>
  <c r="I923" i="129"/>
  <c r="K923" i="129"/>
  <c r="I924" i="129"/>
  <c r="K924" i="129"/>
  <c r="K925" i="129"/>
  <c r="K927" i="129"/>
  <c r="K928" i="129"/>
  <c r="K929" i="129"/>
  <c r="K930" i="129"/>
  <c r="J932" i="129"/>
  <c r="K932" i="129"/>
  <c r="I933" i="129"/>
  <c r="K933" i="129"/>
  <c r="K934" i="129"/>
  <c r="G899" i="129"/>
  <c r="I902" i="129"/>
  <c r="K902" i="129"/>
  <c r="I903" i="129"/>
  <c r="K903" i="129"/>
  <c r="I904" i="129"/>
  <c r="K904" i="129"/>
  <c r="I905" i="129"/>
  <c r="K905" i="129"/>
  <c r="K906" i="129"/>
  <c r="K908" i="129"/>
  <c r="K909" i="129"/>
  <c r="K910" i="129"/>
  <c r="K911" i="129"/>
  <c r="J913" i="129"/>
  <c r="K913" i="129"/>
  <c r="I914" i="129"/>
  <c r="K914" i="129"/>
  <c r="K915" i="129"/>
  <c r="D80" i="121"/>
  <c r="E83" i="127"/>
  <c r="D92" i="121" s="1"/>
  <c r="E82" i="127"/>
  <c r="J12" i="121" s="1"/>
  <c r="E79" i="127"/>
  <c r="J7" i="121"/>
  <c r="D40" i="121" s="1"/>
  <c r="H63" i="122" s="1"/>
  <c r="E81" i="127"/>
  <c r="J11" i="121"/>
  <c r="D68" i="121" s="1"/>
  <c r="H104" i="123"/>
  <c r="D16" i="127"/>
  <c r="M2" i="152"/>
  <c r="M2" i="153"/>
  <c r="J4" i="121"/>
  <c r="D22" i="121" s="1"/>
  <c r="H65" i="122" s="1"/>
  <c r="E75" i="127"/>
  <c r="E76" i="127"/>
  <c r="J6" i="121" s="1"/>
  <c r="D38" i="121" s="1"/>
  <c r="H66" i="122" s="1"/>
  <c r="E80" i="127"/>
  <c r="J10" i="121" s="1"/>
  <c r="D66" i="121" s="1"/>
  <c r="J9" i="119"/>
  <c r="J20" i="119"/>
  <c r="J18" i="119"/>
  <c r="I17" i="80"/>
  <c r="I20" i="80"/>
  <c r="I27" i="80"/>
  <c r="I34" i="80"/>
  <c r="I40" i="80"/>
  <c r="I43" i="80"/>
  <c r="I58" i="80"/>
  <c r="I63" i="80"/>
  <c r="I198" i="129"/>
  <c r="I188" i="129"/>
  <c r="I187" i="129"/>
  <c r="I186" i="129"/>
  <c r="K198" i="129"/>
  <c r="K194" i="129"/>
  <c r="K193" i="129"/>
  <c r="K192" i="129"/>
  <c r="K191" i="129"/>
  <c r="K195" i="129" s="1"/>
  <c r="K188" i="129"/>
  <c r="K187" i="129"/>
  <c r="K186" i="129"/>
  <c r="K189" i="129" s="1"/>
  <c r="J197" i="129" s="1"/>
  <c r="K197" i="129" s="1"/>
  <c r="K199" i="129" s="1"/>
  <c r="K183" i="129"/>
  <c r="I19" i="123" s="1"/>
  <c r="G183" i="129"/>
  <c r="G882" i="129"/>
  <c r="I885" i="129"/>
  <c r="K885" i="129"/>
  <c r="I886" i="129"/>
  <c r="K886" i="129"/>
  <c r="K887" i="129"/>
  <c r="K889" i="129"/>
  <c r="J890" i="129"/>
  <c r="K890" i="129"/>
  <c r="K891" i="129"/>
  <c r="K892" i="129"/>
  <c r="J894" i="129"/>
  <c r="K894" i="129"/>
  <c r="I895" i="129"/>
  <c r="K895" i="129"/>
  <c r="K896" i="129"/>
  <c r="G865" i="129"/>
  <c r="I868" i="129"/>
  <c r="K868" i="129"/>
  <c r="I869" i="129"/>
  <c r="K869" i="129"/>
  <c r="I870" i="129"/>
  <c r="K870" i="129"/>
  <c r="K871" i="129"/>
  <c r="K873" i="129"/>
  <c r="K874" i="129"/>
  <c r="K875" i="129"/>
  <c r="K876" i="129"/>
  <c r="J878" i="129"/>
  <c r="K878" i="129"/>
  <c r="K879" i="129"/>
  <c r="G841" i="129"/>
  <c r="I844" i="129"/>
  <c r="K844" i="129"/>
  <c r="I845" i="129"/>
  <c r="K845" i="129"/>
  <c r="I846" i="129"/>
  <c r="K846" i="129"/>
  <c r="K847" i="129"/>
  <c r="K849" i="129"/>
  <c r="K850" i="129"/>
  <c r="K851" i="129"/>
  <c r="K852" i="129"/>
  <c r="K853" i="129"/>
  <c r="K854" i="129"/>
  <c r="K855" i="129"/>
  <c r="K856" i="129"/>
  <c r="J858" i="129"/>
  <c r="K858" i="129"/>
  <c r="I859" i="129"/>
  <c r="K859" i="129"/>
  <c r="I860" i="129"/>
  <c r="K860" i="129"/>
  <c r="I861" i="129"/>
  <c r="K861" i="129"/>
  <c r="K862" i="129"/>
  <c r="I804" i="129"/>
  <c r="I179" i="129"/>
  <c r="I165" i="129"/>
  <c r="I166" i="129"/>
  <c r="I167" i="129"/>
  <c r="I168" i="129"/>
  <c r="I837" i="129"/>
  <c r="I164" i="129"/>
  <c r="I829" i="129"/>
  <c r="I828" i="129"/>
  <c r="K179" i="129"/>
  <c r="K175" i="129"/>
  <c r="K174" i="129"/>
  <c r="K173" i="129"/>
  <c r="K172" i="129"/>
  <c r="K171" i="129"/>
  <c r="K176" i="129" s="1"/>
  <c r="K168" i="129"/>
  <c r="K167" i="129"/>
  <c r="K166" i="129"/>
  <c r="K165" i="129"/>
  <c r="K164" i="129"/>
  <c r="K169" i="129" s="1"/>
  <c r="J178" i="129" s="1"/>
  <c r="K178" i="129" s="1"/>
  <c r="K180" i="129" s="1"/>
  <c r="K161" i="129"/>
  <c r="I17" i="123" s="1"/>
  <c r="G161" i="129"/>
  <c r="I812" i="129"/>
  <c r="I813" i="129"/>
  <c r="I811" i="129"/>
  <c r="I803" i="129"/>
  <c r="I791" i="129"/>
  <c r="I792" i="129"/>
  <c r="I790" i="129"/>
  <c r="G825" i="129"/>
  <c r="K828" i="129"/>
  <c r="K829" i="129"/>
  <c r="K830" i="129"/>
  <c r="K832" i="129"/>
  <c r="J833" i="129"/>
  <c r="K833" i="129"/>
  <c r="K834" i="129"/>
  <c r="J836" i="129"/>
  <c r="K836" i="129"/>
  <c r="K837" i="129"/>
  <c r="K838" i="129"/>
  <c r="G808" i="129"/>
  <c r="K811" i="129"/>
  <c r="K812" i="129"/>
  <c r="K813" i="129"/>
  <c r="K814" i="129"/>
  <c r="K816" i="129"/>
  <c r="K817" i="129"/>
  <c r="K818" i="129"/>
  <c r="K819" i="129"/>
  <c r="J821" i="129"/>
  <c r="K821" i="129"/>
  <c r="K822" i="129"/>
  <c r="G787" i="129"/>
  <c r="K790" i="129"/>
  <c r="K791" i="129"/>
  <c r="K792" i="129"/>
  <c r="K793" i="129"/>
  <c r="K795" i="129"/>
  <c r="K796" i="129"/>
  <c r="K797" i="129"/>
  <c r="K798" i="129"/>
  <c r="K799" i="129"/>
  <c r="K800" i="129"/>
  <c r="J802" i="129"/>
  <c r="K802" i="129"/>
  <c r="K803" i="129"/>
  <c r="K804" i="129"/>
  <c r="K805" i="129"/>
  <c r="G771" i="129"/>
  <c r="I774" i="129"/>
  <c r="K774" i="129"/>
  <c r="I775" i="129"/>
  <c r="K775" i="129"/>
  <c r="I776" i="129"/>
  <c r="K776" i="129"/>
  <c r="K777" i="129"/>
  <c r="K779" i="129"/>
  <c r="J780" i="129"/>
  <c r="K780" i="129"/>
  <c r="K781" i="129"/>
  <c r="J783" i="129"/>
  <c r="K783" i="129"/>
  <c r="K784" i="129"/>
  <c r="G754" i="129"/>
  <c r="I757" i="129"/>
  <c r="K757" i="129"/>
  <c r="I758" i="129"/>
  <c r="K758" i="129"/>
  <c r="I759" i="129"/>
  <c r="K759" i="129"/>
  <c r="K760" i="129"/>
  <c r="K762" i="129"/>
  <c r="K763" i="129"/>
  <c r="K764" i="129"/>
  <c r="K765" i="129"/>
  <c r="J767" i="129"/>
  <c r="K767" i="129"/>
  <c r="K768" i="129"/>
  <c r="I733" i="129"/>
  <c r="K733" i="129"/>
  <c r="I734" i="129"/>
  <c r="K734" i="129"/>
  <c r="I735" i="129"/>
  <c r="K735" i="129"/>
  <c r="I736" i="129"/>
  <c r="K736" i="129"/>
  <c r="I737" i="129"/>
  <c r="K737" i="129"/>
  <c r="K738" i="129"/>
  <c r="K740" i="129"/>
  <c r="K741" i="129"/>
  <c r="K742" i="129"/>
  <c r="K743" i="129"/>
  <c r="K744" i="129"/>
  <c r="K745" i="129"/>
  <c r="I747" i="129"/>
  <c r="K747" i="129"/>
  <c r="I748" i="129"/>
  <c r="K748" i="129"/>
  <c r="I749" i="129"/>
  <c r="K749" i="129"/>
  <c r="J750" i="129"/>
  <c r="K750" i="129"/>
  <c r="K751" i="129"/>
  <c r="G729" i="129"/>
  <c r="K729" i="129"/>
  <c r="I60" i="123" s="1"/>
  <c r="G713" i="129"/>
  <c r="I716" i="129"/>
  <c r="K716" i="129"/>
  <c r="I717" i="129"/>
  <c r="K717" i="129"/>
  <c r="I718" i="129"/>
  <c r="K718" i="129"/>
  <c r="K719" i="129"/>
  <c r="K721" i="129"/>
  <c r="K723" i="129" s="1"/>
  <c r="G697" i="129"/>
  <c r="I700" i="129"/>
  <c r="K700" i="129"/>
  <c r="I701" i="129"/>
  <c r="K701" i="129"/>
  <c r="I702" i="129"/>
  <c r="K702" i="129"/>
  <c r="K703" i="129"/>
  <c r="K705" i="129"/>
  <c r="J706" i="129"/>
  <c r="K706" i="129"/>
  <c r="K707" i="129"/>
  <c r="J709" i="129"/>
  <c r="K709" i="129"/>
  <c r="K710" i="129"/>
  <c r="G680" i="129"/>
  <c r="I683" i="129"/>
  <c r="K683" i="129"/>
  <c r="I684" i="129"/>
  <c r="K684" i="129"/>
  <c r="I685" i="129"/>
  <c r="K685" i="129"/>
  <c r="K686" i="129"/>
  <c r="K688" i="129"/>
  <c r="K689" i="129"/>
  <c r="K690" i="129"/>
  <c r="K691" i="129"/>
  <c r="J693" i="129"/>
  <c r="K693" i="129"/>
  <c r="K694" i="129"/>
  <c r="G655" i="129"/>
  <c r="I658" i="129"/>
  <c r="K658" i="129"/>
  <c r="I659" i="129"/>
  <c r="K659" i="129"/>
  <c r="I660" i="129"/>
  <c r="K660" i="129"/>
  <c r="I661" i="129"/>
  <c r="K661" i="129"/>
  <c r="I662" i="129"/>
  <c r="K662" i="129"/>
  <c r="K663" i="129"/>
  <c r="K665" i="129"/>
  <c r="K666" i="129"/>
  <c r="K667" i="129"/>
  <c r="K668" i="129"/>
  <c r="K669" i="129"/>
  <c r="K670" i="129"/>
  <c r="K671" i="129"/>
  <c r="K672" i="129"/>
  <c r="I674" i="129"/>
  <c r="K674" i="129"/>
  <c r="I675" i="129"/>
  <c r="K675" i="129"/>
  <c r="J676" i="129"/>
  <c r="K676" i="129"/>
  <c r="K677" i="129"/>
  <c r="G585" i="129"/>
  <c r="I588" i="129"/>
  <c r="K588" i="129"/>
  <c r="I589" i="129"/>
  <c r="K589" i="129"/>
  <c r="K590" i="129"/>
  <c r="K592" i="129"/>
  <c r="J593" i="129"/>
  <c r="K593" i="129"/>
  <c r="K594" i="129"/>
  <c r="J596" i="129"/>
  <c r="K596" i="129"/>
  <c r="I597" i="129"/>
  <c r="K597" i="129"/>
  <c r="K598" i="129"/>
  <c r="G569" i="129"/>
  <c r="I572" i="129"/>
  <c r="K572" i="129"/>
  <c r="I573" i="129"/>
  <c r="K573" i="129"/>
  <c r="K574" i="129"/>
  <c r="K576" i="129"/>
  <c r="K577" i="129"/>
  <c r="K578" i="129"/>
  <c r="K579" i="129"/>
  <c r="J581" i="129"/>
  <c r="K581" i="129"/>
  <c r="K582" i="129"/>
  <c r="G547" i="129"/>
  <c r="I550" i="129"/>
  <c r="K550" i="129"/>
  <c r="I551" i="129"/>
  <c r="K551" i="129"/>
  <c r="I552" i="129"/>
  <c r="K552" i="129"/>
  <c r="K553" i="129"/>
  <c r="K555" i="129"/>
  <c r="K556" i="129"/>
  <c r="K557" i="129"/>
  <c r="K558" i="129"/>
  <c r="K559" i="129"/>
  <c r="K560" i="129"/>
  <c r="J562" i="129"/>
  <c r="K562" i="129"/>
  <c r="I563" i="129"/>
  <c r="K563" i="129"/>
  <c r="I564" i="129"/>
  <c r="K564" i="129"/>
  <c r="I565" i="129"/>
  <c r="K565" i="129"/>
  <c r="K566" i="129"/>
  <c r="G477" i="129"/>
  <c r="I480" i="129"/>
  <c r="K480" i="129"/>
  <c r="I481" i="129"/>
  <c r="K481" i="129"/>
  <c r="K482" i="129"/>
  <c r="K484" i="129"/>
  <c r="J485" i="129"/>
  <c r="K485" i="129"/>
  <c r="K486" i="129"/>
  <c r="J488" i="129"/>
  <c r="K488" i="129"/>
  <c r="I489" i="129"/>
  <c r="K489" i="129"/>
  <c r="K490" i="129"/>
  <c r="G460" i="129"/>
  <c r="I463" i="129"/>
  <c r="K463" i="129"/>
  <c r="I464" i="129"/>
  <c r="K464" i="129"/>
  <c r="I465" i="129"/>
  <c r="K465" i="129"/>
  <c r="K466" i="129"/>
  <c r="K468" i="129"/>
  <c r="K469" i="129"/>
  <c r="K470" i="129"/>
  <c r="K471" i="129"/>
  <c r="J473" i="129"/>
  <c r="K473" i="129"/>
  <c r="K474" i="129"/>
  <c r="G439" i="129"/>
  <c r="I442" i="129"/>
  <c r="K442" i="129"/>
  <c r="I443" i="129"/>
  <c r="K443" i="129"/>
  <c r="I444" i="129"/>
  <c r="K444" i="129"/>
  <c r="K445" i="129"/>
  <c r="K447" i="129"/>
  <c r="K448" i="129"/>
  <c r="K449" i="129"/>
  <c r="K450" i="129"/>
  <c r="K451" i="129"/>
  <c r="K452" i="129"/>
  <c r="J454" i="129"/>
  <c r="K454" i="129"/>
  <c r="I455" i="129"/>
  <c r="K455" i="129"/>
  <c r="I456" i="129"/>
  <c r="K456" i="129"/>
  <c r="K457" i="129"/>
  <c r="G423" i="129"/>
  <c r="I426" i="129"/>
  <c r="K426" i="129"/>
  <c r="I427" i="129"/>
  <c r="K427" i="129"/>
  <c r="K428" i="129"/>
  <c r="K430" i="129"/>
  <c r="J431" i="129"/>
  <c r="K431" i="129"/>
  <c r="K432" i="129"/>
  <c r="J434" i="129"/>
  <c r="K434" i="129"/>
  <c r="I435" i="129"/>
  <c r="K435" i="129"/>
  <c r="K436" i="129"/>
  <c r="G407" i="129"/>
  <c r="I410" i="129"/>
  <c r="K410" i="129"/>
  <c r="I411" i="129"/>
  <c r="K411" i="129"/>
  <c r="K412" i="129"/>
  <c r="K414" i="129"/>
  <c r="K415" i="129"/>
  <c r="K416" i="129"/>
  <c r="K417" i="129"/>
  <c r="J419" i="129"/>
  <c r="K419" i="129"/>
  <c r="K420" i="129"/>
  <c r="G386" i="129"/>
  <c r="I389" i="129"/>
  <c r="K389" i="129"/>
  <c r="I390" i="129"/>
  <c r="K390" i="129"/>
  <c r="I391" i="129"/>
  <c r="K391" i="129"/>
  <c r="K392" i="129"/>
  <c r="K394" i="129"/>
  <c r="K395" i="129"/>
  <c r="K396" i="129"/>
  <c r="K397" i="129"/>
  <c r="K398" i="129"/>
  <c r="K399" i="129"/>
  <c r="J401" i="129"/>
  <c r="K401" i="129"/>
  <c r="I402" i="129"/>
  <c r="K402" i="129"/>
  <c r="I403" i="129"/>
  <c r="K403" i="129"/>
  <c r="K404" i="129"/>
  <c r="K376" i="129"/>
  <c r="J377" i="129"/>
  <c r="K377" i="129"/>
  <c r="K378" i="129"/>
  <c r="I381" i="129"/>
  <c r="K381" i="129"/>
  <c r="G368" i="129"/>
  <c r="I371" i="129"/>
  <c r="K371" i="129"/>
  <c r="I372" i="129"/>
  <c r="K372" i="129"/>
  <c r="G352" i="129"/>
  <c r="I355" i="129"/>
  <c r="K355" i="129"/>
  <c r="I356" i="129"/>
  <c r="K356" i="129"/>
  <c r="K357" i="129"/>
  <c r="K359" i="129"/>
  <c r="K360" i="129"/>
  <c r="K361" i="129"/>
  <c r="K362" i="129"/>
  <c r="J364" i="129"/>
  <c r="K364" i="129"/>
  <c r="K365" i="129"/>
  <c r="G330" i="129"/>
  <c r="I333" i="129"/>
  <c r="K333" i="129"/>
  <c r="I334" i="129"/>
  <c r="K334" i="129"/>
  <c r="I335" i="129"/>
  <c r="K335" i="129"/>
  <c r="K336" i="129"/>
  <c r="K338" i="129"/>
  <c r="K339" i="129"/>
  <c r="K340" i="129"/>
  <c r="K341" i="129"/>
  <c r="K342" i="129"/>
  <c r="K343" i="129"/>
  <c r="K344" i="129"/>
  <c r="J346" i="129"/>
  <c r="K346" i="129"/>
  <c r="I347" i="129"/>
  <c r="K347" i="129"/>
  <c r="I348" i="129"/>
  <c r="K348" i="129"/>
  <c r="K349" i="129"/>
  <c r="G260" i="129"/>
  <c r="I263" i="129"/>
  <c r="K263" i="129"/>
  <c r="I264" i="129"/>
  <c r="K264" i="129"/>
  <c r="K265" i="129"/>
  <c r="K267" i="129"/>
  <c r="J268" i="129"/>
  <c r="K268" i="129"/>
  <c r="K269" i="129"/>
  <c r="J271" i="129"/>
  <c r="K271" i="129"/>
  <c r="I272" i="129"/>
  <c r="K272" i="129"/>
  <c r="K273" i="129"/>
  <c r="G243" i="129"/>
  <c r="I246" i="129"/>
  <c r="K246" i="129"/>
  <c r="I247" i="129"/>
  <c r="K247" i="129"/>
  <c r="K248" i="129"/>
  <c r="K250" i="129"/>
  <c r="K251" i="129"/>
  <c r="K252" i="129"/>
  <c r="K253" i="129"/>
  <c r="J255" i="129"/>
  <c r="K255" i="129"/>
  <c r="K256" i="129"/>
  <c r="G221" i="129"/>
  <c r="I224" i="129"/>
  <c r="K224" i="129"/>
  <c r="I225" i="129"/>
  <c r="K225" i="129"/>
  <c r="I226" i="129"/>
  <c r="K226" i="129"/>
  <c r="K227" i="129"/>
  <c r="K229" i="129"/>
  <c r="K230" i="129"/>
  <c r="K231" i="129"/>
  <c r="K232" i="129"/>
  <c r="K233" i="129"/>
  <c r="K234" i="129"/>
  <c r="K235" i="129"/>
  <c r="J237" i="129"/>
  <c r="K237" i="129"/>
  <c r="I238" i="129"/>
  <c r="K238" i="129"/>
  <c r="I239" i="129"/>
  <c r="K239" i="129"/>
  <c r="K240" i="129"/>
  <c r="I98" i="129"/>
  <c r="I97" i="129"/>
  <c r="I93" i="129"/>
  <c r="I92" i="129"/>
  <c r="I85" i="129"/>
  <c r="I81" i="129"/>
  <c r="I74" i="129"/>
  <c r="I73" i="129"/>
  <c r="I72" i="129"/>
  <c r="I67" i="129"/>
  <c r="I68" i="129"/>
  <c r="I66" i="129"/>
  <c r="I59" i="129"/>
  <c r="I58" i="129"/>
  <c r="I51" i="129"/>
  <c r="I50" i="129"/>
  <c r="I49" i="129"/>
  <c r="I42" i="129"/>
  <c r="I34" i="129"/>
  <c r="I33" i="129"/>
  <c r="I32" i="129"/>
  <c r="I22" i="129"/>
  <c r="I21" i="129"/>
  <c r="I11" i="129"/>
  <c r="I7" i="129"/>
  <c r="I6" i="129"/>
  <c r="I5" i="129"/>
  <c r="K98" i="129"/>
  <c r="K97" i="129"/>
  <c r="K93" i="129"/>
  <c r="K92" i="129"/>
  <c r="K94" i="129" s="1"/>
  <c r="J96" i="129" s="1"/>
  <c r="K96" i="129" s="1"/>
  <c r="K99" i="129" s="1"/>
  <c r="K89" i="129"/>
  <c r="I10" i="123" s="1"/>
  <c r="G89" i="129"/>
  <c r="K85" i="129"/>
  <c r="K81" i="129"/>
  <c r="K82" i="129" s="1"/>
  <c r="J84" i="129" s="1"/>
  <c r="K84" i="129" s="1"/>
  <c r="K86" i="129" s="1"/>
  <c r="K78" i="129"/>
  <c r="I9" i="123" s="1"/>
  <c r="G78" i="129"/>
  <c r="K74" i="129"/>
  <c r="K73" i="129"/>
  <c r="K72" i="129"/>
  <c r="K68" i="129"/>
  <c r="K67" i="129"/>
  <c r="K66" i="129"/>
  <c r="G63" i="129"/>
  <c r="K59" i="129"/>
  <c r="K58" i="129"/>
  <c r="K54" i="129"/>
  <c r="K55" i="129" s="1"/>
  <c r="K51" i="129"/>
  <c r="K50" i="129"/>
  <c r="K49" i="129"/>
  <c r="K52" i="129" s="1"/>
  <c r="J57" i="129" s="1"/>
  <c r="K57" i="129" s="1"/>
  <c r="K60" i="129" s="1"/>
  <c r="K46" i="129"/>
  <c r="I7" i="123" s="1"/>
  <c r="G46" i="129"/>
  <c r="K42" i="129"/>
  <c r="K38" i="129"/>
  <c r="K37" i="129"/>
  <c r="K39" i="129" s="1"/>
  <c r="K34" i="129"/>
  <c r="K33" i="129"/>
  <c r="K32" i="129"/>
  <c r="K35" i="129" s="1"/>
  <c r="J41" i="129" s="1"/>
  <c r="K41" i="129" s="1"/>
  <c r="K43" i="129" s="1"/>
  <c r="K29" i="129"/>
  <c r="I6" i="123" s="1"/>
  <c r="G29" i="129"/>
  <c r="K22" i="129"/>
  <c r="K21" i="129"/>
  <c r="K23" i="129" s="1"/>
  <c r="J25" i="129" s="1"/>
  <c r="K25" i="129" s="1"/>
  <c r="K26" i="129" s="1"/>
  <c r="K18" i="129"/>
  <c r="I5" i="123" s="1"/>
  <c r="G18" i="129"/>
  <c r="K11" i="129"/>
  <c r="K7" i="129"/>
  <c r="K6" i="129"/>
  <c r="K5" i="129"/>
  <c r="K8" i="129" s="1"/>
  <c r="J10" i="129" s="1"/>
  <c r="K10" i="129" s="1"/>
  <c r="K12" i="129" s="1"/>
  <c r="K2" i="129"/>
  <c r="I4" i="123" s="1"/>
  <c r="G2" i="129"/>
  <c r="Y107" i="65"/>
  <c r="Y106" i="65"/>
  <c r="Y102" i="65"/>
  <c r="Y101" i="65"/>
  <c r="Y94" i="65"/>
  <c r="Y90" i="65"/>
  <c r="AA107" i="65"/>
  <c r="AA106" i="65"/>
  <c r="AA102" i="65"/>
  <c r="AA101" i="65"/>
  <c r="AA103" i="65" s="1"/>
  <c r="Z105" i="65" s="1"/>
  <c r="AA105" i="65" s="1"/>
  <c r="AA108" i="65" s="1"/>
  <c r="AA98" i="65"/>
  <c r="W98" i="65"/>
  <c r="AA94" i="65"/>
  <c r="AA90" i="65"/>
  <c r="AA91" i="65" s="1"/>
  <c r="Z93" i="65" s="1"/>
  <c r="AA93" i="65" s="1"/>
  <c r="AA95" i="65" s="1"/>
  <c r="AA87" i="65"/>
  <c r="W87" i="65"/>
  <c r="AA78" i="65"/>
  <c r="AA79" i="65" s="1"/>
  <c r="W70" i="65"/>
  <c r="AA62" i="65"/>
  <c r="AA61" i="65"/>
  <c r="AA63" i="65" s="1"/>
  <c r="W53" i="65"/>
  <c r="W42" i="65"/>
  <c r="W26" i="65"/>
  <c r="Y29" i="65" s="1"/>
  <c r="H111" i="123"/>
  <c r="J111" i="123" s="1"/>
  <c r="J110" i="123" s="1"/>
  <c r="N2" i="72"/>
  <c r="H9" i="74"/>
  <c r="J9" i="121"/>
  <c r="D58" i="121" s="1"/>
  <c r="AE371" i="121"/>
  <c r="AE372" i="121"/>
  <c r="AE373" i="121"/>
  <c r="AE370" i="121"/>
  <c r="AG370" i="121"/>
  <c r="AC367" i="121"/>
  <c r="AG371" i="121"/>
  <c r="AG372" i="121"/>
  <c r="AG373" i="121"/>
  <c r="AG374" i="121"/>
  <c r="AG376" i="121"/>
  <c r="AG377" i="121"/>
  <c r="AG378" i="121"/>
  <c r="AG379" i="121"/>
  <c r="AF381" i="121"/>
  <c r="AG381" i="121"/>
  <c r="AG382" i="121"/>
  <c r="AG383" i="121"/>
  <c r="AE355" i="121"/>
  <c r="AE356" i="121"/>
  <c r="AE357" i="121"/>
  <c r="AE354" i="121"/>
  <c r="AC351" i="121"/>
  <c r="AG354" i="121"/>
  <c r="AG355" i="121"/>
  <c r="AG356" i="121"/>
  <c r="AG357" i="121"/>
  <c r="AG358" i="121"/>
  <c r="AG360" i="121"/>
  <c r="AG361" i="121"/>
  <c r="AF363" i="121"/>
  <c r="AG363" i="121"/>
  <c r="AG364" i="121"/>
  <c r="J5" i="121"/>
  <c r="J66" i="122" s="1"/>
  <c r="J8" i="121"/>
  <c r="AG343" i="121"/>
  <c r="V389" i="121"/>
  <c r="V390" i="121" s="1"/>
  <c r="E66" i="121" s="1"/>
  <c r="V386" i="121"/>
  <c r="R386" i="121"/>
  <c r="AE336" i="121"/>
  <c r="AE337" i="121"/>
  <c r="AE338" i="121"/>
  <c r="AE335" i="121"/>
  <c r="AC332" i="121"/>
  <c r="AG335" i="121"/>
  <c r="AG336" i="121"/>
  <c r="AG337" i="121"/>
  <c r="AG338" i="121"/>
  <c r="AG339" i="121"/>
  <c r="AG341" i="121"/>
  <c r="AG342" i="121"/>
  <c r="AG344" i="121"/>
  <c r="AG345" i="121"/>
  <c r="AF347" i="121"/>
  <c r="AG347" i="121"/>
  <c r="AG348" i="121" s="1"/>
  <c r="AC325" i="121"/>
  <c r="AG329" i="121"/>
  <c r="AG325" i="121" s="1"/>
  <c r="U332" i="121" s="1"/>
  <c r="V332" i="121" s="1"/>
  <c r="V396" i="121"/>
  <c r="V397" i="121" s="1"/>
  <c r="E68" i="121" s="1"/>
  <c r="V393" i="121"/>
  <c r="R393" i="121"/>
  <c r="R325" i="121"/>
  <c r="AE318" i="121"/>
  <c r="AG318" i="121"/>
  <c r="AG317" i="121"/>
  <c r="AC314" i="121"/>
  <c r="AE299" i="121"/>
  <c r="AE300" i="121"/>
  <c r="AE301" i="121"/>
  <c r="AE298" i="121"/>
  <c r="AG306" i="121"/>
  <c r="AG305" i="121"/>
  <c r="AG304" i="121"/>
  <c r="AG307" i="121" s="1"/>
  <c r="AG301" i="121"/>
  <c r="AG300" i="121"/>
  <c r="AG299" i="121"/>
  <c r="AG298" i="121"/>
  <c r="AG302" i="121" s="1"/>
  <c r="AF309" i="121" s="1"/>
  <c r="AG309" i="121" s="1"/>
  <c r="AG311" i="121" s="1"/>
  <c r="AG295" i="121"/>
  <c r="U283" i="121" s="1"/>
  <c r="AC295" i="121"/>
  <c r="AE280" i="121"/>
  <c r="AE281" i="121"/>
  <c r="AE282" i="121"/>
  <c r="AE279" i="121"/>
  <c r="AG291" i="121"/>
  <c r="AG287" i="121"/>
  <c r="AG286" i="121"/>
  <c r="AG285" i="121"/>
  <c r="AG288" i="121" s="1"/>
  <c r="AG282" i="121"/>
  <c r="AG281" i="121"/>
  <c r="AG280" i="121"/>
  <c r="AG279" i="121"/>
  <c r="AG283" i="121" s="1"/>
  <c r="AC276" i="121"/>
  <c r="T248" i="121"/>
  <c r="V248" i="121" s="1"/>
  <c r="T249" i="121"/>
  <c r="T246" i="121"/>
  <c r="R243" i="121"/>
  <c r="V246" i="121"/>
  <c r="V247" i="121"/>
  <c r="V249" i="121"/>
  <c r="V250" i="121"/>
  <c r="U271" i="121"/>
  <c r="V271" i="121"/>
  <c r="V272" i="121"/>
  <c r="R275" i="121"/>
  <c r="G10" i="64"/>
  <c r="U227" i="64"/>
  <c r="W230" i="64"/>
  <c r="Y230" i="64"/>
  <c r="W231" i="64"/>
  <c r="Y231" i="64"/>
  <c r="Y232" i="64"/>
  <c r="Y234" i="64"/>
  <c r="X235" i="64"/>
  <c r="Y235" i="64"/>
  <c r="Y236" i="64"/>
  <c r="X238" i="64"/>
  <c r="Y238" i="64"/>
  <c r="W239" i="64"/>
  <c r="Y239" i="64"/>
  <c r="Y240" i="64"/>
  <c r="U210" i="64"/>
  <c r="Y213" i="64"/>
  <c r="Y214" i="64"/>
  <c r="Y215" i="64"/>
  <c r="Y218" i="64"/>
  <c r="Y219" i="64"/>
  <c r="Y220" i="64"/>
  <c r="Y221" i="64"/>
  <c r="W206" i="64"/>
  <c r="Y206" i="64" s="1"/>
  <c r="W205" i="64"/>
  <c r="Y205" i="64" s="1"/>
  <c r="Y201" i="64"/>
  <c r="Y200" i="64"/>
  <c r="Y199" i="64"/>
  <c r="Y198" i="64"/>
  <c r="Y197" i="64"/>
  <c r="Y202" i="64" s="1"/>
  <c r="W194" i="64"/>
  <c r="Y194" i="64" s="1"/>
  <c r="W193" i="64"/>
  <c r="Y193" i="64" s="1"/>
  <c r="W192" i="64"/>
  <c r="Y192" i="64" s="1"/>
  <c r="Y195" i="64" s="1"/>
  <c r="X204" i="64" s="1"/>
  <c r="Y204" i="64" s="1"/>
  <c r="Y207" i="64" s="1"/>
  <c r="Y189" i="64"/>
  <c r="H19" i="64" s="1"/>
  <c r="U189" i="64"/>
  <c r="J3" i="121"/>
  <c r="D11" i="121" s="1"/>
  <c r="J2" i="121"/>
  <c r="D7" i="65"/>
  <c r="D8" i="65"/>
  <c r="D12" i="65"/>
  <c r="D13" i="65"/>
  <c r="D15" i="65"/>
  <c r="H60" i="123" s="1"/>
  <c r="D16" i="65"/>
  <c r="H61" i="123" s="1"/>
  <c r="D17" i="65"/>
  <c r="D19" i="65"/>
  <c r="H68" i="123" s="1"/>
  <c r="D20" i="65"/>
  <c r="H69" i="123" s="1"/>
  <c r="D21" i="65"/>
  <c r="N4" i="119"/>
  <c r="N3" i="119"/>
  <c r="N2" i="119"/>
  <c r="H14" i="119" s="1"/>
  <c r="I15" i="111"/>
  <c r="I17" i="111"/>
  <c r="I20" i="111"/>
  <c r="I27" i="111"/>
  <c r="I34" i="111"/>
  <c r="I40" i="111"/>
  <c r="I43" i="111"/>
  <c r="I58" i="111"/>
  <c r="I63" i="111"/>
  <c r="I17" i="109"/>
  <c r="I20" i="109"/>
  <c r="I27" i="109"/>
  <c r="I34" i="109"/>
  <c r="I40" i="109"/>
  <c r="I27" i="108"/>
  <c r="I34" i="108"/>
  <c r="I40" i="108"/>
  <c r="I43" i="108"/>
  <c r="I58" i="108"/>
  <c r="I63" i="108"/>
  <c r="M2" i="101"/>
  <c r="M2" i="109"/>
  <c r="M2" i="111"/>
  <c r="M2" i="116"/>
  <c r="M2" i="117"/>
  <c r="M2" i="112"/>
  <c r="M2" i="107"/>
  <c r="M2" i="106"/>
  <c r="M2" i="104"/>
  <c r="M2" i="103"/>
  <c r="M2" i="102"/>
  <c r="M2" i="96"/>
  <c r="M2" i="95"/>
  <c r="M2" i="94"/>
  <c r="M2" i="93"/>
  <c r="M2" i="92"/>
  <c r="M2" i="91"/>
  <c r="M2" i="90"/>
  <c r="M2" i="88"/>
  <c r="M2" i="87"/>
  <c r="M2" i="86"/>
  <c r="M2" i="84"/>
  <c r="M2" i="83"/>
  <c r="M2" i="82"/>
  <c r="M2" i="80"/>
  <c r="J65" i="122"/>
  <c r="J64" i="122" s="1"/>
  <c r="D12" i="121"/>
  <c r="D13" i="121"/>
  <c r="H73" i="123" s="1"/>
  <c r="D14" i="121"/>
  <c r="H74" i="123" s="1"/>
  <c r="D15" i="121"/>
  <c r="H75" i="123" s="1"/>
  <c r="D16" i="121"/>
  <c r="H76" i="123" s="1"/>
  <c r="D17" i="121"/>
  <c r="H77" i="123" s="1"/>
  <c r="D18" i="121"/>
  <c r="H78" i="123" s="1"/>
  <c r="D19" i="121"/>
  <c r="H79" i="123" s="1"/>
  <c r="D20" i="121"/>
  <c r="H80" i="123" s="1"/>
  <c r="D21" i="121"/>
  <c r="H48" i="122" s="1"/>
  <c r="D6" i="121"/>
  <c r="H45" i="122" s="1"/>
  <c r="D7" i="121"/>
  <c r="H46" i="122" s="1"/>
  <c r="D5" i="121"/>
  <c r="H44" i="122" s="1"/>
  <c r="AG662" i="121"/>
  <c r="AG216" i="121"/>
  <c r="AG217" i="121" s="1"/>
  <c r="AG213" i="121"/>
  <c r="U70" i="121" s="1"/>
  <c r="AC213" i="121"/>
  <c r="AG166" i="121"/>
  <c r="AG167" i="121" s="1"/>
  <c r="AG163" i="121"/>
  <c r="U66" i="121" s="1"/>
  <c r="AC163" i="121"/>
  <c r="AG70" i="121"/>
  <c r="AG71" i="121"/>
  <c r="AG67" i="121" s="1"/>
  <c r="AC67" i="121"/>
  <c r="AQ653" i="121"/>
  <c r="AQ645" i="121"/>
  <c r="AQ644" i="121"/>
  <c r="AQ637" i="121"/>
  <c r="AQ636" i="121"/>
  <c r="AQ635" i="121"/>
  <c r="AQ624" i="121"/>
  <c r="AQ623" i="121"/>
  <c r="AQ622" i="121"/>
  <c r="AQ607" i="121"/>
  <c r="AQ606" i="121"/>
  <c r="V718" i="121"/>
  <c r="V719" i="121" s="1"/>
  <c r="R715" i="121"/>
  <c r="AO641" i="121"/>
  <c r="AS644" i="121"/>
  <c r="AS645" i="121"/>
  <c r="AS646" i="121"/>
  <c r="AS648" i="121"/>
  <c r="AS649" i="121"/>
  <c r="AS650" i="121"/>
  <c r="AR652" i="121"/>
  <c r="AS652" i="121"/>
  <c r="AS653" i="121"/>
  <c r="AS654" i="121"/>
  <c r="AO619" i="121"/>
  <c r="AS622" i="121"/>
  <c r="AS623" i="121"/>
  <c r="AS624" i="121"/>
  <c r="AS625" i="121"/>
  <c r="AS627" i="121"/>
  <c r="AS628" i="121"/>
  <c r="AS629" i="121"/>
  <c r="AS630" i="121"/>
  <c r="AS631" i="121"/>
  <c r="AS632" i="121"/>
  <c r="AR634" i="121"/>
  <c r="AS634" i="121"/>
  <c r="AS635" i="121"/>
  <c r="AS636" i="121"/>
  <c r="AS637" i="121"/>
  <c r="AS638" i="121"/>
  <c r="AO603" i="121"/>
  <c r="AS606" i="121"/>
  <c r="AS607" i="121"/>
  <c r="AS608" i="121"/>
  <c r="AS610" i="121"/>
  <c r="AS611" i="121"/>
  <c r="AS612" i="121"/>
  <c r="AS613" i="121"/>
  <c r="AR615" i="121"/>
  <c r="AS615" i="121"/>
  <c r="AS616" i="121"/>
  <c r="AG663" i="121"/>
  <c r="AG659" i="121"/>
  <c r="U439" i="121" s="1"/>
  <c r="AC659" i="121"/>
  <c r="AE670" i="121"/>
  <c r="AE669" i="121"/>
  <c r="AC517" i="121"/>
  <c r="AG674" i="121"/>
  <c r="AG675" i="121"/>
  <c r="AG670" i="121"/>
  <c r="AG669" i="121"/>
  <c r="AG671" i="121" s="1"/>
  <c r="AC666" i="121"/>
  <c r="AQ599" i="121"/>
  <c r="AQ591" i="121"/>
  <c r="AQ590" i="121"/>
  <c r="AQ583" i="121"/>
  <c r="AQ582" i="121"/>
  <c r="AQ571" i="121"/>
  <c r="AQ570" i="121"/>
  <c r="AQ569" i="121"/>
  <c r="AQ554" i="121"/>
  <c r="AQ553" i="121"/>
  <c r="AQ552" i="121"/>
  <c r="AO587" i="121"/>
  <c r="AS590" i="121"/>
  <c r="AS591" i="121"/>
  <c r="AS592" i="121"/>
  <c r="AS594" i="121"/>
  <c r="AS595" i="121"/>
  <c r="AS596" i="121"/>
  <c r="AR598" i="121"/>
  <c r="AS598" i="121"/>
  <c r="AS599" i="121"/>
  <c r="AS600" i="121"/>
  <c r="AO566" i="121"/>
  <c r="AS569" i="121"/>
  <c r="AS570" i="121"/>
  <c r="AS571" i="121"/>
  <c r="AS572" i="121"/>
  <c r="AS574" i="121"/>
  <c r="AS575" i="121"/>
  <c r="AS576" i="121"/>
  <c r="AS577" i="121"/>
  <c r="AS578" i="121"/>
  <c r="AS579" i="121"/>
  <c r="AR581" i="121"/>
  <c r="AS581" i="121"/>
  <c r="AS582" i="121"/>
  <c r="AS583" i="121"/>
  <c r="AS584" i="121"/>
  <c r="AO549" i="121"/>
  <c r="AS552" i="121"/>
  <c r="AS553" i="121"/>
  <c r="AS554" i="121"/>
  <c r="AS555" i="121"/>
  <c r="AS557" i="121"/>
  <c r="AS558" i="121"/>
  <c r="AS559" i="121"/>
  <c r="AS560" i="121"/>
  <c r="AR562" i="121"/>
  <c r="AS562" i="121"/>
  <c r="AS563" i="121"/>
  <c r="AC507" i="121"/>
  <c r="AQ545" i="121"/>
  <c r="AQ537" i="121"/>
  <c r="AQ536" i="121"/>
  <c r="AO533" i="121"/>
  <c r="AS536" i="121"/>
  <c r="AS537" i="121"/>
  <c r="AS538" i="121"/>
  <c r="AS540" i="121"/>
  <c r="AS541" i="121"/>
  <c r="AS542" i="121"/>
  <c r="AR544" i="121"/>
  <c r="AS544" i="121"/>
  <c r="AS545" i="121"/>
  <c r="AS546" i="121"/>
  <c r="AG691" i="121"/>
  <c r="AG692" i="121"/>
  <c r="AG693" i="121"/>
  <c r="AG694" i="121"/>
  <c r="AE685" i="121"/>
  <c r="AE686" i="121"/>
  <c r="AQ529" i="121"/>
  <c r="AS525" i="121"/>
  <c r="AG690" i="121"/>
  <c r="AG689" i="121"/>
  <c r="AG695" i="121" s="1"/>
  <c r="AG686" i="121"/>
  <c r="AG685" i="121"/>
  <c r="AG684" i="121"/>
  <c r="AG687" i="121" s="1"/>
  <c r="AC681" i="121"/>
  <c r="AQ520" i="121"/>
  <c r="AQ519" i="121"/>
  <c r="AQ518" i="121"/>
  <c r="AG705" i="121"/>
  <c r="AG701" i="121"/>
  <c r="U442" i="121" s="1"/>
  <c r="AC701" i="121"/>
  <c r="AO515" i="121"/>
  <c r="AS518" i="121"/>
  <c r="AS519" i="121"/>
  <c r="AS520" i="121"/>
  <c r="AS521" i="121"/>
  <c r="AS523" i="121"/>
  <c r="AS524" i="121"/>
  <c r="AR528" i="121"/>
  <c r="AS528" i="121"/>
  <c r="AS529" i="121"/>
  <c r="AS530" i="121"/>
  <c r="AG711" i="121"/>
  <c r="AG712" i="121" s="1"/>
  <c r="AG708" i="121"/>
  <c r="U443" i="121" s="1"/>
  <c r="AC708" i="121"/>
  <c r="AQ503" i="121"/>
  <c r="AQ502" i="121"/>
  <c r="AQ501" i="121"/>
  <c r="AO498" i="121"/>
  <c r="AS501" i="121"/>
  <c r="AS502" i="121"/>
  <c r="AS503" i="121"/>
  <c r="AS504" i="121"/>
  <c r="AS506" i="121"/>
  <c r="AS507" i="121"/>
  <c r="AS508" i="121"/>
  <c r="AS509" i="121"/>
  <c r="AR511" i="121"/>
  <c r="AS511" i="121"/>
  <c r="AS512" i="121"/>
  <c r="AE224" i="121"/>
  <c r="AE225" i="121"/>
  <c r="AG225" i="121" s="1"/>
  <c r="AG229" i="121"/>
  <c r="AG228" i="121"/>
  <c r="AG230" i="121" s="1"/>
  <c r="AG224" i="121"/>
  <c r="AG223" i="121"/>
  <c r="AG226" i="121" s="1"/>
  <c r="AC220" i="121"/>
  <c r="AC498" i="121"/>
  <c r="AE202" i="121"/>
  <c r="AE201" i="121"/>
  <c r="AG206" i="121"/>
  <c r="AG205" i="121"/>
  <c r="AG207" i="121" s="1"/>
  <c r="AG202" i="121"/>
  <c r="AG201" i="121"/>
  <c r="AG203" i="121" s="1"/>
  <c r="AF209" i="121" s="1"/>
  <c r="AG209" i="121" s="1"/>
  <c r="AG210" i="121" s="1"/>
  <c r="AG198" i="121"/>
  <c r="U337" i="121" s="1"/>
  <c r="V337" i="121" s="1"/>
  <c r="AC198" i="121"/>
  <c r="AE489" i="121"/>
  <c r="AC485" i="121"/>
  <c r="AG488" i="121"/>
  <c r="AG489" i="121"/>
  <c r="AG490" i="121"/>
  <c r="AF492" i="121"/>
  <c r="AG492" i="121"/>
  <c r="AG493" i="121"/>
  <c r="AG494" i="121"/>
  <c r="AG495" i="121"/>
  <c r="AC474" i="121"/>
  <c r="AG477" i="121"/>
  <c r="AG478" i="121" s="1"/>
  <c r="AF480" i="121"/>
  <c r="AG480" i="121"/>
  <c r="AG481" i="121"/>
  <c r="AG482" i="121"/>
  <c r="AE187" i="121"/>
  <c r="AE186" i="121"/>
  <c r="AG191" i="121"/>
  <c r="AG190" i="121"/>
  <c r="AG192" i="121" s="1"/>
  <c r="AG187" i="121"/>
  <c r="AG186" i="121"/>
  <c r="AG188" i="121" s="1"/>
  <c r="AC183" i="121"/>
  <c r="AG470" i="121"/>
  <c r="AE469" i="121"/>
  <c r="AE461" i="121"/>
  <c r="AE460" i="121"/>
  <c r="AE173" i="121"/>
  <c r="AG176" i="121"/>
  <c r="AG177" i="121" s="1"/>
  <c r="AG173" i="121"/>
  <c r="AG174" i="121" s="1"/>
  <c r="AC170" i="121"/>
  <c r="AC457" i="121"/>
  <c r="AG460" i="121"/>
  <c r="AG461" i="121"/>
  <c r="AG462" i="121"/>
  <c r="AG463" i="121"/>
  <c r="AG465" i="121"/>
  <c r="AG466" i="121"/>
  <c r="AF468" i="121"/>
  <c r="AG468" i="121"/>
  <c r="AG469" i="121"/>
  <c r="AE445" i="121"/>
  <c r="AE444" i="121"/>
  <c r="AC440" i="121"/>
  <c r="AG443" i="121"/>
  <c r="AG444" i="121"/>
  <c r="AG445" i="121"/>
  <c r="AG446" i="121"/>
  <c r="AG448" i="121"/>
  <c r="AG449" i="121"/>
  <c r="AG450" i="121"/>
  <c r="AF452" i="121"/>
  <c r="AG452" i="121" s="1"/>
  <c r="AG453" i="121"/>
  <c r="AG454" i="121"/>
  <c r="AE433" i="121"/>
  <c r="AC429" i="121"/>
  <c r="AG432" i="121"/>
  <c r="AG433" i="121"/>
  <c r="AG434" i="121"/>
  <c r="AF436" i="121"/>
  <c r="AG436" i="121"/>
  <c r="AG437" i="121"/>
  <c r="V424" i="121"/>
  <c r="V425" i="121" s="1"/>
  <c r="V421" i="121"/>
  <c r="E75" i="121" s="1"/>
  <c r="R421" i="121"/>
  <c r="V417" i="121"/>
  <c r="V418" i="121" s="1"/>
  <c r="V414" i="121"/>
  <c r="R414" i="121"/>
  <c r="V410" i="121"/>
  <c r="V411" i="121" s="1"/>
  <c r="V407" i="121"/>
  <c r="R407" i="121"/>
  <c r="V403" i="121"/>
  <c r="V404" i="121" s="1"/>
  <c r="V400" i="121"/>
  <c r="R400" i="121"/>
  <c r="R428" i="121"/>
  <c r="V239" i="121"/>
  <c r="V240" i="121" s="1"/>
  <c r="R236" i="121"/>
  <c r="AE159" i="121"/>
  <c r="AG159" i="121" s="1"/>
  <c r="AG155" i="121"/>
  <c r="AG154" i="121"/>
  <c r="AG153" i="121"/>
  <c r="AG156" i="121" s="1"/>
  <c r="AE150" i="121"/>
  <c r="AG150" i="121" s="1"/>
  <c r="AE149" i="121"/>
  <c r="AG149" i="121" s="1"/>
  <c r="AE148" i="121"/>
  <c r="AG148" i="121" s="1"/>
  <c r="AE147" i="121"/>
  <c r="AG147" i="121" s="1"/>
  <c r="AG151" i="121" s="1"/>
  <c r="AF158" i="121" s="1"/>
  <c r="AG158" i="121" s="1"/>
  <c r="AG160" i="121" s="1"/>
  <c r="AG144" i="121"/>
  <c r="U284" i="121" s="1"/>
  <c r="V284" i="121" s="1"/>
  <c r="AC144" i="121"/>
  <c r="AE140" i="121"/>
  <c r="AG140" i="121" s="1"/>
  <c r="AG136" i="121"/>
  <c r="AG135" i="121"/>
  <c r="AG134" i="121"/>
  <c r="AG137" i="121" s="1"/>
  <c r="AE131" i="121"/>
  <c r="AG131" i="121" s="1"/>
  <c r="AE130" i="121"/>
  <c r="AG130" i="121" s="1"/>
  <c r="AE129" i="121"/>
  <c r="AG129" i="121" s="1"/>
  <c r="AE128" i="121"/>
  <c r="AG128" i="121" s="1"/>
  <c r="AG132" i="121" s="1"/>
  <c r="AF139" i="121" s="1"/>
  <c r="AG139" i="121" s="1"/>
  <c r="AC125" i="121"/>
  <c r="AE121" i="121"/>
  <c r="AG121" i="121" s="1"/>
  <c r="AG117" i="121"/>
  <c r="AG116" i="121"/>
  <c r="AG115" i="121"/>
  <c r="AG118" i="121" s="1"/>
  <c r="AE112" i="121"/>
  <c r="AG112" i="121" s="1"/>
  <c r="AE111" i="121"/>
  <c r="AG111" i="121" s="1"/>
  <c r="AE110" i="121"/>
  <c r="AG110" i="121" s="1"/>
  <c r="AE109" i="121"/>
  <c r="AG109" i="121" s="1"/>
  <c r="AG113" i="121" s="1"/>
  <c r="AF120" i="121" s="1"/>
  <c r="AG120" i="121" s="1"/>
  <c r="AG122" i="121" s="1"/>
  <c r="AG106" i="121"/>
  <c r="AC106" i="121"/>
  <c r="AE102" i="121"/>
  <c r="AG102" i="121" s="1"/>
  <c r="AG98" i="121"/>
  <c r="AG97" i="121"/>
  <c r="AG99" i="121" s="1"/>
  <c r="AE94" i="121"/>
  <c r="AG94" i="121" s="1"/>
  <c r="AE93" i="121"/>
  <c r="AG93" i="121" s="1"/>
  <c r="AE92" i="121"/>
  <c r="AG92" i="121" s="1"/>
  <c r="AG95" i="121" s="1"/>
  <c r="AF101" i="121" s="1"/>
  <c r="AG101" i="121" s="1"/>
  <c r="AG103" i="121" s="1"/>
  <c r="AG89" i="121"/>
  <c r="AC89" i="121"/>
  <c r="AG79" i="121"/>
  <c r="AG78" i="121"/>
  <c r="AG77" i="121"/>
  <c r="V70" i="121"/>
  <c r="AC74" i="121"/>
  <c r="V66" i="121"/>
  <c r="U65" i="121"/>
  <c r="E31" i="121" s="1"/>
  <c r="U63" i="121"/>
  <c r="E29" i="121" s="1"/>
  <c r="U62" i="121"/>
  <c r="E28" i="121" s="1"/>
  <c r="AE60" i="121"/>
  <c r="AG60" i="121" s="1"/>
  <c r="AE59" i="121"/>
  <c r="AG59" i="121" s="1"/>
  <c r="AG61" i="121" s="1"/>
  <c r="AC56" i="121"/>
  <c r="R56" i="121"/>
  <c r="AG49" i="121"/>
  <c r="AG47" i="121"/>
  <c r="AG50" i="121" s="1"/>
  <c r="AE44" i="121"/>
  <c r="AG44" i="121" s="1"/>
  <c r="AG43" i="121"/>
  <c r="AE42" i="121"/>
  <c r="AG42" i="121" s="1"/>
  <c r="AG45" i="121" s="1"/>
  <c r="AF52" i="121" s="1"/>
  <c r="AC39" i="121"/>
  <c r="AG32" i="121"/>
  <c r="AG31" i="121"/>
  <c r="AG30" i="121"/>
  <c r="AG33" i="121" s="1"/>
  <c r="AE27" i="121"/>
  <c r="AG27" i="121" s="1"/>
  <c r="AE26" i="121"/>
  <c r="AG26" i="121" s="1"/>
  <c r="AG25" i="121"/>
  <c r="AC22" i="121"/>
  <c r="AG15" i="121"/>
  <c r="AG14" i="121"/>
  <c r="AG16" i="121" s="1"/>
  <c r="AE11" i="121"/>
  <c r="AG11" i="121" s="1"/>
  <c r="AE10" i="121"/>
  <c r="AG10" i="121" s="1"/>
  <c r="AG12" i="121"/>
  <c r="AC6" i="121"/>
  <c r="R5" i="121"/>
  <c r="Z161" i="119"/>
  <c r="Z162" i="119"/>
  <c r="Z163" i="119"/>
  <c r="Z164" i="119"/>
  <c r="Z165" i="119"/>
  <c r="Z166" i="119"/>
  <c r="Z167" i="119"/>
  <c r="Z485" i="119"/>
  <c r="Z486" i="119"/>
  <c r="Z487" i="119"/>
  <c r="Z488" i="119"/>
  <c r="X480" i="119"/>
  <c r="V495" i="119"/>
  <c r="Z498" i="119"/>
  <c r="Z499" i="119" s="1"/>
  <c r="V477" i="119"/>
  <c r="Z480" i="119"/>
  <c r="Z481" i="119" s="1"/>
  <c r="Z483" i="119"/>
  <c r="Z484" i="119"/>
  <c r="X467" i="119"/>
  <c r="V464" i="119"/>
  <c r="Z467" i="119"/>
  <c r="Z468" i="119"/>
  <c r="Z470" i="119"/>
  <c r="Z471" i="119"/>
  <c r="Y473" i="119"/>
  <c r="Z473" i="119"/>
  <c r="Z474" i="119"/>
  <c r="X511" i="119"/>
  <c r="X510" i="119"/>
  <c r="X509" i="119"/>
  <c r="Z511" i="119"/>
  <c r="Z510" i="119"/>
  <c r="Z509" i="119"/>
  <c r="Z517" i="119"/>
  <c r="Z518" i="119"/>
  <c r="Z519" i="119"/>
  <c r="Z516" i="119"/>
  <c r="Z515" i="119"/>
  <c r="Z514" i="119"/>
  <c r="Z520" i="119" s="1"/>
  <c r="Y522" i="119"/>
  <c r="Z522" i="119" s="1"/>
  <c r="Z523" i="119" s="1"/>
  <c r="Z506" i="119"/>
  <c r="I58" i="119" s="1"/>
  <c r="V506" i="119"/>
  <c r="X670" i="119"/>
  <c r="Z670" i="119"/>
  <c r="X663" i="119"/>
  <c r="X662" i="119"/>
  <c r="Z662" i="119"/>
  <c r="V659" i="119"/>
  <c r="Z663" i="119"/>
  <c r="Z666" i="119"/>
  <c r="Z667" i="119"/>
  <c r="X648" i="119"/>
  <c r="Z651" i="119"/>
  <c r="X678" i="119"/>
  <c r="X677" i="119"/>
  <c r="Z678" i="119"/>
  <c r="Z677" i="119"/>
  <c r="Z679" i="119" s="1"/>
  <c r="Y681" i="119" s="1"/>
  <c r="Z681" i="119" s="1"/>
  <c r="Z682" i="119" s="1"/>
  <c r="Z674" i="119"/>
  <c r="V674" i="119"/>
  <c r="X689" i="119"/>
  <c r="V645" i="119"/>
  <c r="Z648" i="119"/>
  <c r="Z649" i="119"/>
  <c r="Z652" i="119"/>
  <c r="Y655" i="119"/>
  <c r="Z655" i="119"/>
  <c r="Z656" i="119" s="1"/>
  <c r="X688" i="119"/>
  <c r="Z689" i="119"/>
  <c r="Z688" i="119"/>
  <c r="Z690" i="119" s="1"/>
  <c r="Y692" i="119" s="1"/>
  <c r="Z692" i="119" s="1"/>
  <c r="Z693" i="119" s="1"/>
  <c r="Z685" i="119"/>
  <c r="V685" i="119"/>
  <c r="X700" i="119"/>
  <c r="X701" i="119"/>
  <c r="X699" i="119"/>
  <c r="X641" i="119"/>
  <c r="Z641" i="119" s="1"/>
  <c r="X640" i="119"/>
  <c r="Z640" i="119" s="1"/>
  <c r="X633" i="119"/>
  <c r="X632" i="119"/>
  <c r="Z701" i="119"/>
  <c r="Z700" i="119"/>
  <c r="Z699" i="119"/>
  <c r="Z702" i="119" s="1"/>
  <c r="V696" i="119"/>
  <c r="V629" i="119"/>
  <c r="Z632" i="119"/>
  <c r="Z633" i="119"/>
  <c r="Z634" i="119"/>
  <c r="Z636" i="119"/>
  <c r="Z637" i="119"/>
  <c r="Y639" i="119"/>
  <c r="Z639" i="119"/>
  <c r="Z642" i="119" s="1"/>
  <c r="X716" i="119"/>
  <c r="X712" i="119"/>
  <c r="X711" i="119"/>
  <c r="Z716" i="119"/>
  <c r="Z712" i="119"/>
  <c r="Z711" i="119"/>
  <c r="Z713" i="119" s="1"/>
  <c r="Y715" i="119" s="1"/>
  <c r="Z715" i="119" s="1"/>
  <c r="Z717" i="119" s="1"/>
  <c r="Z708" i="119"/>
  <c r="V708" i="119"/>
  <c r="X625" i="119"/>
  <c r="X724" i="119"/>
  <c r="X723" i="119"/>
  <c r="X621" i="119"/>
  <c r="X620" i="119"/>
  <c r="Z724" i="119"/>
  <c r="Z723" i="119"/>
  <c r="Z725" i="119" s="1"/>
  <c r="Y727" i="119" s="1"/>
  <c r="Z727" i="119" s="1"/>
  <c r="Z728" i="119" s="1"/>
  <c r="Z720" i="119"/>
  <c r="V720" i="119"/>
  <c r="V617" i="119"/>
  <c r="Z620" i="119"/>
  <c r="Z621" i="119"/>
  <c r="Z622" i="119"/>
  <c r="Y624" i="119"/>
  <c r="Z624" i="119"/>
  <c r="Z625" i="119"/>
  <c r="Z626" i="119"/>
  <c r="X735" i="119"/>
  <c r="X734" i="119"/>
  <c r="Z735" i="119"/>
  <c r="Z734" i="119"/>
  <c r="Z736" i="119" s="1"/>
  <c r="Y738" i="119" s="1"/>
  <c r="Z738" i="119" s="1"/>
  <c r="Z739" i="119" s="1"/>
  <c r="Z731" i="119"/>
  <c r="V731" i="119"/>
  <c r="X750" i="119"/>
  <c r="Z750" i="119" s="1"/>
  <c r="X746" i="119"/>
  <c r="X604" i="119"/>
  <c r="X745" i="119"/>
  <c r="Z608" i="119"/>
  <c r="Z609" i="119"/>
  <c r="Z610" i="119"/>
  <c r="Z607" i="119"/>
  <c r="Z611" i="119" s="1"/>
  <c r="Z746" i="119"/>
  <c r="Z745" i="119"/>
  <c r="Z747" i="119" s="1"/>
  <c r="Y749" i="119" s="1"/>
  <c r="Z749" i="119" s="1"/>
  <c r="Z751" i="119" s="1"/>
  <c r="Z742" i="119"/>
  <c r="V742" i="119"/>
  <c r="X758" i="119"/>
  <c r="X757" i="119"/>
  <c r="Z758" i="119"/>
  <c r="Z757" i="119"/>
  <c r="Z759" i="119" s="1"/>
  <c r="Y761" i="119" s="1"/>
  <c r="Z761" i="119" s="1"/>
  <c r="Z762" i="119" s="1"/>
  <c r="Z754" i="119"/>
  <c r="V754" i="119"/>
  <c r="V601" i="119"/>
  <c r="Z604" i="119"/>
  <c r="Z605" i="119"/>
  <c r="Y613" i="119"/>
  <c r="Z613" i="119"/>
  <c r="Z614" i="119"/>
  <c r="X769" i="119"/>
  <c r="X768" i="119"/>
  <c r="Z769" i="119"/>
  <c r="Z768" i="119"/>
  <c r="Z770" i="119" s="1"/>
  <c r="Y772" i="119" s="1"/>
  <c r="Z772" i="119" s="1"/>
  <c r="Z773" i="119" s="1"/>
  <c r="Z765" i="119"/>
  <c r="V765" i="119"/>
  <c r="X780" i="119"/>
  <c r="X779" i="119"/>
  <c r="Z780" i="119"/>
  <c r="Z779" i="119"/>
  <c r="Z781" i="119" s="1"/>
  <c r="Y783" i="119" s="1"/>
  <c r="Z783" i="119" s="1"/>
  <c r="Z784" i="119" s="1"/>
  <c r="Z776" i="119"/>
  <c r="V776" i="119"/>
  <c r="X791" i="119"/>
  <c r="X790" i="119"/>
  <c r="Z791" i="119"/>
  <c r="Z790" i="119"/>
  <c r="Z792" i="119" s="1"/>
  <c r="Y794" i="119" s="1"/>
  <c r="Z794" i="119" s="1"/>
  <c r="Z795" i="119" s="1"/>
  <c r="Z787" i="119"/>
  <c r="V787" i="119"/>
  <c r="X802" i="119"/>
  <c r="X801" i="119"/>
  <c r="Z802" i="119"/>
  <c r="Z801" i="119"/>
  <c r="Z803" i="119" s="1"/>
  <c r="Y805" i="119" s="1"/>
  <c r="Z805" i="119" s="1"/>
  <c r="Z806" i="119" s="1"/>
  <c r="Z798" i="119"/>
  <c r="V798" i="119"/>
  <c r="X818" i="119"/>
  <c r="X817" i="119"/>
  <c r="X813" i="119"/>
  <c r="X812" i="119"/>
  <c r="X590" i="119"/>
  <c r="X589" i="119"/>
  <c r="V586" i="119"/>
  <c r="Z589" i="119"/>
  <c r="Z590" i="119"/>
  <c r="Z591" i="119"/>
  <c r="Z593" i="119"/>
  <c r="Z594" i="119"/>
  <c r="Y596" i="119"/>
  <c r="Z596" i="119"/>
  <c r="X597" i="119"/>
  <c r="Z597" i="119"/>
  <c r="Z598" i="119"/>
  <c r="Z818" i="119"/>
  <c r="Z817" i="119"/>
  <c r="Z813" i="119"/>
  <c r="Z812" i="119"/>
  <c r="Z814" i="119" s="1"/>
  <c r="Y816" i="119"/>
  <c r="Z816" i="119" s="1"/>
  <c r="Z819" i="119" s="1"/>
  <c r="Z809" i="119"/>
  <c r="V809" i="119"/>
  <c r="X576" i="119"/>
  <c r="V572" i="119"/>
  <c r="Z576" i="119"/>
  <c r="Z577" i="119" s="1"/>
  <c r="Z579" i="119"/>
  <c r="Z580" i="119"/>
  <c r="Y582" i="119"/>
  <c r="Z582" i="119"/>
  <c r="Z583" i="119" s="1"/>
  <c r="X826" i="119"/>
  <c r="X825" i="119"/>
  <c r="Z826" i="119"/>
  <c r="Z825" i="119"/>
  <c r="Z827" i="119" s="1"/>
  <c r="Y829" i="119" s="1"/>
  <c r="Z829" i="119" s="1"/>
  <c r="Z830" i="119" s="1"/>
  <c r="Z822" i="119"/>
  <c r="V822" i="119"/>
  <c r="X837" i="119"/>
  <c r="X836" i="119"/>
  <c r="Z837" i="119"/>
  <c r="Z836" i="119"/>
  <c r="Z838" i="119" s="1"/>
  <c r="Y840" i="119" s="1"/>
  <c r="Z840" i="119" s="1"/>
  <c r="Z841" i="119" s="1"/>
  <c r="Z833" i="119"/>
  <c r="V833" i="119"/>
  <c r="X568" i="119"/>
  <c r="Z568" i="119"/>
  <c r="X561" i="119"/>
  <c r="X560" i="119"/>
  <c r="X854" i="119"/>
  <c r="Z854" i="119"/>
  <c r="X855" i="119"/>
  <c r="Z855" i="119"/>
  <c r="X853" i="119"/>
  <c r="Z853" i="119" s="1"/>
  <c r="X847" i="119"/>
  <c r="X848" i="119"/>
  <c r="X849" i="119"/>
  <c r="Z847" i="119"/>
  <c r="V557" i="119"/>
  <c r="Z560" i="119"/>
  <c r="Z561" i="119"/>
  <c r="Z562" i="119"/>
  <c r="Z564" i="119"/>
  <c r="Z565" i="119" s="1"/>
  <c r="Y567" i="119"/>
  <c r="Z567" i="119"/>
  <c r="Z569" i="119" s="1"/>
  <c r="Z849" i="119"/>
  <c r="Z848" i="119"/>
  <c r="V844" i="119"/>
  <c r="X863" i="119"/>
  <c r="X862" i="119"/>
  <c r="Z863" i="119"/>
  <c r="Z862" i="119"/>
  <c r="Z864" i="119" s="1"/>
  <c r="Y866" i="119" s="1"/>
  <c r="Z866" i="119" s="1"/>
  <c r="Z867" i="119" s="1"/>
  <c r="Z859" i="119"/>
  <c r="V859" i="119"/>
  <c r="X544" i="119"/>
  <c r="X543" i="119"/>
  <c r="X542" i="119"/>
  <c r="V539" i="119"/>
  <c r="Z542" i="119"/>
  <c r="Z543" i="119"/>
  <c r="Z544" i="119"/>
  <c r="Z545" i="119"/>
  <c r="Z547" i="119"/>
  <c r="Z548" i="119"/>
  <c r="Z549" i="119"/>
  <c r="Z550" i="119"/>
  <c r="Y553" i="119"/>
  <c r="Z553" i="119"/>
  <c r="Z554" i="119"/>
  <c r="X874" i="119"/>
  <c r="X873" i="119"/>
  <c r="Z874" i="119"/>
  <c r="Z873" i="119"/>
  <c r="Z875" i="119" s="1"/>
  <c r="Y877" i="119" s="1"/>
  <c r="Z877" i="119" s="1"/>
  <c r="Z878" i="119" s="1"/>
  <c r="Z870" i="119"/>
  <c r="V870" i="119"/>
  <c r="X884" i="119"/>
  <c r="Z884" i="119"/>
  <c r="Z885" i="119"/>
  <c r="Y887" i="119" s="1"/>
  <c r="Z887" i="119" s="1"/>
  <c r="Z888" i="119" s="1"/>
  <c r="Z881" i="119"/>
  <c r="V881" i="119"/>
  <c r="V891" i="119"/>
  <c r="X894" i="119"/>
  <c r="Z894" i="119"/>
  <c r="X895" i="119"/>
  <c r="Z532" i="119"/>
  <c r="Z895" i="119"/>
  <c r="Z896" i="119"/>
  <c r="X529" i="119"/>
  <c r="Z533" i="119"/>
  <c r="X906" i="119"/>
  <c r="X905" i="119"/>
  <c r="V526" i="119"/>
  <c r="Z529" i="119"/>
  <c r="Z530" i="119"/>
  <c r="Y535" i="119"/>
  <c r="Z535" i="119"/>
  <c r="Z536" i="119"/>
  <c r="Z906" i="119"/>
  <c r="Z905" i="119"/>
  <c r="Z907" i="119" s="1"/>
  <c r="V902" i="119"/>
  <c r="X924" i="119"/>
  <c r="X917" i="119"/>
  <c r="X916" i="119"/>
  <c r="Z924" i="119"/>
  <c r="Z920" i="119"/>
  <c r="Z921" i="119" s="1"/>
  <c r="Z917" i="119"/>
  <c r="Z916" i="119"/>
  <c r="Z918" i="119" s="1"/>
  <c r="Y923" i="119" s="1"/>
  <c r="Z923" i="119" s="1"/>
  <c r="Z925" i="119" s="1"/>
  <c r="Z913" i="119"/>
  <c r="V913" i="119"/>
  <c r="X939" i="119"/>
  <c r="X932" i="119"/>
  <c r="X931" i="119"/>
  <c r="Z939" i="119"/>
  <c r="Z935" i="119"/>
  <c r="Z936" i="119" s="1"/>
  <c r="Z932" i="119"/>
  <c r="Z931" i="119"/>
  <c r="Z933" i="119" s="1"/>
  <c r="Y938" i="119" s="1"/>
  <c r="Z938" i="119" s="1"/>
  <c r="Z940" i="119" s="1"/>
  <c r="Z928" i="119"/>
  <c r="V928" i="119"/>
  <c r="X954" i="119"/>
  <c r="X947" i="119"/>
  <c r="X946" i="119"/>
  <c r="Z954" i="119"/>
  <c r="Z950" i="119"/>
  <c r="Z951" i="119" s="1"/>
  <c r="Z947" i="119"/>
  <c r="Z946" i="119"/>
  <c r="Z948" i="119" s="1"/>
  <c r="Y953" i="119" s="1"/>
  <c r="Z953" i="119" s="1"/>
  <c r="Z955" i="119" s="1"/>
  <c r="Z943" i="119"/>
  <c r="V943" i="119"/>
  <c r="V457" i="119"/>
  <c r="Z460" i="119"/>
  <c r="Z461" i="119" s="1"/>
  <c r="Z453" i="119"/>
  <c r="V448" i="119"/>
  <c r="Z451" i="119"/>
  <c r="Z452" i="119"/>
  <c r="Z438" i="119"/>
  <c r="Z441" i="119"/>
  <c r="X970" i="119"/>
  <c r="X969" i="119"/>
  <c r="X962" i="119"/>
  <c r="X961" i="119"/>
  <c r="Z969" i="119"/>
  <c r="Z970" i="119"/>
  <c r="Z965" i="119"/>
  <c r="Z966" i="119" s="1"/>
  <c r="Z962" i="119"/>
  <c r="Z961" i="119"/>
  <c r="Z963" i="119" s="1"/>
  <c r="Y968" i="119" s="1"/>
  <c r="Z968" i="119" s="1"/>
  <c r="Z971" i="119" s="1"/>
  <c r="Z958" i="119"/>
  <c r="V958" i="119"/>
  <c r="X435" i="119"/>
  <c r="X434" i="119"/>
  <c r="X985" i="119"/>
  <c r="X978" i="119"/>
  <c r="X977" i="119"/>
  <c r="Z985" i="119"/>
  <c r="Z981" i="119"/>
  <c r="Z982" i="119" s="1"/>
  <c r="Z978" i="119"/>
  <c r="Z977" i="119"/>
  <c r="Z979" i="119" s="1"/>
  <c r="Y984" i="119" s="1"/>
  <c r="Z984" i="119" s="1"/>
  <c r="Z986" i="119" s="1"/>
  <c r="Z974" i="119"/>
  <c r="V974" i="119"/>
  <c r="X1000" i="119"/>
  <c r="X993" i="119"/>
  <c r="X992" i="119"/>
  <c r="Z1000" i="119"/>
  <c r="Z996" i="119"/>
  <c r="Z997" i="119" s="1"/>
  <c r="Z993" i="119"/>
  <c r="Z992" i="119"/>
  <c r="Z994" i="119" s="1"/>
  <c r="Y999" i="119" s="1"/>
  <c r="Z999" i="119" s="1"/>
  <c r="Z1001" i="119" s="1"/>
  <c r="Z989" i="119"/>
  <c r="V989" i="119"/>
  <c r="V431" i="119"/>
  <c r="Z434" i="119"/>
  <c r="Z435" i="119"/>
  <c r="Z436" i="119"/>
  <c r="Y444" i="119" s="1"/>
  <c r="Z439" i="119"/>
  <c r="Z440" i="119"/>
  <c r="X427" i="119"/>
  <c r="X426" i="119"/>
  <c r="X422" i="119"/>
  <c r="X421" i="119"/>
  <c r="Z427" i="119"/>
  <c r="X1017" i="119"/>
  <c r="X1016" i="119"/>
  <c r="X1015" i="119"/>
  <c r="Z1016" i="119"/>
  <c r="X1008" i="119"/>
  <c r="X1007" i="119"/>
  <c r="Z1017" i="119"/>
  <c r="Z1015" i="119"/>
  <c r="Z1011" i="119"/>
  <c r="Z1012" i="119" s="1"/>
  <c r="Z1008" i="119"/>
  <c r="Z1007" i="119"/>
  <c r="Z1009" i="119" s="1"/>
  <c r="Y1014" i="119" s="1"/>
  <c r="Z1014" i="119" s="1"/>
  <c r="Z1018" i="119" s="1"/>
  <c r="Z1004" i="119"/>
  <c r="V1004" i="119"/>
  <c r="V418" i="119"/>
  <c r="Z421" i="119"/>
  <c r="Z422" i="119"/>
  <c r="Z423" i="119"/>
  <c r="Y425" i="119" s="1"/>
  <c r="Z426" i="119"/>
  <c r="X1032" i="119"/>
  <c r="X1025" i="119"/>
  <c r="X1024" i="119"/>
  <c r="Z1032" i="119"/>
  <c r="Z1028" i="119"/>
  <c r="Z1029" i="119" s="1"/>
  <c r="Z1025" i="119"/>
  <c r="Z1024" i="119"/>
  <c r="Z1026" i="119" s="1"/>
  <c r="Y1031" i="119" s="1"/>
  <c r="Z1031" i="119" s="1"/>
  <c r="Z1033" i="119" s="1"/>
  <c r="Z1021" i="119"/>
  <c r="V1021" i="119"/>
  <c r="X1047" i="119"/>
  <c r="X1040" i="119"/>
  <c r="X1039" i="119"/>
  <c r="Z1047" i="119"/>
  <c r="Z1043" i="119"/>
  <c r="Z1044" i="119" s="1"/>
  <c r="Z1040" i="119"/>
  <c r="Z1039" i="119"/>
  <c r="Z1041" i="119" s="1"/>
  <c r="Y1046" i="119" s="1"/>
  <c r="Z1046" i="119" s="1"/>
  <c r="Z1048" i="119" s="1"/>
  <c r="Z1036" i="119"/>
  <c r="V1036" i="119"/>
  <c r="V410" i="119"/>
  <c r="Z413" i="119"/>
  <c r="Z414" i="119"/>
  <c r="X1062" i="119"/>
  <c r="X1055" i="119"/>
  <c r="X1054" i="119"/>
  <c r="Z1062" i="119"/>
  <c r="Z1058" i="119"/>
  <c r="Z1059" i="119" s="1"/>
  <c r="Z1055" i="119"/>
  <c r="Z1054" i="119"/>
  <c r="Z1056" i="119" s="1"/>
  <c r="Y1061" i="119" s="1"/>
  <c r="Z1061" i="119" s="1"/>
  <c r="Z1063" i="119" s="1"/>
  <c r="Z1051" i="119"/>
  <c r="V1051" i="119"/>
  <c r="V402" i="119"/>
  <c r="Z405" i="119"/>
  <c r="Z406" i="119"/>
  <c r="X1078" i="119"/>
  <c r="X1077" i="119"/>
  <c r="X1069" i="119"/>
  <c r="X1070" i="119"/>
  <c r="Z1078" i="119"/>
  <c r="Z1077" i="119"/>
  <c r="Z1073" i="119"/>
  <c r="Z1074" i="119" s="1"/>
  <c r="Z1070" i="119"/>
  <c r="Z1069" i="119"/>
  <c r="Z1071" i="119" s="1"/>
  <c r="Y1076" i="119" s="1"/>
  <c r="Z1076" i="119" s="1"/>
  <c r="Z1079" i="119" s="1"/>
  <c r="Z1066" i="119"/>
  <c r="V1066" i="119"/>
  <c r="V390" i="119"/>
  <c r="Z393" i="119"/>
  <c r="Z394" i="119"/>
  <c r="Z395" i="119"/>
  <c r="Z396" i="119"/>
  <c r="Z397" i="119"/>
  <c r="Z398" i="119"/>
  <c r="X1094" i="119"/>
  <c r="X1093" i="119"/>
  <c r="X1086" i="119"/>
  <c r="X1085" i="119"/>
  <c r="Z1094" i="119"/>
  <c r="Z1093" i="119"/>
  <c r="Z1089" i="119"/>
  <c r="Z1090" i="119" s="1"/>
  <c r="Z1086" i="119"/>
  <c r="Z1085" i="119"/>
  <c r="Z1087" i="119" s="1"/>
  <c r="Y1092" i="119" s="1"/>
  <c r="Z1092" i="119" s="1"/>
  <c r="Z1095" i="119" s="1"/>
  <c r="Z1082" i="119"/>
  <c r="V1082" i="119"/>
  <c r="X1110" i="119"/>
  <c r="X1109" i="119"/>
  <c r="X1102" i="119"/>
  <c r="X1101" i="119"/>
  <c r="Z1110" i="119"/>
  <c r="Z1109" i="119"/>
  <c r="Z1105" i="119"/>
  <c r="Z1106" i="119" s="1"/>
  <c r="Z1102" i="119"/>
  <c r="Z1101" i="119"/>
  <c r="Z1103" i="119" s="1"/>
  <c r="Y1108" i="119" s="1"/>
  <c r="Z1108" i="119" s="1"/>
  <c r="Z1111" i="119" s="1"/>
  <c r="Z1098" i="119"/>
  <c r="V1098" i="119"/>
  <c r="V381" i="119"/>
  <c r="Z384" i="119"/>
  <c r="Z385" i="119"/>
  <c r="Z386" i="119"/>
  <c r="X1125" i="119"/>
  <c r="Z376" i="119"/>
  <c r="Z377" i="119"/>
  <c r="X1118" i="119"/>
  <c r="X1117" i="119"/>
  <c r="Z1125" i="119"/>
  <c r="Z1121" i="119"/>
  <c r="Z1122" i="119" s="1"/>
  <c r="Z1118" i="119"/>
  <c r="Z1117" i="119"/>
  <c r="Z1119" i="119" s="1"/>
  <c r="Y1124" i="119" s="1"/>
  <c r="Z1124" i="119" s="1"/>
  <c r="Z1126" i="119" s="1"/>
  <c r="Z1114" i="119"/>
  <c r="V1114" i="119"/>
  <c r="V367" i="119"/>
  <c r="Z370" i="119"/>
  <c r="Z371" i="119"/>
  <c r="Z372" i="119"/>
  <c r="Z373" i="119"/>
  <c r="Z374" i="119"/>
  <c r="Z375" i="119"/>
  <c r="X1144" i="119"/>
  <c r="Z1144" i="119"/>
  <c r="X1160" i="119"/>
  <c r="X1159" i="119"/>
  <c r="X1143" i="119"/>
  <c r="X1142" i="119"/>
  <c r="Z1138" i="119"/>
  <c r="V355" i="119"/>
  <c r="Z358" i="119"/>
  <c r="Z359" i="119"/>
  <c r="Z360" i="119"/>
  <c r="Z361" i="119"/>
  <c r="Z362" i="119"/>
  <c r="Z363" i="119"/>
  <c r="X1133" i="119"/>
  <c r="Z1133" i="119" s="1"/>
  <c r="Z346" i="119"/>
  <c r="Z347" i="119"/>
  <c r="Z348" i="119"/>
  <c r="Z349" i="119"/>
  <c r="Z350" i="119"/>
  <c r="Z351" i="119"/>
  <c r="X1134" i="119"/>
  <c r="X1132" i="119"/>
  <c r="Z1143" i="119"/>
  <c r="Z1142" i="119"/>
  <c r="Z1137" i="119"/>
  <c r="Z1139" i="119" s="1"/>
  <c r="Z1134" i="119"/>
  <c r="Z1132" i="119"/>
  <c r="Z1135" i="119" s="1"/>
  <c r="V1129" i="119"/>
  <c r="X1152" i="119"/>
  <c r="X1151" i="119"/>
  <c r="Z1160" i="119"/>
  <c r="Z1159" i="119"/>
  <c r="Z1155" i="119"/>
  <c r="Z1156" i="119" s="1"/>
  <c r="Z1152" i="119"/>
  <c r="Z1151" i="119"/>
  <c r="Z1153" i="119" s="1"/>
  <c r="Y1158" i="119" s="1"/>
  <c r="Z1158" i="119" s="1"/>
  <c r="Z1161" i="119" s="1"/>
  <c r="Z1148" i="119"/>
  <c r="V1148" i="119"/>
  <c r="V329" i="119"/>
  <c r="Z332" i="119"/>
  <c r="Z333" i="119"/>
  <c r="Z334" i="119"/>
  <c r="Z335" i="119"/>
  <c r="Z336" i="119"/>
  <c r="Z337" i="119"/>
  <c r="Z338" i="119"/>
  <c r="Z339" i="119"/>
  <c r="Z340" i="119"/>
  <c r="Z341" i="119"/>
  <c r="Z342" i="119"/>
  <c r="Z343" i="119"/>
  <c r="Z344" i="119"/>
  <c r="Z345" i="119"/>
  <c r="X201" i="119"/>
  <c r="X200" i="119"/>
  <c r="X199" i="119"/>
  <c r="Z201" i="119"/>
  <c r="Z200" i="119"/>
  <c r="Z199" i="119"/>
  <c r="Z202" i="119" s="1"/>
  <c r="Z206" i="119"/>
  <c r="Z205" i="119"/>
  <c r="Z204" i="119"/>
  <c r="Z207" i="119" s="1"/>
  <c r="Y209" i="119"/>
  <c r="Z209" i="119" s="1"/>
  <c r="Z210" i="119" s="1"/>
  <c r="V196" i="119"/>
  <c r="V213" i="119"/>
  <c r="Z216" i="119"/>
  <c r="Z217" i="119"/>
  <c r="Z213" i="119" s="1"/>
  <c r="V220" i="119"/>
  <c r="Z223" i="119"/>
  <c r="Z224" i="119"/>
  <c r="Z220" i="119" s="1"/>
  <c r="V227" i="119"/>
  <c r="Z230" i="119"/>
  <c r="Z231" i="119"/>
  <c r="Z227" i="119" s="1"/>
  <c r="V234" i="119"/>
  <c r="Z237" i="119"/>
  <c r="Z238" i="119"/>
  <c r="Z234" i="119" s="1"/>
  <c r="V241" i="119"/>
  <c r="Z244" i="119"/>
  <c r="Z245" i="119"/>
  <c r="Z241" i="119" s="1"/>
  <c r="V248" i="119"/>
  <c r="Z251" i="119"/>
  <c r="Z252" i="119"/>
  <c r="Z248" i="119" s="1"/>
  <c r="Z184" i="119"/>
  <c r="Z181" i="119"/>
  <c r="Z182" i="119"/>
  <c r="Z183" i="119"/>
  <c r="Z185" i="119"/>
  <c r="Z186" i="119"/>
  <c r="Z187" i="119"/>
  <c r="Z188" i="119"/>
  <c r="Z189" i="119"/>
  <c r="X258" i="119"/>
  <c r="V255" i="119"/>
  <c r="Z258" i="119"/>
  <c r="Z259" i="119"/>
  <c r="Y261" i="119"/>
  <c r="Z261" i="119"/>
  <c r="Z262" i="119"/>
  <c r="X178" i="119"/>
  <c r="X177" i="119"/>
  <c r="X176" i="119"/>
  <c r="Z178" i="119"/>
  <c r="Z177" i="119"/>
  <c r="Z176" i="119"/>
  <c r="Z179" i="119" s="1"/>
  <c r="Y192" i="119"/>
  <c r="Z192" i="119" s="1"/>
  <c r="Z193" i="119" s="1"/>
  <c r="V173" i="119"/>
  <c r="X148" i="119"/>
  <c r="X147" i="119"/>
  <c r="Z160" i="119"/>
  <c r="Z159" i="119"/>
  <c r="Z158" i="119"/>
  <c r="Z157" i="119"/>
  <c r="Z156" i="119"/>
  <c r="Z155" i="119"/>
  <c r="Z154" i="119"/>
  <c r="Z153" i="119"/>
  <c r="Z152" i="119"/>
  <c r="Z151" i="119"/>
  <c r="Z168" i="119" s="1"/>
  <c r="Z148" i="119"/>
  <c r="Z147" i="119"/>
  <c r="V144" i="119"/>
  <c r="X271" i="119"/>
  <c r="Z271" i="119"/>
  <c r="X268" i="119"/>
  <c r="Z268" i="119"/>
  <c r="Z137" i="119"/>
  <c r="X132" i="119"/>
  <c r="X131" i="119"/>
  <c r="X107" i="119"/>
  <c r="Z131" i="119"/>
  <c r="V265" i="119"/>
  <c r="Z136" i="119"/>
  <c r="Z135" i="119"/>
  <c r="Z138" i="119" s="1"/>
  <c r="Z132" i="119"/>
  <c r="V128" i="119"/>
  <c r="V276" i="119"/>
  <c r="Z279" i="119"/>
  <c r="Z280" i="119"/>
  <c r="Z276" i="119" s="1"/>
  <c r="X85" i="119"/>
  <c r="X84" i="119"/>
  <c r="X83" i="119"/>
  <c r="X61" i="119"/>
  <c r="X60" i="119"/>
  <c r="X59" i="119"/>
  <c r="Z97" i="119"/>
  <c r="Z96" i="119"/>
  <c r="Z95" i="119"/>
  <c r="Z94" i="119"/>
  <c r="Z93" i="119"/>
  <c r="Z92" i="119"/>
  <c r="Z91" i="119"/>
  <c r="Z90" i="119"/>
  <c r="Z89" i="119"/>
  <c r="Z88" i="119"/>
  <c r="Z98" i="119" s="1"/>
  <c r="Z85" i="119"/>
  <c r="Z84" i="119"/>
  <c r="Z83" i="119"/>
  <c r="Z86" i="119" s="1"/>
  <c r="Y100" i="119" s="1"/>
  <c r="Z100" i="119" s="1"/>
  <c r="Z101" i="119" s="1"/>
  <c r="V80" i="119"/>
  <c r="V283" i="119"/>
  <c r="Z286" i="119"/>
  <c r="Z287" i="119" s="1"/>
  <c r="Z117" i="119"/>
  <c r="Z116" i="119"/>
  <c r="Z298" i="119"/>
  <c r="X294" i="119"/>
  <c r="X293" i="119"/>
  <c r="X305" i="119"/>
  <c r="Z305" i="119"/>
  <c r="X306" i="119"/>
  <c r="Z306" i="119"/>
  <c r="V290" i="119"/>
  <c r="Z293" i="119"/>
  <c r="Z294" i="119"/>
  <c r="Z295" i="119"/>
  <c r="Z297" i="119"/>
  <c r="Z299" i="119"/>
  <c r="Z300" i="119"/>
  <c r="Z301" i="119"/>
  <c r="X109" i="119"/>
  <c r="X108" i="119"/>
  <c r="X324" i="119"/>
  <c r="Z324" i="119"/>
  <c r="Z121" i="119"/>
  <c r="Z120" i="119"/>
  <c r="Z119" i="119"/>
  <c r="Z118" i="119"/>
  <c r="Z115" i="119"/>
  <c r="Z114" i="119"/>
  <c r="Z113" i="119"/>
  <c r="Z112" i="119"/>
  <c r="Z122" i="119" s="1"/>
  <c r="Z109" i="119"/>
  <c r="Z108" i="119"/>
  <c r="Z107" i="119"/>
  <c r="Z110" i="119" s="1"/>
  <c r="Y124" i="119" s="1"/>
  <c r="Z124" i="119" s="1"/>
  <c r="Z125" i="119" s="1"/>
  <c r="V104" i="119"/>
  <c r="Z317" i="119"/>
  <c r="Z318" i="119"/>
  <c r="V310" i="119"/>
  <c r="X313" i="119"/>
  <c r="Z313" i="119"/>
  <c r="X314" i="119"/>
  <c r="Z314" i="119"/>
  <c r="Z73" i="119"/>
  <c r="Z72" i="119"/>
  <c r="Z71" i="119"/>
  <c r="Z70" i="119"/>
  <c r="Z69" i="119"/>
  <c r="Z68" i="119"/>
  <c r="Z67" i="119"/>
  <c r="Z66" i="119"/>
  <c r="Z65" i="119"/>
  <c r="Z64" i="119"/>
  <c r="Z74" i="119" s="1"/>
  <c r="Z61" i="119"/>
  <c r="Z60" i="119"/>
  <c r="Z59" i="119"/>
  <c r="Z62" i="119" s="1"/>
  <c r="Y76" i="119" s="1"/>
  <c r="Z76" i="119" s="1"/>
  <c r="Z77" i="119" s="1"/>
  <c r="J11" i="119"/>
  <c r="V56" i="119"/>
  <c r="X325" i="119"/>
  <c r="X37" i="119"/>
  <c r="X36" i="119"/>
  <c r="X35" i="119"/>
  <c r="Z49" i="119"/>
  <c r="Z48" i="119"/>
  <c r="Z47" i="119"/>
  <c r="Z46" i="119"/>
  <c r="Z45" i="119"/>
  <c r="Z44" i="119"/>
  <c r="Z43" i="119"/>
  <c r="Z42" i="119"/>
  <c r="Z41" i="119"/>
  <c r="Z40" i="119"/>
  <c r="Z50" i="119" s="1"/>
  <c r="Z37" i="119"/>
  <c r="Z36" i="119"/>
  <c r="Z35" i="119"/>
  <c r="Z38" i="119" s="1"/>
  <c r="Y52" i="119" s="1"/>
  <c r="Z52" i="119" s="1"/>
  <c r="Z53" i="119" s="1"/>
  <c r="V32" i="119"/>
  <c r="Z315" i="119"/>
  <c r="Z319" i="119"/>
  <c r="Z320" i="119"/>
  <c r="Y323" i="119"/>
  <c r="Z323" i="119"/>
  <c r="Z325" i="119"/>
  <c r="Z326" i="119"/>
  <c r="Z21" i="119"/>
  <c r="Z20" i="119"/>
  <c r="Z16" i="119"/>
  <c r="Z17" i="119"/>
  <c r="Z18" i="119"/>
  <c r="Z19" i="119"/>
  <c r="Z22" i="119"/>
  <c r="Z23" i="119"/>
  <c r="Z24" i="119"/>
  <c r="Z25" i="119"/>
  <c r="Z26" i="119" s="1"/>
  <c r="X13" i="119"/>
  <c r="X12" i="119"/>
  <c r="X11" i="119"/>
  <c r="Z13" i="119"/>
  <c r="Z12" i="119"/>
  <c r="Z11" i="119"/>
  <c r="Z14" i="119"/>
  <c r="Y28" i="119" s="1"/>
  <c r="Z28" i="119" s="1"/>
  <c r="Z29" i="119" s="1"/>
  <c r="V7" i="119"/>
  <c r="H34" i="119"/>
  <c r="I28" i="124" s="1"/>
  <c r="K28" i="124" s="1"/>
  <c r="H33" i="119"/>
  <c r="I27" i="124" s="1"/>
  <c r="H28" i="119"/>
  <c r="I22" i="124" s="1"/>
  <c r="K22" i="124" s="1"/>
  <c r="H27" i="119"/>
  <c r="I21" i="124" s="1"/>
  <c r="K21" i="124" s="1"/>
  <c r="K20" i="124" s="1"/>
  <c r="J13" i="119"/>
  <c r="J12" i="119"/>
  <c r="E65" i="117"/>
  <c r="E64" i="117"/>
  <c r="E62" i="117"/>
  <c r="E61" i="117"/>
  <c r="E60" i="117"/>
  <c r="E59" i="117"/>
  <c r="E52" i="117"/>
  <c r="E36" i="117"/>
  <c r="E35" i="117"/>
  <c r="E31" i="117"/>
  <c r="E29" i="117"/>
  <c r="E14" i="117"/>
  <c r="E42" i="117" s="1"/>
  <c r="E13" i="117"/>
  <c r="E41" i="117" s="1"/>
  <c r="E7" i="117"/>
  <c r="E6" i="117"/>
  <c r="G67" i="117"/>
  <c r="G66" i="117"/>
  <c r="G65" i="117"/>
  <c r="G64" i="117"/>
  <c r="G62" i="117"/>
  <c r="G61" i="117"/>
  <c r="G60" i="117"/>
  <c r="G59" i="117"/>
  <c r="G57" i="117"/>
  <c r="G56" i="117"/>
  <c r="G55" i="117"/>
  <c r="G54" i="117"/>
  <c r="G53" i="117"/>
  <c r="G52" i="117"/>
  <c r="G51" i="117"/>
  <c r="G50" i="117"/>
  <c r="G49" i="117"/>
  <c r="G48" i="117"/>
  <c r="G47" i="117"/>
  <c r="G39" i="117"/>
  <c r="G38" i="117"/>
  <c r="G37" i="117"/>
  <c r="G36" i="117"/>
  <c r="G35" i="117"/>
  <c r="G33" i="117"/>
  <c r="G32" i="117"/>
  <c r="G31" i="117"/>
  <c r="G30" i="117"/>
  <c r="G29" i="117"/>
  <c r="G28" i="117"/>
  <c r="G26" i="117"/>
  <c r="G25" i="117"/>
  <c r="G24" i="117"/>
  <c r="G23" i="117"/>
  <c r="G22" i="117"/>
  <c r="G21" i="117"/>
  <c r="G19" i="117"/>
  <c r="G18" i="117"/>
  <c r="G16" i="117"/>
  <c r="G10" i="117"/>
  <c r="G9" i="117"/>
  <c r="G8" i="117"/>
  <c r="G7" i="117"/>
  <c r="G6" i="117"/>
  <c r="G6" i="116"/>
  <c r="G7" i="116"/>
  <c r="G8" i="116"/>
  <c r="G9" i="116"/>
  <c r="G10" i="116"/>
  <c r="G13" i="116"/>
  <c r="G14" i="116"/>
  <c r="G16" i="116"/>
  <c r="G18" i="116"/>
  <c r="G19" i="116"/>
  <c r="G21" i="116"/>
  <c r="G22" i="116"/>
  <c r="G23" i="116"/>
  <c r="G24" i="116"/>
  <c r="G25" i="116"/>
  <c r="G26" i="116"/>
  <c r="G28" i="116"/>
  <c r="G29" i="116"/>
  <c r="G30" i="116"/>
  <c r="G31" i="116"/>
  <c r="G32" i="116"/>
  <c r="G33" i="116"/>
  <c r="G35" i="116"/>
  <c r="G36" i="116"/>
  <c r="G37" i="116"/>
  <c r="G38" i="116"/>
  <c r="G39" i="116"/>
  <c r="G41" i="116"/>
  <c r="G42" i="116"/>
  <c r="G47" i="116"/>
  <c r="G48" i="116"/>
  <c r="G49" i="116"/>
  <c r="G50" i="116"/>
  <c r="G51" i="116"/>
  <c r="G52" i="116"/>
  <c r="G53" i="116"/>
  <c r="G54" i="116"/>
  <c r="G55" i="116"/>
  <c r="G56" i="116"/>
  <c r="G57" i="116"/>
  <c r="G59" i="116"/>
  <c r="G60" i="116"/>
  <c r="G61" i="116"/>
  <c r="G62" i="116"/>
  <c r="G64" i="116"/>
  <c r="G65" i="116"/>
  <c r="G66" i="116"/>
  <c r="G67" i="116"/>
  <c r="E65" i="113"/>
  <c r="E64" i="113"/>
  <c r="E62" i="113"/>
  <c r="E61" i="113"/>
  <c r="E60" i="113"/>
  <c r="E59" i="113"/>
  <c r="E52" i="113"/>
  <c r="E36" i="113"/>
  <c r="E35" i="113"/>
  <c r="E31" i="113"/>
  <c r="E29" i="113"/>
  <c r="E14" i="113"/>
  <c r="E42" i="113" s="1"/>
  <c r="E13" i="113"/>
  <c r="E41" i="113" s="1"/>
  <c r="E7" i="113"/>
  <c r="E6" i="113"/>
  <c r="E65" i="112"/>
  <c r="E64" i="112"/>
  <c r="E62" i="112"/>
  <c r="E61" i="112"/>
  <c r="E60" i="112"/>
  <c r="E59" i="112"/>
  <c r="E55" i="112"/>
  <c r="E54" i="112"/>
  <c r="E53" i="112"/>
  <c r="E52" i="112"/>
  <c r="E48" i="112"/>
  <c r="E35" i="112"/>
  <c r="E33" i="112"/>
  <c r="E29" i="112"/>
  <c r="E13" i="112"/>
  <c r="E41" i="112" s="1"/>
  <c r="G67" i="112"/>
  <c r="G66" i="112"/>
  <c r="G65" i="112"/>
  <c r="G64" i="112"/>
  <c r="G62" i="112"/>
  <c r="G61" i="112"/>
  <c r="G60" i="112"/>
  <c r="G59" i="112"/>
  <c r="G57" i="112"/>
  <c r="G56" i="112"/>
  <c r="G55" i="112"/>
  <c r="G54" i="112"/>
  <c r="G53" i="112"/>
  <c r="G52" i="112"/>
  <c r="G51" i="112"/>
  <c r="G50" i="112"/>
  <c r="G49" i="112"/>
  <c r="G48" i="112"/>
  <c r="G47" i="112"/>
  <c r="G42" i="112"/>
  <c r="G39" i="112"/>
  <c r="G38" i="112"/>
  <c r="G37" i="112"/>
  <c r="G36" i="112"/>
  <c r="G35" i="112"/>
  <c r="G33" i="112"/>
  <c r="G32" i="112"/>
  <c r="G31" i="112"/>
  <c r="G30" i="112"/>
  <c r="G29" i="112"/>
  <c r="G28" i="112"/>
  <c r="G26" i="112"/>
  <c r="G25" i="112"/>
  <c r="G24" i="112"/>
  <c r="G23" i="112"/>
  <c r="G22" i="112"/>
  <c r="G21" i="112"/>
  <c r="G19" i="112"/>
  <c r="G18" i="112"/>
  <c r="G16" i="112"/>
  <c r="G14" i="112"/>
  <c r="G10" i="112"/>
  <c r="G9" i="112"/>
  <c r="G8" i="112"/>
  <c r="G7" i="112"/>
  <c r="G6" i="112"/>
  <c r="E65" i="110"/>
  <c r="E64" i="110"/>
  <c r="E61" i="110"/>
  <c r="E60" i="110"/>
  <c r="E59" i="110"/>
  <c r="E57" i="110"/>
  <c r="E56" i="110"/>
  <c r="E55" i="110"/>
  <c r="E54" i="110"/>
  <c r="E53" i="110"/>
  <c r="E52" i="110"/>
  <c r="E48" i="110"/>
  <c r="E44" i="110"/>
  <c r="E36" i="110"/>
  <c r="E35" i="110"/>
  <c r="E29" i="110"/>
  <c r="E28" i="110"/>
  <c r="E16" i="110"/>
  <c r="E14" i="110"/>
  <c r="E13" i="110"/>
  <c r="E41" i="110" s="1"/>
  <c r="E6" i="110"/>
  <c r="E52" i="107"/>
  <c r="E41" i="107"/>
  <c r="E35" i="107"/>
  <c r="E29" i="107"/>
  <c r="E13" i="107"/>
  <c r="G67" i="107"/>
  <c r="G66" i="107"/>
  <c r="G65" i="107"/>
  <c r="G64" i="107"/>
  <c r="G62" i="107"/>
  <c r="G61" i="107"/>
  <c r="G60" i="107"/>
  <c r="G59" i="107"/>
  <c r="G57" i="107"/>
  <c r="G56" i="107"/>
  <c r="G55" i="107"/>
  <c r="G54" i="107"/>
  <c r="G53" i="107"/>
  <c r="G52" i="107"/>
  <c r="G51" i="107"/>
  <c r="G50" i="107"/>
  <c r="G49" i="107"/>
  <c r="G48" i="107"/>
  <c r="G47" i="107"/>
  <c r="G42" i="107"/>
  <c r="G41" i="107"/>
  <c r="G39" i="107"/>
  <c r="G38" i="107"/>
  <c r="G37" i="107"/>
  <c r="G36" i="107"/>
  <c r="G35" i="107"/>
  <c r="G33" i="107"/>
  <c r="G32" i="107"/>
  <c r="G31" i="107"/>
  <c r="G30" i="107"/>
  <c r="G29" i="107"/>
  <c r="G28" i="107"/>
  <c r="G26" i="107"/>
  <c r="G25" i="107"/>
  <c r="G24" i="107"/>
  <c r="G23" i="107"/>
  <c r="G22" i="107"/>
  <c r="G21" i="107"/>
  <c r="G19" i="107"/>
  <c r="G18" i="107"/>
  <c r="G16" i="107"/>
  <c r="G14" i="107"/>
  <c r="G13" i="107"/>
  <c r="G10" i="107"/>
  <c r="G9" i="107"/>
  <c r="G8" i="107"/>
  <c r="G7" i="107"/>
  <c r="G6" i="107"/>
  <c r="E61" i="106"/>
  <c r="E60" i="106"/>
  <c r="E59" i="106"/>
  <c r="E52" i="106"/>
  <c r="E42" i="106"/>
  <c r="E41" i="106"/>
  <c r="E35" i="106"/>
  <c r="E32" i="106"/>
  <c r="E29" i="106"/>
  <c r="E21" i="106"/>
  <c r="E14" i="106"/>
  <c r="E13" i="106"/>
  <c r="E6" i="106"/>
  <c r="G67" i="106"/>
  <c r="G66" i="106"/>
  <c r="G65" i="106"/>
  <c r="G64" i="106"/>
  <c r="G62" i="106"/>
  <c r="G61" i="106"/>
  <c r="G60" i="106"/>
  <c r="G59" i="106"/>
  <c r="G57" i="106"/>
  <c r="G56" i="106"/>
  <c r="G55" i="106"/>
  <c r="G54" i="106"/>
  <c r="G53" i="106"/>
  <c r="G52" i="106"/>
  <c r="G51" i="106"/>
  <c r="G50" i="106"/>
  <c r="G49" i="106"/>
  <c r="G48" i="106"/>
  <c r="G47" i="106"/>
  <c r="G42" i="106"/>
  <c r="G41" i="106"/>
  <c r="G39" i="106"/>
  <c r="G38" i="106"/>
  <c r="G37" i="106"/>
  <c r="G36" i="106"/>
  <c r="G35" i="106"/>
  <c r="G33" i="106"/>
  <c r="G32" i="106"/>
  <c r="G31" i="106"/>
  <c r="G30" i="106"/>
  <c r="G29" i="106"/>
  <c r="G28" i="106"/>
  <c r="G26" i="106"/>
  <c r="G25" i="106"/>
  <c r="G24" i="106"/>
  <c r="G23" i="106"/>
  <c r="G22" i="106"/>
  <c r="G21" i="106"/>
  <c r="G19" i="106"/>
  <c r="G18" i="106"/>
  <c r="G16" i="106"/>
  <c r="G14" i="106"/>
  <c r="G10" i="106"/>
  <c r="G9" i="106"/>
  <c r="G8" i="106"/>
  <c r="G7" i="106"/>
  <c r="E65" i="104"/>
  <c r="E64" i="104"/>
  <c r="E62" i="104"/>
  <c r="E61" i="104"/>
  <c r="E60" i="104"/>
  <c r="E59" i="104"/>
  <c r="E52" i="104"/>
  <c r="E41" i="104"/>
  <c r="E35" i="104"/>
  <c r="E29" i="104"/>
  <c r="E28" i="104"/>
  <c r="E8" i="104"/>
  <c r="E7" i="104"/>
  <c r="E6" i="104"/>
  <c r="E13" i="104" s="1"/>
  <c r="G67" i="104"/>
  <c r="G66" i="104"/>
  <c r="G65" i="104"/>
  <c r="G64" i="104"/>
  <c r="G62" i="104"/>
  <c r="G61" i="104"/>
  <c r="G60" i="104"/>
  <c r="G59" i="104"/>
  <c r="G57" i="104"/>
  <c r="G56" i="104"/>
  <c r="G55" i="104"/>
  <c r="G54" i="104"/>
  <c r="G53" i="104"/>
  <c r="G52" i="104"/>
  <c r="G51" i="104"/>
  <c r="G50" i="104"/>
  <c r="G49" i="104"/>
  <c r="G48" i="104"/>
  <c r="G47" i="104"/>
  <c r="G42" i="104"/>
  <c r="G39" i="104"/>
  <c r="G38" i="104"/>
  <c r="G37" i="104"/>
  <c r="G36" i="104"/>
  <c r="G35" i="104"/>
  <c r="G33" i="104"/>
  <c r="G32" i="104"/>
  <c r="G31" i="104"/>
  <c r="G30" i="104"/>
  <c r="G29" i="104"/>
  <c r="G28" i="104"/>
  <c r="G26" i="104"/>
  <c r="G25" i="104"/>
  <c r="G24" i="104"/>
  <c r="G23" i="104"/>
  <c r="G22" i="104"/>
  <c r="G21" i="104"/>
  <c r="G19" i="104"/>
  <c r="G18" i="104"/>
  <c r="G16" i="104"/>
  <c r="G14" i="104"/>
  <c r="G10" i="104"/>
  <c r="G9" i="104"/>
  <c r="G8" i="104"/>
  <c r="G7" i="104"/>
  <c r="G6" i="104"/>
  <c r="E65" i="103"/>
  <c r="E64" i="103"/>
  <c r="E61" i="103"/>
  <c r="E60" i="103"/>
  <c r="E59" i="103"/>
  <c r="E57" i="103"/>
  <c r="E56" i="103"/>
  <c r="E55" i="103"/>
  <c r="E54" i="103"/>
  <c r="E53" i="103"/>
  <c r="E52" i="103"/>
  <c r="E48" i="103"/>
  <c r="E36" i="103"/>
  <c r="E35" i="103"/>
  <c r="E32" i="103"/>
  <c r="E29" i="103"/>
  <c r="E14" i="103"/>
  <c r="E13" i="103"/>
  <c r="E41" i="103" s="1"/>
  <c r="E7" i="103"/>
  <c r="E6" i="103"/>
  <c r="G67" i="103"/>
  <c r="G66" i="103"/>
  <c r="G65" i="103"/>
  <c r="G64" i="103"/>
  <c r="G62" i="103"/>
  <c r="G61" i="103"/>
  <c r="G60" i="103"/>
  <c r="G59" i="103"/>
  <c r="G57" i="103"/>
  <c r="G56" i="103"/>
  <c r="G55" i="103"/>
  <c r="G54" i="103"/>
  <c r="G53" i="103"/>
  <c r="G52" i="103"/>
  <c r="G51" i="103"/>
  <c r="G50" i="103"/>
  <c r="G49" i="103"/>
  <c r="G48" i="103"/>
  <c r="G47" i="103"/>
  <c r="G42" i="103"/>
  <c r="G39" i="103"/>
  <c r="G38" i="103"/>
  <c r="G37" i="103"/>
  <c r="G36" i="103"/>
  <c r="G35" i="103"/>
  <c r="G33" i="103"/>
  <c r="G32" i="103"/>
  <c r="G31" i="103"/>
  <c r="G30" i="103"/>
  <c r="G29" i="103"/>
  <c r="G28" i="103"/>
  <c r="G26" i="103"/>
  <c r="G25" i="103"/>
  <c r="G24" i="103"/>
  <c r="G23" i="103"/>
  <c r="G22" i="103"/>
  <c r="G21" i="103"/>
  <c r="G19" i="103"/>
  <c r="G18" i="103"/>
  <c r="G16" i="103"/>
  <c r="G14" i="103"/>
  <c r="G10" i="103"/>
  <c r="G9" i="103"/>
  <c r="G8" i="103"/>
  <c r="G7" i="103"/>
  <c r="G6" i="103"/>
  <c r="E62" i="102"/>
  <c r="E52" i="102"/>
  <c r="E37" i="102"/>
  <c r="E30" i="102"/>
  <c r="E29" i="102"/>
  <c r="E13" i="102"/>
  <c r="E41" i="102" s="1"/>
  <c r="E8" i="102"/>
  <c r="E6" i="102"/>
  <c r="G67" i="102"/>
  <c r="G66" i="102"/>
  <c r="G65" i="102"/>
  <c r="G64" i="102"/>
  <c r="G62" i="102"/>
  <c r="G61" i="102"/>
  <c r="G60" i="102"/>
  <c r="G59" i="102"/>
  <c r="G57" i="102"/>
  <c r="G56" i="102"/>
  <c r="G55" i="102"/>
  <c r="G54" i="102"/>
  <c r="G53" i="102"/>
  <c r="G52" i="102"/>
  <c r="G51" i="102"/>
  <c r="G50" i="102"/>
  <c r="G49" i="102"/>
  <c r="G48" i="102"/>
  <c r="G47" i="102"/>
  <c r="G41" i="102"/>
  <c r="G39" i="102"/>
  <c r="G38" i="102"/>
  <c r="G37" i="102"/>
  <c r="G36" i="102"/>
  <c r="G35" i="102"/>
  <c r="G33" i="102"/>
  <c r="G32" i="102"/>
  <c r="G31" i="102"/>
  <c r="G30" i="102"/>
  <c r="G29" i="102"/>
  <c r="G28" i="102"/>
  <c r="G26" i="102"/>
  <c r="G25" i="102"/>
  <c r="G24" i="102"/>
  <c r="G23" i="102"/>
  <c r="G22" i="102"/>
  <c r="G21" i="102"/>
  <c r="G19" i="102"/>
  <c r="G18" i="102"/>
  <c r="G16" i="102"/>
  <c r="G13" i="102"/>
  <c r="G10" i="102"/>
  <c r="G9" i="102"/>
  <c r="G8" i="102"/>
  <c r="G7" i="102"/>
  <c r="G6" i="102"/>
  <c r="E65" i="100"/>
  <c r="E64" i="100"/>
  <c r="E61" i="100"/>
  <c r="E60" i="100"/>
  <c r="E59" i="100"/>
  <c r="E57" i="100"/>
  <c r="E56" i="100"/>
  <c r="E55" i="100"/>
  <c r="E54" i="100"/>
  <c r="E53" i="100"/>
  <c r="E52" i="100"/>
  <c r="E49" i="100"/>
  <c r="E48" i="100"/>
  <c r="E46" i="100"/>
  <c r="E36" i="100"/>
  <c r="E33" i="100"/>
  <c r="E29" i="100"/>
  <c r="E16" i="100"/>
  <c r="E14" i="100"/>
  <c r="E42" i="100" s="1"/>
  <c r="E7" i="100"/>
  <c r="E6" i="100"/>
  <c r="G7" i="101"/>
  <c r="G8" i="101"/>
  <c r="G9" i="101"/>
  <c r="G10" i="101"/>
  <c r="G13" i="101"/>
  <c r="G14" i="101"/>
  <c r="G16" i="101"/>
  <c r="G18" i="101"/>
  <c r="G19" i="101"/>
  <c r="G21" i="101"/>
  <c r="G22" i="101"/>
  <c r="G23" i="101"/>
  <c r="G24" i="101"/>
  <c r="G25" i="101"/>
  <c r="G26" i="101"/>
  <c r="G28" i="101"/>
  <c r="G29" i="101"/>
  <c r="G30" i="101"/>
  <c r="G31" i="101"/>
  <c r="G32" i="101"/>
  <c r="G33" i="101"/>
  <c r="G35" i="101"/>
  <c r="G36" i="101"/>
  <c r="G37" i="101"/>
  <c r="G38" i="101"/>
  <c r="G39" i="101"/>
  <c r="G41" i="101"/>
  <c r="G42" i="101"/>
  <c r="G47" i="101"/>
  <c r="G48" i="101"/>
  <c r="G49" i="101"/>
  <c r="G50" i="101"/>
  <c r="G51" i="101"/>
  <c r="G52" i="101"/>
  <c r="G53" i="101"/>
  <c r="G54" i="101"/>
  <c r="G55" i="101"/>
  <c r="G56" i="101"/>
  <c r="G57" i="101"/>
  <c r="G60" i="101"/>
  <c r="G61" i="101"/>
  <c r="G62" i="101"/>
  <c r="G64" i="101"/>
  <c r="G65" i="101"/>
  <c r="G66" i="101"/>
  <c r="G67" i="101"/>
  <c r="G67" i="100"/>
  <c r="G66" i="100"/>
  <c r="G65" i="100"/>
  <c r="G64" i="100"/>
  <c r="G62" i="100"/>
  <c r="G61" i="100"/>
  <c r="G60" i="100"/>
  <c r="G59" i="100"/>
  <c r="G57" i="100"/>
  <c r="G56" i="100"/>
  <c r="G55" i="100"/>
  <c r="G54" i="100"/>
  <c r="G53" i="100"/>
  <c r="G52" i="100"/>
  <c r="G51" i="100"/>
  <c r="G50" i="100"/>
  <c r="G49" i="100"/>
  <c r="G48" i="100"/>
  <c r="G47" i="100"/>
  <c r="G46" i="100"/>
  <c r="G41" i="100"/>
  <c r="G39" i="100"/>
  <c r="G38" i="100"/>
  <c r="G37" i="100"/>
  <c r="G36" i="100"/>
  <c r="G35" i="100"/>
  <c r="G33" i="100"/>
  <c r="G32" i="100"/>
  <c r="G31" i="100"/>
  <c r="G30" i="100"/>
  <c r="G29" i="100"/>
  <c r="G28" i="100"/>
  <c r="G26" i="100"/>
  <c r="G25" i="100"/>
  <c r="G24" i="100"/>
  <c r="G23" i="100"/>
  <c r="G22" i="100"/>
  <c r="G21" i="100"/>
  <c r="G19" i="100"/>
  <c r="G18" i="100"/>
  <c r="G16" i="100"/>
  <c r="G13" i="100"/>
  <c r="G10" i="100"/>
  <c r="G9" i="100"/>
  <c r="G8" i="100"/>
  <c r="G7" i="100"/>
  <c r="G6" i="100"/>
  <c r="E64" i="98"/>
  <c r="E65" i="98"/>
  <c r="E59" i="98"/>
  <c r="E60" i="98"/>
  <c r="E61" i="98"/>
  <c r="E56" i="98"/>
  <c r="E57" i="98"/>
  <c r="E49" i="98"/>
  <c r="E41" i="98"/>
  <c r="E35" i="98"/>
  <c r="E36" i="98"/>
  <c r="E16" i="98"/>
  <c r="E14" i="98"/>
  <c r="E9" i="98"/>
  <c r="E10" i="98"/>
  <c r="E6" i="98"/>
  <c r="E7" i="98"/>
  <c r="E29" i="98"/>
  <c r="E33" i="98"/>
  <c r="E42" i="98"/>
  <c r="E44" i="98"/>
  <c r="E48" i="98"/>
  <c r="E52" i="98"/>
  <c r="E53" i="98"/>
  <c r="E54" i="98"/>
  <c r="E55" i="98"/>
  <c r="E64" i="97"/>
  <c r="E65" i="97"/>
  <c r="E59" i="97"/>
  <c r="E60" i="97"/>
  <c r="E61" i="97"/>
  <c r="E53" i="97"/>
  <c r="E54" i="97"/>
  <c r="E55" i="97"/>
  <c r="E56" i="97"/>
  <c r="E57" i="97"/>
  <c r="E44" i="97"/>
  <c r="E48" i="97"/>
  <c r="E49" i="97"/>
  <c r="E35" i="97"/>
  <c r="E36" i="97"/>
  <c r="E33" i="97"/>
  <c r="E14" i="97"/>
  <c r="E9" i="97"/>
  <c r="E10" i="97"/>
  <c r="E6" i="97"/>
  <c r="E7" i="97"/>
  <c r="E16" i="97" s="1"/>
  <c r="E29" i="97"/>
  <c r="E41" i="97"/>
  <c r="E42" i="97"/>
  <c r="E52" i="97"/>
  <c r="E64" i="96"/>
  <c r="E65" i="96"/>
  <c r="E59" i="96"/>
  <c r="E60" i="96"/>
  <c r="E61" i="96"/>
  <c r="E35" i="96"/>
  <c r="E13" i="96"/>
  <c r="E41" i="96" s="1"/>
  <c r="E14" i="96"/>
  <c r="E6" i="96"/>
  <c r="E7" i="96"/>
  <c r="G6" i="96"/>
  <c r="G7" i="96"/>
  <c r="G8" i="96"/>
  <c r="G9" i="96"/>
  <c r="G10" i="96"/>
  <c r="G13" i="96"/>
  <c r="G14" i="96"/>
  <c r="G16" i="96"/>
  <c r="G18" i="96"/>
  <c r="G19" i="96"/>
  <c r="G21" i="96"/>
  <c r="G22" i="96"/>
  <c r="G23" i="96"/>
  <c r="G24" i="96"/>
  <c r="G25" i="96"/>
  <c r="G26" i="96"/>
  <c r="G28" i="96"/>
  <c r="E29" i="96"/>
  <c r="G29" i="96"/>
  <c r="G30" i="96"/>
  <c r="G31" i="96"/>
  <c r="G32" i="96"/>
  <c r="G33" i="96"/>
  <c r="G35" i="96"/>
  <c r="G36" i="96"/>
  <c r="G37" i="96"/>
  <c r="G38" i="96"/>
  <c r="G39" i="96"/>
  <c r="G41" i="96"/>
  <c r="E42" i="96"/>
  <c r="G42" i="96"/>
  <c r="G47" i="96"/>
  <c r="G48" i="96"/>
  <c r="G49" i="96"/>
  <c r="G50" i="96"/>
  <c r="G51" i="96"/>
  <c r="E52" i="96"/>
  <c r="G52" i="96"/>
  <c r="G53" i="96"/>
  <c r="G54" i="96"/>
  <c r="G55" i="96"/>
  <c r="G56" i="96"/>
  <c r="G57" i="96"/>
  <c r="G59" i="96"/>
  <c r="G60" i="96"/>
  <c r="G61" i="96"/>
  <c r="G62" i="96"/>
  <c r="G64" i="96"/>
  <c r="G65" i="96"/>
  <c r="G66" i="96"/>
  <c r="G67" i="96"/>
  <c r="E64" i="95"/>
  <c r="E65" i="95"/>
  <c r="E59" i="95"/>
  <c r="E60" i="95"/>
  <c r="E61" i="95"/>
  <c r="E53" i="95"/>
  <c r="E54" i="95"/>
  <c r="E55" i="95"/>
  <c r="E48" i="95"/>
  <c r="E44" i="95"/>
  <c r="E39" i="95"/>
  <c r="E35" i="95"/>
  <c r="E16" i="95"/>
  <c r="E6" i="95"/>
  <c r="E7" i="95"/>
  <c r="E14" i="95" s="1"/>
  <c r="E42" i="95" s="1"/>
  <c r="G6" i="95"/>
  <c r="G7" i="95"/>
  <c r="G8" i="95"/>
  <c r="G9" i="95"/>
  <c r="G10" i="95"/>
  <c r="G13" i="95"/>
  <c r="G14" i="95"/>
  <c r="G16" i="95"/>
  <c r="G18" i="95"/>
  <c r="G19" i="95"/>
  <c r="G21" i="95"/>
  <c r="G22" i="95"/>
  <c r="G23" i="95"/>
  <c r="G24" i="95"/>
  <c r="G25" i="95"/>
  <c r="G26" i="95"/>
  <c r="G28" i="95"/>
  <c r="E29" i="95"/>
  <c r="G29" i="95"/>
  <c r="G30" i="95"/>
  <c r="G31" i="95"/>
  <c r="G32" i="95"/>
  <c r="G33" i="95"/>
  <c r="G35" i="95"/>
  <c r="G36" i="95"/>
  <c r="G37" i="95"/>
  <c r="G38" i="95"/>
  <c r="G39" i="95"/>
  <c r="G41" i="95"/>
  <c r="G42" i="95"/>
  <c r="G44" i="95"/>
  <c r="G47" i="95"/>
  <c r="G48" i="95"/>
  <c r="G49" i="95"/>
  <c r="G50" i="95"/>
  <c r="G51" i="95"/>
  <c r="E52" i="95"/>
  <c r="G52" i="95"/>
  <c r="G53" i="95"/>
  <c r="G54" i="95"/>
  <c r="G55" i="95"/>
  <c r="G56" i="95"/>
  <c r="G57" i="95"/>
  <c r="G59" i="95"/>
  <c r="G60" i="95"/>
  <c r="G61" i="95"/>
  <c r="G62" i="95"/>
  <c r="G64" i="95"/>
  <c r="G65" i="95"/>
  <c r="G66" i="95"/>
  <c r="G67" i="95"/>
  <c r="E65" i="94"/>
  <c r="E64" i="94"/>
  <c r="E61" i="94"/>
  <c r="E60" i="94"/>
  <c r="E59" i="94"/>
  <c r="E52" i="94"/>
  <c r="E36" i="94"/>
  <c r="E35" i="94"/>
  <c r="E42" i="94" s="1"/>
  <c r="E30" i="94"/>
  <c r="E29" i="94"/>
  <c r="E14" i="94"/>
  <c r="E6" i="94"/>
  <c r="E13" i="94" s="1"/>
  <c r="E41" i="94" s="1"/>
  <c r="G67" i="94"/>
  <c r="G66" i="94"/>
  <c r="G65" i="94"/>
  <c r="G64" i="94"/>
  <c r="G62" i="94"/>
  <c r="G61" i="94"/>
  <c r="G60" i="94"/>
  <c r="G59" i="94"/>
  <c r="G57" i="94"/>
  <c r="G56" i="94"/>
  <c r="G55" i="94"/>
  <c r="G54" i="94"/>
  <c r="G53" i="94"/>
  <c r="G52" i="94"/>
  <c r="G51" i="94"/>
  <c r="G50" i="94"/>
  <c r="G49" i="94"/>
  <c r="G48" i="94"/>
  <c r="G47" i="94"/>
  <c r="G39" i="94"/>
  <c r="G38" i="94"/>
  <c r="G37" i="94"/>
  <c r="G36" i="94"/>
  <c r="G35" i="94"/>
  <c r="G33" i="94"/>
  <c r="G32" i="94"/>
  <c r="G31" i="94"/>
  <c r="G30" i="94"/>
  <c r="G29" i="94"/>
  <c r="G28" i="94"/>
  <c r="G26" i="94"/>
  <c r="G25" i="94"/>
  <c r="G24" i="94"/>
  <c r="G23" i="94"/>
  <c r="G22" i="94"/>
  <c r="G21" i="94"/>
  <c r="G19" i="94"/>
  <c r="G18" i="94"/>
  <c r="G10" i="94"/>
  <c r="G9" i="94"/>
  <c r="G8" i="94"/>
  <c r="G7" i="94"/>
  <c r="E65" i="93"/>
  <c r="E64" i="93"/>
  <c r="E61" i="93"/>
  <c r="E60" i="93"/>
  <c r="E59" i="93"/>
  <c r="E55" i="93"/>
  <c r="E54" i="93"/>
  <c r="E53" i="93"/>
  <c r="E52" i="93"/>
  <c r="E48" i="93"/>
  <c r="E44" i="93"/>
  <c r="E35" i="93"/>
  <c r="E32" i="93"/>
  <c r="E29" i="93"/>
  <c r="E14" i="93"/>
  <c r="E42" i="93" s="1"/>
  <c r="E7" i="93"/>
  <c r="E6" i="93"/>
  <c r="E13" i="93" s="1"/>
  <c r="E16" i="93" s="1"/>
  <c r="E41" i="93" s="1"/>
  <c r="G67" i="93"/>
  <c r="G66" i="93"/>
  <c r="G65" i="93"/>
  <c r="G64" i="93"/>
  <c r="G62" i="93"/>
  <c r="G61" i="93"/>
  <c r="G60" i="93"/>
  <c r="G59" i="93"/>
  <c r="G57" i="93"/>
  <c r="G56" i="93"/>
  <c r="G55" i="93"/>
  <c r="G54" i="93"/>
  <c r="G53" i="93"/>
  <c r="G52" i="93"/>
  <c r="G51" i="93"/>
  <c r="G50" i="93"/>
  <c r="G49" i="93"/>
  <c r="G48" i="93"/>
  <c r="G47" i="93"/>
  <c r="G44" i="93"/>
  <c r="G39" i="93"/>
  <c r="G38" i="93"/>
  <c r="G37" i="93"/>
  <c r="G36" i="93"/>
  <c r="G35" i="93"/>
  <c r="G33" i="93"/>
  <c r="G32" i="93"/>
  <c r="G31" i="93"/>
  <c r="G30" i="93"/>
  <c r="G29" i="93"/>
  <c r="G28" i="93"/>
  <c r="G26" i="93"/>
  <c r="G25" i="93"/>
  <c r="G24" i="93"/>
  <c r="G23" i="93"/>
  <c r="G22" i="93"/>
  <c r="G21" i="93"/>
  <c r="G19" i="93"/>
  <c r="G18" i="93"/>
  <c r="G16" i="93"/>
  <c r="G10" i="93"/>
  <c r="G9" i="93"/>
  <c r="G8" i="93"/>
  <c r="G7" i="93"/>
  <c r="G6" i="93"/>
  <c r="E65" i="92"/>
  <c r="E64" i="92"/>
  <c r="E61" i="92"/>
  <c r="E60" i="92"/>
  <c r="E59" i="92"/>
  <c r="E52" i="92"/>
  <c r="E36" i="92"/>
  <c r="E30" i="92"/>
  <c r="E29" i="92"/>
  <c r="E14" i="92"/>
  <c r="E42" i="92" s="1"/>
  <c r="E13" i="92"/>
  <c r="E8" i="92"/>
  <c r="E6" i="92"/>
  <c r="G67" i="92"/>
  <c r="G66" i="92"/>
  <c r="G65" i="92"/>
  <c r="G64" i="92"/>
  <c r="G62" i="92"/>
  <c r="G61" i="92"/>
  <c r="G60" i="92"/>
  <c r="G59" i="92"/>
  <c r="G57" i="92"/>
  <c r="G56" i="92"/>
  <c r="G55" i="92"/>
  <c r="G54" i="92"/>
  <c r="G53" i="92"/>
  <c r="G52" i="92"/>
  <c r="G51" i="92"/>
  <c r="G50" i="92"/>
  <c r="G49" i="92"/>
  <c r="G48" i="92"/>
  <c r="G47" i="92"/>
  <c r="G39" i="92"/>
  <c r="G38" i="92"/>
  <c r="G37" i="92"/>
  <c r="G36" i="92"/>
  <c r="G35" i="92"/>
  <c r="G33" i="92"/>
  <c r="G32" i="92"/>
  <c r="G31" i="92"/>
  <c r="G30" i="92"/>
  <c r="G29" i="92"/>
  <c r="G28" i="92"/>
  <c r="G26" i="92"/>
  <c r="G25" i="92"/>
  <c r="G24" i="92"/>
  <c r="G23" i="92"/>
  <c r="G22" i="92"/>
  <c r="G21" i="92"/>
  <c r="G19" i="92"/>
  <c r="G18" i="92"/>
  <c r="G16" i="92"/>
  <c r="G10" i="92"/>
  <c r="G9" i="92"/>
  <c r="G8" i="92"/>
  <c r="G7" i="92"/>
  <c r="G6" i="92"/>
  <c r="E65" i="91"/>
  <c r="E64" i="91"/>
  <c r="E61" i="91"/>
  <c r="E60" i="91"/>
  <c r="E59" i="91"/>
  <c r="E52" i="91"/>
  <c r="E35" i="91"/>
  <c r="E32" i="91"/>
  <c r="E29" i="91"/>
  <c r="E14" i="91"/>
  <c r="E42" i="91" s="1"/>
  <c r="E13" i="91"/>
  <c r="E8" i="91"/>
  <c r="E6" i="91"/>
  <c r="G67" i="91"/>
  <c r="G66" i="91"/>
  <c r="G65" i="91"/>
  <c r="G64" i="91"/>
  <c r="G62" i="91"/>
  <c r="G61" i="91"/>
  <c r="G60" i="91"/>
  <c r="G59" i="91"/>
  <c r="G57" i="91"/>
  <c r="G56" i="91"/>
  <c r="G55" i="91"/>
  <c r="G54" i="91"/>
  <c r="G53" i="91"/>
  <c r="G52" i="91"/>
  <c r="G51" i="91"/>
  <c r="G50" i="91"/>
  <c r="G49" i="91"/>
  <c r="G48" i="91"/>
  <c r="G47" i="91"/>
  <c r="G42" i="91"/>
  <c r="G39" i="91"/>
  <c r="G38" i="91"/>
  <c r="G37" i="91"/>
  <c r="G36" i="91"/>
  <c r="G35" i="91"/>
  <c r="G33" i="91"/>
  <c r="G32" i="91"/>
  <c r="G31" i="91"/>
  <c r="G30" i="91"/>
  <c r="G29" i="91"/>
  <c r="G28" i="91"/>
  <c r="G26" i="91"/>
  <c r="G25" i="91"/>
  <c r="G24" i="91"/>
  <c r="G23" i="91"/>
  <c r="G22" i="91"/>
  <c r="G21" i="91"/>
  <c r="G19" i="91"/>
  <c r="G18" i="91"/>
  <c r="G16" i="91"/>
  <c r="G14" i="91"/>
  <c r="G13" i="91"/>
  <c r="G10" i="91"/>
  <c r="G9" i="91"/>
  <c r="G8" i="91"/>
  <c r="G7" i="91"/>
  <c r="G6" i="91"/>
  <c r="E67" i="90"/>
  <c r="E66" i="90"/>
  <c r="E65" i="90"/>
  <c r="E64" i="90"/>
  <c r="E61" i="90"/>
  <c r="E60" i="90"/>
  <c r="E59" i="90"/>
  <c r="E55" i="90"/>
  <c r="E54" i="90"/>
  <c r="E53" i="90"/>
  <c r="E52" i="90"/>
  <c r="E48" i="90"/>
  <c r="E44" i="90"/>
  <c r="E42" i="90"/>
  <c r="E41" i="90"/>
  <c r="E35" i="90"/>
  <c r="E30" i="90"/>
  <c r="E29" i="90"/>
  <c r="E14" i="90"/>
  <c r="E13" i="90"/>
  <c r="E7" i="90"/>
  <c r="E6" i="90"/>
  <c r="G67" i="90"/>
  <c r="G66" i="90"/>
  <c r="G65" i="90"/>
  <c r="G64" i="90"/>
  <c r="G62" i="90"/>
  <c r="G61" i="90"/>
  <c r="G60" i="90"/>
  <c r="G59" i="90"/>
  <c r="G57" i="90"/>
  <c r="G56" i="90"/>
  <c r="G55" i="90"/>
  <c r="G54" i="90"/>
  <c r="G53" i="90"/>
  <c r="G52" i="90"/>
  <c r="G51" i="90"/>
  <c r="G50" i="90"/>
  <c r="G49" i="90"/>
  <c r="G48" i="90"/>
  <c r="G47" i="90"/>
  <c r="G44" i="90"/>
  <c r="G39" i="90"/>
  <c r="G38" i="90"/>
  <c r="G37" i="90"/>
  <c r="G36" i="90"/>
  <c r="G35" i="90"/>
  <c r="G33" i="90"/>
  <c r="G32" i="90"/>
  <c r="G31" i="90"/>
  <c r="G30" i="90"/>
  <c r="G29" i="90"/>
  <c r="G28" i="90"/>
  <c r="G26" i="90"/>
  <c r="G25" i="90"/>
  <c r="G24" i="90"/>
  <c r="G23" i="90"/>
  <c r="G22" i="90"/>
  <c r="G21" i="90"/>
  <c r="G19" i="90"/>
  <c r="G18" i="90"/>
  <c r="G16" i="90"/>
  <c r="G10" i="90"/>
  <c r="G9" i="90"/>
  <c r="G8" i="90"/>
  <c r="G7" i="90"/>
  <c r="G6" i="90"/>
  <c r="E65" i="89"/>
  <c r="E64" i="89"/>
  <c r="E61" i="89"/>
  <c r="E60" i="89"/>
  <c r="E59" i="89"/>
  <c r="E52" i="89"/>
  <c r="E35" i="89"/>
  <c r="E32" i="89"/>
  <c r="E29" i="89"/>
  <c r="E14" i="89"/>
  <c r="E42" i="89" s="1"/>
  <c r="E13" i="89"/>
  <c r="E8" i="89"/>
  <c r="E6" i="89"/>
  <c r="E65" i="88"/>
  <c r="E64" i="88"/>
  <c r="E61" i="88"/>
  <c r="E60" i="88"/>
  <c r="E59" i="88"/>
  <c r="E52" i="88"/>
  <c r="E36" i="88"/>
  <c r="E30" i="88"/>
  <c r="E29" i="88"/>
  <c r="E14" i="88"/>
  <c r="E42" i="88" s="1"/>
  <c r="E13" i="88"/>
  <c r="E8" i="88"/>
  <c r="E6" i="88"/>
  <c r="G67" i="88"/>
  <c r="G66" i="88"/>
  <c r="G65" i="88"/>
  <c r="G64" i="88"/>
  <c r="G62" i="88"/>
  <c r="G61" i="88"/>
  <c r="G60" i="88"/>
  <c r="G59" i="88"/>
  <c r="G57" i="88"/>
  <c r="G56" i="88"/>
  <c r="G55" i="88"/>
  <c r="G54" i="88"/>
  <c r="G53" i="88"/>
  <c r="G52" i="88"/>
  <c r="G51" i="88"/>
  <c r="G50" i="88"/>
  <c r="G49" i="88"/>
  <c r="G48" i="88"/>
  <c r="G47" i="88"/>
  <c r="G39" i="88"/>
  <c r="G38" i="88"/>
  <c r="G37" i="88"/>
  <c r="G36" i="88"/>
  <c r="G35" i="88"/>
  <c r="G33" i="88"/>
  <c r="G32" i="88"/>
  <c r="G31" i="88"/>
  <c r="G30" i="88"/>
  <c r="G29" i="88"/>
  <c r="G28" i="88"/>
  <c r="G26" i="88"/>
  <c r="G25" i="88"/>
  <c r="G24" i="88"/>
  <c r="G23" i="88"/>
  <c r="G22" i="88"/>
  <c r="G21" i="88"/>
  <c r="G19" i="88"/>
  <c r="G18" i="88"/>
  <c r="G16" i="88"/>
  <c r="G10" i="88"/>
  <c r="G9" i="88"/>
  <c r="G8" i="88"/>
  <c r="G7" i="88"/>
  <c r="G6" i="88"/>
  <c r="E66" i="87"/>
  <c r="E65" i="87"/>
  <c r="E64" i="87"/>
  <c r="E61" i="87"/>
  <c r="E60" i="87"/>
  <c r="E59" i="87"/>
  <c r="E52" i="87"/>
  <c r="E36" i="87"/>
  <c r="E35" i="87"/>
  <c r="E30" i="87"/>
  <c r="E29" i="87"/>
  <c r="E14" i="87"/>
  <c r="E42" i="87" s="1"/>
  <c r="E13" i="87"/>
  <c r="E41" i="87" s="1"/>
  <c r="E8" i="87"/>
  <c r="G67" i="87"/>
  <c r="G66" i="87"/>
  <c r="G65" i="87"/>
  <c r="G64" i="87"/>
  <c r="G62" i="87"/>
  <c r="G61" i="87"/>
  <c r="G60" i="87"/>
  <c r="G59" i="87"/>
  <c r="G57" i="87"/>
  <c r="G56" i="87"/>
  <c r="G55" i="87"/>
  <c r="G54" i="87"/>
  <c r="G53" i="87"/>
  <c r="G52" i="87"/>
  <c r="G51" i="87"/>
  <c r="G50" i="87"/>
  <c r="G49" i="87"/>
  <c r="G48" i="87"/>
  <c r="G47" i="87"/>
  <c r="G44" i="87"/>
  <c r="G39" i="87"/>
  <c r="G38" i="87"/>
  <c r="G37" i="87"/>
  <c r="G36" i="87"/>
  <c r="G35" i="87"/>
  <c r="G33" i="87"/>
  <c r="G32" i="87"/>
  <c r="G31" i="87"/>
  <c r="G30" i="87"/>
  <c r="G29" i="87"/>
  <c r="G28" i="87"/>
  <c r="G26" i="87"/>
  <c r="G25" i="87"/>
  <c r="G24" i="87"/>
  <c r="G23" i="87"/>
  <c r="G22" i="87"/>
  <c r="G21" i="87"/>
  <c r="G19" i="87"/>
  <c r="G18" i="87"/>
  <c r="G16" i="87"/>
  <c r="G10" i="87"/>
  <c r="G9" i="87"/>
  <c r="G8" i="87"/>
  <c r="G7" i="87"/>
  <c r="G6" i="87"/>
  <c r="E66" i="86"/>
  <c r="E65" i="86"/>
  <c r="E64" i="86"/>
  <c r="E61" i="86"/>
  <c r="E60" i="86"/>
  <c r="E59" i="86"/>
  <c r="E52" i="86"/>
  <c r="E36" i="86"/>
  <c r="E35" i="86"/>
  <c r="E30" i="86"/>
  <c r="E29" i="86"/>
  <c r="E14" i="86"/>
  <c r="E42" i="86" s="1"/>
  <c r="E13" i="86"/>
  <c r="E41" i="86" s="1"/>
  <c r="E6" i="86"/>
  <c r="G67" i="86"/>
  <c r="G66" i="86"/>
  <c r="G65" i="86"/>
  <c r="G64" i="86"/>
  <c r="G62" i="86"/>
  <c r="G61" i="86"/>
  <c r="G60" i="86"/>
  <c r="G59" i="86"/>
  <c r="G57" i="86"/>
  <c r="G56" i="86"/>
  <c r="G55" i="86"/>
  <c r="G54" i="86"/>
  <c r="G53" i="86"/>
  <c r="G52" i="86"/>
  <c r="G51" i="86"/>
  <c r="G50" i="86"/>
  <c r="G49" i="86"/>
  <c r="G48" i="86"/>
  <c r="G47" i="86"/>
  <c r="G44" i="86"/>
  <c r="G41" i="86"/>
  <c r="G39" i="86"/>
  <c r="G38" i="86"/>
  <c r="G37" i="86"/>
  <c r="G36" i="86"/>
  <c r="G35" i="86"/>
  <c r="G33" i="86"/>
  <c r="G32" i="86"/>
  <c r="G31" i="86"/>
  <c r="G30" i="86"/>
  <c r="G29" i="86"/>
  <c r="G28" i="86"/>
  <c r="G26" i="86"/>
  <c r="G25" i="86"/>
  <c r="G24" i="86"/>
  <c r="G23" i="86"/>
  <c r="G22" i="86"/>
  <c r="G21" i="86"/>
  <c r="G19" i="86"/>
  <c r="G18" i="86"/>
  <c r="G16" i="86"/>
  <c r="G13" i="86"/>
  <c r="G10" i="86"/>
  <c r="G9" i="86"/>
  <c r="G8" i="86"/>
  <c r="G7" i="86"/>
  <c r="G6" i="86"/>
  <c r="E65" i="85"/>
  <c r="E64" i="85"/>
  <c r="E61" i="85"/>
  <c r="E60" i="85"/>
  <c r="E59" i="85"/>
  <c r="E52" i="85"/>
  <c r="E37" i="85"/>
  <c r="E30" i="85"/>
  <c r="E29" i="85"/>
  <c r="E22" i="85"/>
  <c r="E21" i="85"/>
  <c r="E14" i="85"/>
  <c r="E42" i="85" s="1"/>
  <c r="E8" i="85"/>
  <c r="E6" i="85"/>
  <c r="E65" i="84"/>
  <c r="E64" i="84"/>
  <c r="E61" i="84"/>
  <c r="E60" i="84"/>
  <c r="E59" i="84"/>
  <c r="E52" i="84"/>
  <c r="E35" i="84"/>
  <c r="E30" i="84"/>
  <c r="E29" i="84"/>
  <c r="E14" i="84"/>
  <c r="E42" i="84" s="1"/>
  <c r="E13" i="84"/>
  <c r="E41" i="84" s="1"/>
  <c r="E8" i="84"/>
  <c r="E6" i="84"/>
  <c r="G67" i="84"/>
  <c r="G66" i="84"/>
  <c r="G65" i="84"/>
  <c r="G64" i="84"/>
  <c r="G62" i="84"/>
  <c r="G61" i="84"/>
  <c r="G60" i="84"/>
  <c r="G59" i="84"/>
  <c r="G57" i="84"/>
  <c r="G56" i="84"/>
  <c r="G55" i="84"/>
  <c r="G54" i="84"/>
  <c r="G53" i="84"/>
  <c r="G52" i="84"/>
  <c r="G51" i="84"/>
  <c r="G50" i="84"/>
  <c r="G49" i="84"/>
  <c r="G48" i="84"/>
  <c r="G47" i="84"/>
  <c r="G44" i="84"/>
  <c r="G39" i="84"/>
  <c r="G38" i="84"/>
  <c r="G37" i="84"/>
  <c r="G36" i="84"/>
  <c r="G35" i="84"/>
  <c r="G33" i="84"/>
  <c r="G32" i="84"/>
  <c r="G31" i="84"/>
  <c r="G30" i="84"/>
  <c r="G29" i="84"/>
  <c r="G28" i="84"/>
  <c r="G26" i="84"/>
  <c r="G25" i="84"/>
  <c r="G24" i="84"/>
  <c r="G23" i="84"/>
  <c r="G22" i="84"/>
  <c r="G21" i="84"/>
  <c r="G19" i="84"/>
  <c r="G18" i="84"/>
  <c r="G16" i="84"/>
  <c r="G10" i="84"/>
  <c r="G9" i="84"/>
  <c r="G8" i="84"/>
  <c r="G7" i="84"/>
  <c r="G6" i="84"/>
  <c r="E66" i="83"/>
  <c r="E61" i="83"/>
  <c r="E60" i="83"/>
  <c r="E59" i="83"/>
  <c r="E55" i="83"/>
  <c r="E54" i="83"/>
  <c r="E53" i="83"/>
  <c r="E52" i="83"/>
  <c r="E48" i="83"/>
  <c r="E44" i="83"/>
  <c r="E36" i="83"/>
  <c r="E35" i="83"/>
  <c r="E30" i="83"/>
  <c r="E29" i="83"/>
  <c r="E22" i="83"/>
  <c r="E21" i="83"/>
  <c r="E14" i="83"/>
  <c r="E42" i="83" s="1"/>
  <c r="E13" i="83"/>
  <c r="E41" i="83" s="1"/>
  <c r="E8" i="83"/>
  <c r="E7" i="83"/>
  <c r="E6" i="83"/>
  <c r="G67" i="83"/>
  <c r="G66" i="83"/>
  <c r="G65" i="83"/>
  <c r="G64" i="83"/>
  <c r="G62" i="83"/>
  <c r="G61" i="83"/>
  <c r="G60" i="83"/>
  <c r="G59" i="83"/>
  <c r="G57" i="83"/>
  <c r="G56" i="83"/>
  <c r="G55" i="83"/>
  <c r="G54" i="83"/>
  <c r="G53" i="83"/>
  <c r="G52" i="83"/>
  <c r="G51" i="83"/>
  <c r="G50" i="83"/>
  <c r="G49" i="83"/>
  <c r="G48" i="83"/>
  <c r="G47" i="83"/>
  <c r="G44" i="83"/>
  <c r="G39" i="83"/>
  <c r="G38" i="83"/>
  <c r="G37" i="83"/>
  <c r="G36" i="83"/>
  <c r="G35" i="83"/>
  <c r="G33" i="83"/>
  <c r="G32" i="83"/>
  <c r="G31" i="83"/>
  <c r="G30" i="83"/>
  <c r="G29" i="83"/>
  <c r="G28" i="83"/>
  <c r="G26" i="83"/>
  <c r="G25" i="83"/>
  <c r="G24" i="83"/>
  <c r="G23" i="83"/>
  <c r="G22" i="83"/>
  <c r="G21" i="83"/>
  <c r="G19" i="83"/>
  <c r="G18" i="83"/>
  <c r="G16" i="83"/>
  <c r="G10" i="83"/>
  <c r="G9" i="83"/>
  <c r="G8" i="83"/>
  <c r="G7" i="83"/>
  <c r="G6" i="83"/>
  <c r="E65" i="82"/>
  <c r="E64" i="82"/>
  <c r="E61" i="82"/>
  <c r="E60" i="82"/>
  <c r="E59" i="82"/>
  <c r="E52" i="82"/>
  <c r="E35" i="82"/>
  <c r="E29" i="82"/>
  <c r="E14" i="82"/>
  <c r="E42" i="82" s="1"/>
  <c r="E13" i="82"/>
  <c r="E41" i="82" s="1"/>
  <c r="E7" i="82"/>
  <c r="E6" i="82"/>
  <c r="G67" i="82"/>
  <c r="G66" i="82"/>
  <c r="G65" i="82"/>
  <c r="G64" i="82"/>
  <c r="G62" i="82"/>
  <c r="G61" i="82"/>
  <c r="G60" i="82"/>
  <c r="G59" i="82"/>
  <c r="G57" i="82"/>
  <c r="G56" i="82"/>
  <c r="G55" i="82"/>
  <c r="G54" i="82"/>
  <c r="G53" i="82"/>
  <c r="G52" i="82"/>
  <c r="G51" i="82"/>
  <c r="G50" i="82"/>
  <c r="G49" i="82"/>
  <c r="G48" i="82"/>
  <c r="G47" i="82"/>
  <c r="G44" i="82"/>
  <c r="G42" i="82"/>
  <c r="G41" i="82"/>
  <c r="G39" i="82"/>
  <c r="G38" i="82"/>
  <c r="G37" i="82"/>
  <c r="G36" i="82"/>
  <c r="G35" i="82"/>
  <c r="G33" i="82"/>
  <c r="G32" i="82"/>
  <c r="G31" i="82"/>
  <c r="G30" i="82"/>
  <c r="G29" i="82"/>
  <c r="G28" i="82"/>
  <c r="G26" i="82"/>
  <c r="G25" i="82"/>
  <c r="G24" i="82"/>
  <c r="G23" i="82"/>
  <c r="G22" i="82"/>
  <c r="G21" i="82"/>
  <c r="G19" i="82"/>
  <c r="G18" i="82"/>
  <c r="G16" i="82"/>
  <c r="G14" i="82"/>
  <c r="G13" i="82"/>
  <c r="G10" i="82"/>
  <c r="G9" i="82"/>
  <c r="G8" i="82"/>
  <c r="G7" i="82"/>
  <c r="G6" i="82"/>
  <c r="G66" i="80"/>
  <c r="G67" i="80"/>
  <c r="G65" i="80"/>
  <c r="G60" i="80"/>
  <c r="G61" i="80"/>
  <c r="G59" i="80"/>
  <c r="G44" i="80"/>
  <c r="G7" i="80"/>
  <c r="G16" i="80"/>
  <c r="G42" i="80"/>
  <c r="G41" i="80"/>
  <c r="G36" i="80"/>
  <c r="G35" i="80"/>
  <c r="G33" i="80"/>
  <c r="G30" i="80"/>
  <c r="G29" i="80"/>
  <c r="G22" i="80"/>
  <c r="G21" i="80"/>
  <c r="G18" i="80"/>
  <c r="G14" i="80"/>
  <c r="G13" i="80"/>
  <c r="G6" i="80"/>
  <c r="X350" i="74"/>
  <c r="Z350" i="74" s="1"/>
  <c r="Y346" i="74"/>
  <c r="Z346" i="74" s="1"/>
  <c r="Z345" i="74"/>
  <c r="Z347" i="74" s="1"/>
  <c r="X342" i="74"/>
  <c r="Z342" i="74" s="1"/>
  <c r="X341" i="74"/>
  <c r="Z341" i="74" s="1"/>
  <c r="Z343" i="74" s="1"/>
  <c r="Y349" i="74" s="1"/>
  <c r="Z349" i="74" s="1"/>
  <c r="Z351" i="74" s="1"/>
  <c r="Z338" i="74"/>
  <c r="V338" i="74"/>
  <c r="Z331" i="74"/>
  <c r="Z330" i="74"/>
  <c r="Z329" i="74"/>
  <c r="Z332" i="74" s="1"/>
  <c r="X326" i="74"/>
  <c r="Z326" i="74" s="1"/>
  <c r="X325" i="74"/>
  <c r="Z325" i="74" s="1"/>
  <c r="Z327" i="74" s="1"/>
  <c r="Y334" i="74" s="1"/>
  <c r="Z334" i="74" s="1"/>
  <c r="Z335" i="74" s="1"/>
  <c r="Z322" i="74"/>
  <c r="V322" i="74"/>
  <c r="X318" i="74"/>
  <c r="Z318" i="74" s="1"/>
  <c r="X317" i="74"/>
  <c r="Z317" i="74" s="1"/>
  <c r="Z313" i="74"/>
  <c r="Z312" i="74"/>
  <c r="Z311" i="74"/>
  <c r="Z310" i="74"/>
  <c r="Z309" i="74"/>
  <c r="Z314" i="74" s="1"/>
  <c r="X306" i="74"/>
  <c r="Z306" i="74" s="1"/>
  <c r="X305" i="74"/>
  <c r="Z305" i="74" s="1"/>
  <c r="X304" i="74"/>
  <c r="Z304" i="74" s="1"/>
  <c r="Z307" i="74" s="1"/>
  <c r="Y316" i="74" s="1"/>
  <c r="Z316" i="74" s="1"/>
  <c r="Z319" i="74" s="1"/>
  <c r="Z301" i="74"/>
  <c r="V301" i="74"/>
  <c r="X296" i="74"/>
  <c r="Z296" i="74" s="1"/>
  <c r="Y292" i="74"/>
  <c r="Z292" i="74" s="1"/>
  <c r="Z291" i="74"/>
  <c r="Z293" i="74" s="1"/>
  <c r="X287" i="74"/>
  <c r="Z287" i="74" s="1"/>
  <c r="X286" i="74"/>
  <c r="Z286" i="74" s="1"/>
  <c r="Z289" i="74" s="1"/>
  <c r="Y295" i="74" s="1"/>
  <c r="Z295" i="74" s="1"/>
  <c r="Z297" i="74" s="1"/>
  <c r="Z283" i="74"/>
  <c r="V283" i="74"/>
  <c r="Z276" i="74"/>
  <c r="Z275" i="74"/>
  <c r="Z274" i="74"/>
  <c r="Z277" i="74" s="1"/>
  <c r="X271" i="74"/>
  <c r="Z271" i="74" s="1"/>
  <c r="X270" i="74"/>
  <c r="Z270" i="74" s="1"/>
  <c r="Z272" i="74" s="1"/>
  <c r="Y279" i="74" s="1"/>
  <c r="Z279" i="74" s="1"/>
  <c r="Z280" i="74" s="1"/>
  <c r="Z267" i="74"/>
  <c r="V267" i="74"/>
  <c r="X263" i="74"/>
  <c r="Z263" i="74" s="1"/>
  <c r="X262" i="74"/>
  <c r="Z262" i="74" s="1"/>
  <c r="Z258" i="74"/>
  <c r="Z257" i="74"/>
  <c r="Z256" i="74"/>
  <c r="Z255" i="74"/>
  <c r="Z254" i="74"/>
  <c r="Z253" i="74"/>
  <c r="Z259" i="74" s="1"/>
  <c r="X250" i="74"/>
  <c r="Z250" i="74" s="1"/>
  <c r="X249" i="74"/>
  <c r="Z249" i="74" s="1"/>
  <c r="X248" i="74"/>
  <c r="Z248" i="74" s="1"/>
  <c r="Z251" i="74" s="1"/>
  <c r="Y261" i="74" s="1"/>
  <c r="Z261" i="74" s="1"/>
  <c r="Z264" i="74" s="1"/>
  <c r="Z245" i="74"/>
  <c r="V245" i="74"/>
  <c r="X241" i="74"/>
  <c r="Z241" i="74" s="1"/>
  <c r="Y237" i="74"/>
  <c r="Z237" i="74" s="1"/>
  <c r="Z236" i="74"/>
  <c r="Z238" i="74" s="1"/>
  <c r="X233" i="74"/>
  <c r="Z233" i="74" s="1"/>
  <c r="X232" i="74"/>
  <c r="Z232" i="74" s="1"/>
  <c r="Z234" i="74" s="1"/>
  <c r="Y240" i="74" s="1"/>
  <c r="Z240" i="74" s="1"/>
  <c r="Z242" i="74" s="1"/>
  <c r="Z229" i="74"/>
  <c r="V229" i="74"/>
  <c r="Z221" i="74"/>
  <c r="Z220" i="74"/>
  <c r="Z219" i="74"/>
  <c r="Z222" i="74" s="1"/>
  <c r="X216" i="74"/>
  <c r="Z216" i="74" s="1"/>
  <c r="X215" i="74"/>
  <c r="Z215" i="74" s="1"/>
  <c r="Z217" i="74" s="1"/>
  <c r="Y224" i="74" s="1"/>
  <c r="Z224" i="74" s="1"/>
  <c r="Z225" i="74" s="1"/>
  <c r="Z212" i="74"/>
  <c r="V212" i="74"/>
  <c r="X208" i="74"/>
  <c r="Z208" i="74" s="1"/>
  <c r="X207" i="74"/>
  <c r="Z207" i="74" s="1"/>
  <c r="Z203" i="74"/>
  <c r="Z202" i="74"/>
  <c r="Z201" i="74"/>
  <c r="Z200" i="74"/>
  <c r="Z199" i="74"/>
  <c r="Z198" i="74"/>
  <c r="Z204" i="74" s="1"/>
  <c r="X195" i="74"/>
  <c r="Z195" i="74" s="1"/>
  <c r="X194" i="74"/>
  <c r="Z194" i="74" s="1"/>
  <c r="X193" i="74"/>
  <c r="Z193" i="74" s="1"/>
  <c r="Z196" i="74" s="1"/>
  <c r="Y206" i="74" s="1"/>
  <c r="Z206" i="74" s="1"/>
  <c r="Z209" i="74" s="1"/>
  <c r="Z190" i="74"/>
  <c r="V190" i="74"/>
  <c r="X186" i="74"/>
  <c r="Z186" i="74" s="1"/>
  <c r="Z182" i="74"/>
  <c r="Z181" i="74"/>
  <c r="Z180" i="74"/>
  <c r="Z179" i="74"/>
  <c r="Z183" i="74" s="1"/>
  <c r="X176" i="74"/>
  <c r="Z176" i="74" s="1"/>
  <c r="X175" i="74"/>
  <c r="Z175" i="74" s="1"/>
  <c r="X174" i="74"/>
  <c r="Z174" i="74" s="1"/>
  <c r="Z177" i="74" s="1"/>
  <c r="Y185" i="74" s="1"/>
  <c r="Z185" i="74" s="1"/>
  <c r="Z187" i="74" s="1"/>
  <c r="Z171" i="74"/>
  <c r="V171" i="74"/>
  <c r="X167" i="74"/>
  <c r="Z167" i="74" s="1"/>
  <c r="Z163" i="74"/>
  <c r="Z162" i="74"/>
  <c r="Z161" i="74"/>
  <c r="Z160" i="74"/>
  <c r="Z164" i="74" s="1"/>
  <c r="X157" i="74"/>
  <c r="Z157" i="74" s="1"/>
  <c r="X156" i="74"/>
  <c r="Z156" i="74" s="1"/>
  <c r="X155" i="74"/>
  <c r="Z155" i="74" s="1"/>
  <c r="Z158" i="74" s="1"/>
  <c r="Y166" i="74" s="1"/>
  <c r="Z166" i="74" s="1"/>
  <c r="Z168" i="74" s="1"/>
  <c r="Z152" i="74"/>
  <c r="V152" i="74"/>
  <c r="X144" i="74"/>
  <c r="Z144" i="74" s="1"/>
  <c r="Z140" i="74"/>
  <c r="Z139" i="74"/>
  <c r="Z138" i="74"/>
  <c r="Z137" i="74"/>
  <c r="Z136" i="74"/>
  <c r="Z141" i="74" s="1"/>
  <c r="X133" i="74"/>
  <c r="Z133" i="74" s="1"/>
  <c r="X132" i="74"/>
  <c r="Z132" i="74" s="1"/>
  <c r="X131" i="74"/>
  <c r="Z131" i="74" s="1"/>
  <c r="X130" i="74"/>
  <c r="Z130" i="74" s="1"/>
  <c r="X129" i="74"/>
  <c r="Z129" i="74" s="1"/>
  <c r="Z134" i="74" s="1"/>
  <c r="Y143" i="74" s="1"/>
  <c r="Z143" i="74" s="1"/>
  <c r="Z145" i="74" s="1"/>
  <c r="Z126" i="74"/>
  <c r="V126" i="74"/>
  <c r="V113" i="74"/>
  <c r="V102" i="74"/>
  <c r="X98" i="74"/>
  <c r="Z98" i="74" s="1"/>
  <c r="X97" i="74"/>
  <c r="Z97" i="74" s="1"/>
  <c r="X96" i="74"/>
  <c r="Z96" i="74" s="1"/>
  <c r="X92" i="74"/>
  <c r="Z92" i="74" s="1"/>
  <c r="X91" i="74"/>
  <c r="Z91" i="74" s="1"/>
  <c r="X90" i="74"/>
  <c r="Z90" i="74" s="1"/>
  <c r="V87" i="74"/>
  <c r="Z78" i="74"/>
  <c r="Z79" i="74" s="1"/>
  <c r="V70" i="74"/>
  <c r="Z62" i="74"/>
  <c r="Z61" i="74"/>
  <c r="Z63" i="74" s="1"/>
  <c r="V53" i="74"/>
  <c r="V42" i="74"/>
  <c r="I33" i="74"/>
  <c r="I32" i="74"/>
  <c r="I31" i="74"/>
  <c r="I29" i="74"/>
  <c r="I28" i="74"/>
  <c r="I27" i="74"/>
  <c r="V26" i="74"/>
  <c r="I25" i="74"/>
  <c r="I24" i="74"/>
  <c r="Z22" i="74"/>
  <c r="I21" i="74"/>
  <c r="I19" i="74"/>
  <c r="Z17" i="74"/>
  <c r="I17" i="74"/>
  <c r="Z16" i="74"/>
  <c r="Z15" i="74"/>
  <c r="Z18" i="74" s="1"/>
  <c r="V7" i="74"/>
  <c r="X350" i="72"/>
  <c r="Z350" i="72" s="1"/>
  <c r="Y346" i="72"/>
  <c r="Z346" i="72" s="1"/>
  <c r="Z345" i="72"/>
  <c r="Z347" i="72" s="1"/>
  <c r="X342" i="72"/>
  <c r="Z342" i="72" s="1"/>
  <c r="X341" i="72"/>
  <c r="Z341" i="72" s="1"/>
  <c r="Z343" i="72" s="1"/>
  <c r="Y349" i="72" s="1"/>
  <c r="Z349" i="72" s="1"/>
  <c r="Z351" i="72" s="1"/>
  <c r="Z338" i="72"/>
  <c r="V338" i="72"/>
  <c r="Z331" i="72"/>
  <c r="Z330" i="72"/>
  <c r="Z329" i="72"/>
  <c r="Z332" i="72" s="1"/>
  <c r="X326" i="72"/>
  <c r="Z326" i="72" s="1"/>
  <c r="X325" i="72"/>
  <c r="Z325" i="72" s="1"/>
  <c r="Z327" i="72" s="1"/>
  <c r="Y334" i="72" s="1"/>
  <c r="Z334" i="72" s="1"/>
  <c r="Z335" i="72" s="1"/>
  <c r="Z322" i="72"/>
  <c r="V322" i="72"/>
  <c r="X318" i="72"/>
  <c r="Z318" i="72" s="1"/>
  <c r="X317" i="72"/>
  <c r="Z317" i="72" s="1"/>
  <c r="Z313" i="72"/>
  <c r="Z312" i="72"/>
  <c r="Z311" i="72"/>
  <c r="Z310" i="72"/>
  <c r="Z309" i="72"/>
  <c r="Z314" i="72" s="1"/>
  <c r="X306" i="72"/>
  <c r="Z306" i="72" s="1"/>
  <c r="X305" i="72"/>
  <c r="Z305" i="72" s="1"/>
  <c r="X304" i="72"/>
  <c r="Z304" i="72" s="1"/>
  <c r="Z307" i="72" s="1"/>
  <c r="Y316" i="72" s="1"/>
  <c r="Z316" i="72" s="1"/>
  <c r="Z319" i="72" s="1"/>
  <c r="Z301" i="72"/>
  <c r="V301" i="72"/>
  <c r="X296" i="72"/>
  <c r="Z296" i="72" s="1"/>
  <c r="Y292" i="72"/>
  <c r="Z292" i="72" s="1"/>
  <c r="Z291" i="72"/>
  <c r="Z293" i="72" s="1"/>
  <c r="X287" i="72"/>
  <c r="Z287" i="72" s="1"/>
  <c r="X286" i="72"/>
  <c r="Z286" i="72" s="1"/>
  <c r="Z289" i="72" s="1"/>
  <c r="Y295" i="72" s="1"/>
  <c r="Z295" i="72" s="1"/>
  <c r="Z297" i="72" s="1"/>
  <c r="Z283" i="72"/>
  <c r="V283" i="72"/>
  <c r="Z276" i="72"/>
  <c r="Z275" i="72"/>
  <c r="Z274" i="72"/>
  <c r="Z277" i="72" s="1"/>
  <c r="X271" i="72"/>
  <c r="Z271" i="72" s="1"/>
  <c r="X270" i="72"/>
  <c r="Z270" i="72" s="1"/>
  <c r="Z272" i="72" s="1"/>
  <c r="Y279" i="72" s="1"/>
  <c r="Z279" i="72" s="1"/>
  <c r="Z280" i="72" s="1"/>
  <c r="Z267" i="72"/>
  <c r="V267" i="72"/>
  <c r="X263" i="72"/>
  <c r="Z263" i="72" s="1"/>
  <c r="X262" i="72"/>
  <c r="Z262" i="72" s="1"/>
  <c r="Z258" i="72"/>
  <c r="Z257" i="72"/>
  <c r="Z256" i="72"/>
  <c r="Z255" i="72"/>
  <c r="Z254" i="72"/>
  <c r="Z253" i="72"/>
  <c r="Z259" i="72" s="1"/>
  <c r="X250" i="72"/>
  <c r="Z250" i="72" s="1"/>
  <c r="X249" i="72"/>
  <c r="Z249" i="72" s="1"/>
  <c r="X248" i="72"/>
  <c r="Z248" i="72" s="1"/>
  <c r="Z251" i="72" s="1"/>
  <c r="Y261" i="72" s="1"/>
  <c r="Z261" i="72" s="1"/>
  <c r="Z264" i="72" s="1"/>
  <c r="Z245" i="72"/>
  <c r="V245" i="72"/>
  <c r="X241" i="72"/>
  <c r="Z241" i="72" s="1"/>
  <c r="Y237" i="72"/>
  <c r="Z237" i="72" s="1"/>
  <c r="Z236" i="72"/>
  <c r="Z238" i="72" s="1"/>
  <c r="X233" i="72"/>
  <c r="Z233" i="72" s="1"/>
  <c r="X232" i="72"/>
  <c r="Z232" i="72" s="1"/>
  <c r="Z234" i="72" s="1"/>
  <c r="Y240" i="72" s="1"/>
  <c r="Z240" i="72" s="1"/>
  <c r="Z242" i="72" s="1"/>
  <c r="Z229" i="72"/>
  <c r="V229" i="72"/>
  <c r="Z221" i="72"/>
  <c r="Z220" i="72"/>
  <c r="Z219" i="72"/>
  <c r="Z222" i="72" s="1"/>
  <c r="X216" i="72"/>
  <c r="Z216" i="72" s="1"/>
  <c r="X215" i="72"/>
  <c r="Z215" i="72" s="1"/>
  <c r="Z217" i="72" s="1"/>
  <c r="Y224" i="72" s="1"/>
  <c r="Z224" i="72" s="1"/>
  <c r="Z225" i="72" s="1"/>
  <c r="Z212" i="72"/>
  <c r="V212" i="72"/>
  <c r="X208" i="72"/>
  <c r="Z208" i="72" s="1"/>
  <c r="X207" i="72"/>
  <c r="Z207" i="72" s="1"/>
  <c r="Z203" i="72"/>
  <c r="Z202" i="72"/>
  <c r="Z201" i="72"/>
  <c r="Z200" i="72"/>
  <c r="Z199" i="72"/>
  <c r="Z198" i="72"/>
  <c r="Z204" i="72" s="1"/>
  <c r="X195" i="72"/>
  <c r="Z195" i="72" s="1"/>
  <c r="X194" i="72"/>
  <c r="Z194" i="72" s="1"/>
  <c r="X193" i="72"/>
  <c r="Z193" i="72" s="1"/>
  <c r="Z196" i="72" s="1"/>
  <c r="Y206" i="72" s="1"/>
  <c r="Z206" i="72" s="1"/>
  <c r="Z209" i="72" s="1"/>
  <c r="Z190" i="72"/>
  <c r="V190" i="72"/>
  <c r="X186" i="72"/>
  <c r="Z186" i="72" s="1"/>
  <c r="Z182" i="72"/>
  <c r="Z181" i="72"/>
  <c r="Z180" i="72"/>
  <c r="Z179" i="72"/>
  <c r="Z183" i="72" s="1"/>
  <c r="X176" i="72"/>
  <c r="Z176" i="72" s="1"/>
  <c r="X175" i="72"/>
  <c r="Z175" i="72" s="1"/>
  <c r="X174" i="72"/>
  <c r="Z174" i="72" s="1"/>
  <c r="Z177" i="72" s="1"/>
  <c r="Y185" i="72" s="1"/>
  <c r="Z185" i="72" s="1"/>
  <c r="Z187" i="72" s="1"/>
  <c r="Z171" i="72"/>
  <c r="V171" i="72"/>
  <c r="X167" i="72"/>
  <c r="Z167" i="72" s="1"/>
  <c r="Z163" i="72"/>
  <c r="Z162" i="72"/>
  <c r="Z161" i="72"/>
  <c r="Z160" i="72"/>
  <c r="Z164" i="72" s="1"/>
  <c r="X157" i="72"/>
  <c r="Z157" i="72" s="1"/>
  <c r="X156" i="72"/>
  <c r="Z156" i="72" s="1"/>
  <c r="X155" i="72"/>
  <c r="Z155" i="72" s="1"/>
  <c r="Z158" i="72" s="1"/>
  <c r="Y166" i="72" s="1"/>
  <c r="Z166" i="72" s="1"/>
  <c r="Z168" i="72" s="1"/>
  <c r="Z152" i="72"/>
  <c r="V152" i="72"/>
  <c r="X144" i="72"/>
  <c r="Z144" i="72" s="1"/>
  <c r="Z140" i="72"/>
  <c r="Z139" i="72"/>
  <c r="Z138" i="72"/>
  <c r="Z137" i="72"/>
  <c r="Z136" i="72"/>
  <c r="Z141" i="72" s="1"/>
  <c r="X133" i="72"/>
  <c r="Z133" i="72" s="1"/>
  <c r="X132" i="72"/>
  <c r="Z132" i="72" s="1"/>
  <c r="X131" i="72"/>
  <c r="Z131" i="72" s="1"/>
  <c r="X130" i="72"/>
  <c r="Z130" i="72" s="1"/>
  <c r="X129" i="72"/>
  <c r="Z129" i="72" s="1"/>
  <c r="Z134" i="72" s="1"/>
  <c r="Y143" i="72" s="1"/>
  <c r="Z143" i="72" s="1"/>
  <c r="Z145" i="72" s="1"/>
  <c r="Z126" i="72"/>
  <c r="V126" i="72"/>
  <c r="V113" i="72"/>
  <c r="V102" i="72"/>
  <c r="X98" i="72"/>
  <c r="Z98" i="72" s="1"/>
  <c r="X97" i="72"/>
  <c r="Z97" i="72" s="1"/>
  <c r="X96" i="72"/>
  <c r="Z96" i="72" s="1"/>
  <c r="X92" i="72"/>
  <c r="Z92" i="72" s="1"/>
  <c r="X91" i="72"/>
  <c r="Z91" i="72" s="1"/>
  <c r="X90" i="72"/>
  <c r="Z90" i="72" s="1"/>
  <c r="V87" i="72"/>
  <c r="Z78" i="72"/>
  <c r="Z79" i="72" s="1"/>
  <c r="V70" i="72"/>
  <c r="Z62" i="72"/>
  <c r="Z61" i="72"/>
  <c r="Z63" i="72" s="1"/>
  <c r="V53" i="72"/>
  <c r="V42" i="72"/>
  <c r="I33" i="72"/>
  <c r="I32" i="72"/>
  <c r="I31" i="72"/>
  <c r="I29" i="72"/>
  <c r="I28" i="72"/>
  <c r="I27" i="72"/>
  <c r="V26" i="72"/>
  <c r="I25" i="72"/>
  <c r="I24" i="72"/>
  <c r="Z22" i="72"/>
  <c r="I21" i="72"/>
  <c r="H21" i="72"/>
  <c r="J21" i="72" s="1"/>
  <c r="I19" i="72"/>
  <c r="H19" i="72"/>
  <c r="J19" i="72" s="1"/>
  <c r="Z17" i="72"/>
  <c r="I17" i="72"/>
  <c r="Z16" i="72"/>
  <c r="Z15" i="72"/>
  <c r="Z18" i="72" s="1"/>
  <c r="H15" i="72"/>
  <c r="H14" i="72"/>
  <c r="H13" i="72"/>
  <c r="H12" i="72"/>
  <c r="H11" i="72"/>
  <c r="H10" i="72"/>
  <c r="H9" i="72"/>
  <c r="V7" i="72"/>
  <c r="X350" i="71"/>
  <c r="Z350" i="71" s="1"/>
  <c r="Y346" i="71"/>
  <c r="Z346" i="71" s="1"/>
  <c r="Z345" i="71"/>
  <c r="Z347" i="71" s="1"/>
  <c r="X342" i="71"/>
  <c r="Z342" i="71" s="1"/>
  <c r="X341" i="71"/>
  <c r="Z341" i="71" s="1"/>
  <c r="Z343" i="71" s="1"/>
  <c r="Y349" i="71" s="1"/>
  <c r="Z349" i="71" s="1"/>
  <c r="Z351" i="71" s="1"/>
  <c r="Z338" i="71"/>
  <c r="V338" i="71"/>
  <c r="Z331" i="71"/>
  <c r="Z330" i="71"/>
  <c r="Z329" i="71"/>
  <c r="Z332" i="71" s="1"/>
  <c r="X326" i="71"/>
  <c r="Z326" i="71" s="1"/>
  <c r="X325" i="71"/>
  <c r="Z325" i="71" s="1"/>
  <c r="Z327" i="71" s="1"/>
  <c r="Y334" i="71" s="1"/>
  <c r="Z334" i="71" s="1"/>
  <c r="Z335" i="71" s="1"/>
  <c r="Z322" i="71"/>
  <c r="V322" i="71"/>
  <c r="X318" i="71"/>
  <c r="Z318" i="71" s="1"/>
  <c r="X317" i="71"/>
  <c r="Z317" i="71" s="1"/>
  <c r="Z313" i="71"/>
  <c r="Z312" i="71"/>
  <c r="Z311" i="71"/>
  <c r="Z310" i="71"/>
  <c r="Z309" i="71"/>
  <c r="Z314" i="71" s="1"/>
  <c r="X306" i="71"/>
  <c r="Z306" i="71" s="1"/>
  <c r="X305" i="71"/>
  <c r="Z305" i="71" s="1"/>
  <c r="X304" i="71"/>
  <c r="Z304" i="71" s="1"/>
  <c r="Z307" i="71" s="1"/>
  <c r="Y316" i="71" s="1"/>
  <c r="Z316" i="71" s="1"/>
  <c r="Z319" i="71" s="1"/>
  <c r="Z301" i="71"/>
  <c r="V301" i="71"/>
  <c r="X296" i="71"/>
  <c r="Z296" i="71" s="1"/>
  <c r="Y292" i="71"/>
  <c r="Z292" i="71" s="1"/>
  <c r="Z291" i="71"/>
  <c r="Z293" i="71" s="1"/>
  <c r="X287" i="71"/>
  <c r="Z287" i="71" s="1"/>
  <c r="X286" i="71"/>
  <c r="Z286" i="71" s="1"/>
  <c r="Z289" i="71" s="1"/>
  <c r="Y295" i="71" s="1"/>
  <c r="Z295" i="71" s="1"/>
  <c r="Z297" i="71" s="1"/>
  <c r="Z283" i="71"/>
  <c r="V283" i="71"/>
  <c r="Z276" i="71"/>
  <c r="Z275" i="71"/>
  <c r="Z274" i="71"/>
  <c r="Z277" i="71" s="1"/>
  <c r="X271" i="71"/>
  <c r="Z271" i="71" s="1"/>
  <c r="X270" i="71"/>
  <c r="Z270" i="71" s="1"/>
  <c r="Z272" i="71" s="1"/>
  <c r="Y279" i="71" s="1"/>
  <c r="Z279" i="71" s="1"/>
  <c r="Z280" i="71" s="1"/>
  <c r="Z267" i="71"/>
  <c r="V267" i="71"/>
  <c r="X263" i="71"/>
  <c r="Z263" i="71" s="1"/>
  <c r="X262" i="71"/>
  <c r="Z262" i="71" s="1"/>
  <c r="Z258" i="71"/>
  <c r="Z257" i="71"/>
  <c r="Z256" i="71"/>
  <c r="Z255" i="71"/>
  <c r="Z254" i="71"/>
  <c r="Z253" i="71"/>
  <c r="Z259" i="71" s="1"/>
  <c r="X250" i="71"/>
  <c r="Z250" i="71" s="1"/>
  <c r="X249" i="71"/>
  <c r="Z249" i="71" s="1"/>
  <c r="X248" i="71"/>
  <c r="Z248" i="71" s="1"/>
  <c r="Z251" i="71" s="1"/>
  <c r="Y261" i="71" s="1"/>
  <c r="Z261" i="71" s="1"/>
  <c r="Z264" i="71" s="1"/>
  <c r="Z245" i="71"/>
  <c r="V245" i="71"/>
  <c r="X241" i="71"/>
  <c r="Z241" i="71" s="1"/>
  <c r="Y237" i="71"/>
  <c r="Z237" i="71" s="1"/>
  <c r="Z236" i="71"/>
  <c r="Z238" i="71" s="1"/>
  <c r="X233" i="71"/>
  <c r="Z233" i="71" s="1"/>
  <c r="X232" i="71"/>
  <c r="Z232" i="71" s="1"/>
  <c r="Z234" i="71" s="1"/>
  <c r="Y240" i="71" s="1"/>
  <c r="Z240" i="71" s="1"/>
  <c r="Z242" i="71" s="1"/>
  <c r="Z229" i="71"/>
  <c r="V229" i="71"/>
  <c r="Z221" i="71"/>
  <c r="Z220" i="71"/>
  <c r="Z219" i="71"/>
  <c r="Z222" i="71" s="1"/>
  <c r="X216" i="71"/>
  <c r="Z216" i="71" s="1"/>
  <c r="X215" i="71"/>
  <c r="Z215" i="71" s="1"/>
  <c r="Z217" i="71" s="1"/>
  <c r="Y224" i="71" s="1"/>
  <c r="Z224" i="71" s="1"/>
  <c r="Z225" i="71" s="1"/>
  <c r="Z212" i="71"/>
  <c r="V212" i="71"/>
  <c r="X208" i="71"/>
  <c r="Z208" i="71" s="1"/>
  <c r="X207" i="71"/>
  <c r="Z207" i="71" s="1"/>
  <c r="Z203" i="71"/>
  <c r="Z202" i="71"/>
  <c r="Z201" i="71"/>
  <c r="Z200" i="71"/>
  <c r="Z199" i="71"/>
  <c r="Z198" i="71"/>
  <c r="Z204" i="71" s="1"/>
  <c r="X195" i="71"/>
  <c r="Z195" i="71" s="1"/>
  <c r="X194" i="71"/>
  <c r="Z194" i="71" s="1"/>
  <c r="X193" i="71"/>
  <c r="Z193" i="71" s="1"/>
  <c r="Z196" i="71" s="1"/>
  <c r="Y206" i="71" s="1"/>
  <c r="Z206" i="71" s="1"/>
  <c r="Z209" i="71" s="1"/>
  <c r="Z190" i="71"/>
  <c r="V190" i="71"/>
  <c r="X186" i="71"/>
  <c r="Z186" i="71" s="1"/>
  <c r="Z182" i="71"/>
  <c r="Z181" i="71"/>
  <c r="Z180" i="71"/>
  <c r="Z179" i="71"/>
  <c r="Z183" i="71" s="1"/>
  <c r="X176" i="71"/>
  <c r="Z176" i="71" s="1"/>
  <c r="X175" i="71"/>
  <c r="Z175" i="71" s="1"/>
  <c r="X174" i="71"/>
  <c r="Z174" i="71" s="1"/>
  <c r="Z177" i="71" s="1"/>
  <c r="Y185" i="71" s="1"/>
  <c r="Z185" i="71" s="1"/>
  <c r="Z187" i="71" s="1"/>
  <c r="Z171" i="71"/>
  <c r="V171" i="71"/>
  <c r="X167" i="71"/>
  <c r="Z167" i="71" s="1"/>
  <c r="Z163" i="71"/>
  <c r="Z162" i="71"/>
  <c r="Z161" i="71"/>
  <c r="Z160" i="71"/>
  <c r="Z164" i="71" s="1"/>
  <c r="X157" i="71"/>
  <c r="Z157" i="71" s="1"/>
  <c r="X156" i="71"/>
  <c r="Z156" i="71" s="1"/>
  <c r="X155" i="71"/>
  <c r="Z155" i="71" s="1"/>
  <c r="Z158" i="71" s="1"/>
  <c r="Y166" i="71" s="1"/>
  <c r="Z166" i="71" s="1"/>
  <c r="Z168" i="71" s="1"/>
  <c r="Z152" i="71"/>
  <c r="V152" i="71"/>
  <c r="X144" i="71"/>
  <c r="Z144" i="71" s="1"/>
  <c r="Z140" i="71"/>
  <c r="Z139" i="71"/>
  <c r="Z138" i="71"/>
  <c r="Z137" i="71"/>
  <c r="Z136" i="71"/>
  <c r="Z141" i="71" s="1"/>
  <c r="X133" i="71"/>
  <c r="Z133" i="71" s="1"/>
  <c r="X132" i="71"/>
  <c r="Z132" i="71" s="1"/>
  <c r="X131" i="71"/>
  <c r="Z131" i="71" s="1"/>
  <c r="X130" i="71"/>
  <c r="Z130" i="71" s="1"/>
  <c r="X129" i="71"/>
  <c r="Z129" i="71" s="1"/>
  <c r="Z134" i="71" s="1"/>
  <c r="Y143" i="71" s="1"/>
  <c r="Z143" i="71" s="1"/>
  <c r="Z145" i="71" s="1"/>
  <c r="Z126" i="71"/>
  <c r="V126" i="71"/>
  <c r="V113" i="71"/>
  <c r="V102" i="71"/>
  <c r="X98" i="71"/>
  <c r="Z98" i="71" s="1"/>
  <c r="X97" i="71"/>
  <c r="Z97" i="71" s="1"/>
  <c r="X96" i="71"/>
  <c r="Z96" i="71" s="1"/>
  <c r="X92" i="71"/>
  <c r="Z92" i="71" s="1"/>
  <c r="X91" i="71"/>
  <c r="Z91" i="71" s="1"/>
  <c r="X90" i="71"/>
  <c r="Z90" i="71" s="1"/>
  <c r="V87" i="71"/>
  <c r="Z78" i="71"/>
  <c r="Z79" i="71" s="1"/>
  <c r="V70" i="71"/>
  <c r="Z62" i="71"/>
  <c r="Z61" i="71"/>
  <c r="Z63" i="71" s="1"/>
  <c r="V53" i="71"/>
  <c r="V42" i="71"/>
  <c r="I33" i="71"/>
  <c r="I32" i="71"/>
  <c r="I31" i="71"/>
  <c r="I29" i="71"/>
  <c r="I28" i="71"/>
  <c r="I27" i="71"/>
  <c r="V26" i="71"/>
  <c r="I25" i="71"/>
  <c r="I24" i="71"/>
  <c r="Z22" i="71"/>
  <c r="I21" i="71"/>
  <c r="I19" i="71"/>
  <c r="Z17" i="71"/>
  <c r="I17" i="71"/>
  <c r="Z16" i="71"/>
  <c r="Z15" i="71"/>
  <c r="Z18" i="71" s="1"/>
  <c r="V7" i="71"/>
  <c r="X96" i="62"/>
  <c r="X97" i="62"/>
  <c r="X98" i="62"/>
  <c r="Z97" i="62"/>
  <c r="Z98" i="62"/>
  <c r="X91" i="62"/>
  <c r="X92" i="62"/>
  <c r="X90" i="62"/>
  <c r="V87" i="62"/>
  <c r="X144" i="62"/>
  <c r="X130" i="62"/>
  <c r="X131" i="62"/>
  <c r="X132" i="62"/>
  <c r="X133" i="62"/>
  <c r="X129" i="62"/>
  <c r="Z140" i="62"/>
  <c r="Z139" i="62"/>
  <c r="Z138" i="62"/>
  <c r="Z137" i="62"/>
  <c r="Z136" i="62"/>
  <c r="Z141" i="62" s="1"/>
  <c r="V126" i="62"/>
  <c r="V152" i="62"/>
  <c r="X155" i="62"/>
  <c r="Z155" i="62"/>
  <c r="X156" i="62"/>
  <c r="Z156" i="62"/>
  <c r="V113" i="62"/>
  <c r="Z91" i="62" s="1"/>
  <c r="X116" i="62"/>
  <c r="Z116" i="62"/>
  <c r="X117" i="62"/>
  <c r="Z117" i="62"/>
  <c r="Z118" i="62"/>
  <c r="Y120" i="62"/>
  <c r="Z120" i="62"/>
  <c r="X121" i="62"/>
  <c r="Z121" i="62"/>
  <c r="X122" i="62"/>
  <c r="Z122" i="62"/>
  <c r="Z123" i="62"/>
  <c r="V102" i="62"/>
  <c r="X105" i="62"/>
  <c r="Z105" i="62"/>
  <c r="Z106" i="62"/>
  <c r="Y108" i="62"/>
  <c r="Z108" i="62"/>
  <c r="X109" i="62"/>
  <c r="Z109" i="62"/>
  <c r="Z110" i="62"/>
  <c r="V70" i="62"/>
  <c r="X73" i="62"/>
  <c r="Z73" i="62"/>
  <c r="X74" i="62"/>
  <c r="Z74" i="62"/>
  <c r="X75" i="62"/>
  <c r="Z75" i="62"/>
  <c r="Z76" i="62"/>
  <c r="Z78" i="62"/>
  <c r="Z79" i="62"/>
  <c r="Y81" i="62"/>
  <c r="Z81" i="62"/>
  <c r="X82" i="62"/>
  <c r="Z82" i="62"/>
  <c r="X83" i="62"/>
  <c r="Z83" i="62"/>
  <c r="Z84" i="62"/>
  <c r="V53" i="62"/>
  <c r="X56" i="62"/>
  <c r="Z56" i="62"/>
  <c r="X57" i="62"/>
  <c r="Z57" i="62"/>
  <c r="X58" i="62"/>
  <c r="Z58" i="62"/>
  <c r="Z59" i="62"/>
  <c r="Z61" i="62"/>
  <c r="Z62" i="62"/>
  <c r="Z63" i="62"/>
  <c r="Y65" i="62"/>
  <c r="Z65" i="62"/>
  <c r="X66" i="62"/>
  <c r="Z66" i="62"/>
  <c r="Z67" i="62"/>
  <c r="V42" i="62"/>
  <c r="X45" i="62"/>
  <c r="Z45" i="62"/>
  <c r="X46" i="62"/>
  <c r="Z46" i="62"/>
  <c r="Z47" i="62"/>
  <c r="Y49" i="62"/>
  <c r="Z49" i="62"/>
  <c r="Z50" i="62"/>
  <c r="V26" i="62"/>
  <c r="X29" i="62"/>
  <c r="Z29" i="62"/>
  <c r="X30" i="62"/>
  <c r="Z30" i="62"/>
  <c r="X31" i="62"/>
  <c r="Z31" i="62"/>
  <c r="Z32" i="62"/>
  <c r="Y34" i="62"/>
  <c r="Z34" i="62"/>
  <c r="X35" i="62"/>
  <c r="Z35" i="62"/>
  <c r="Z36" i="62"/>
  <c r="V7" i="62"/>
  <c r="X10" i="62"/>
  <c r="Z10" i="62"/>
  <c r="X11" i="62"/>
  <c r="Z11" i="62"/>
  <c r="X12" i="62"/>
  <c r="Z12" i="62"/>
  <c r="Z13" i="62"/>
  <c r="Z15" i="62"/>
  <c r="Z16" i="62"/>
  <c r="Z17" i="62"/>
  <c r="Z18" i="62"/>
  <c r="Y20" i="62"/>
  <c r="Z20" i="62"/>
  <c r="X21" i="62"/>
  <c r="Z21" i="62"/>
  <c r="Z22" i="62"/>
  <c r="Z23" i="62"/>
  <c r="Y609" i="65"/>
  <c r="AA609" i="65" s="1"/>
  <c r="AA605" i="65"/>
  <c r="Z604" i="65"/>
  <c r="AA604" i="65" s="1"/>
  <c r="AA603" i="65"/>
  <c r="AA606" i="65" s="1"/>
  <c r="Y600" i="65"/>
  <c r="AA600" i="65" s="1"/>
  <c r="Y599" i="65"/>
  <c r="AA599" i="65" s="1"/>
  <c r="AA601" i="65" s="1"/>
  <c r="Z608" i="65" s="1"/>
  <c r="AA608" i="65" s="1"/>
  <c r="AA610" i="65" s="1"/>
  <c r="AA596" i="65"/>
  <c r="W596" i="65"/>
  <c r="AA589" i="65"/>
  <c r="AA588" i="65"/>
  <c r="AA587" i="65"/>
  <c r="AA590" i="65" s="1"/>
  <c r="Y584" i="65"/>
  <c r="AA584" i="65" s="1"/>
  <c r="Y583" i="65"/>
  <c r="AA583" i="65" s="1"/>
  <c r="Y582" i="65"/>
  <c r="AA582" i="65" s="1"/>
  <c r="AA585" i="65" s="1"/>
  <c r="Z592" i="65" s="1"/>
  <c r="AA592" i="65" s="1"/>
  <c r="AA593" i="65" s="1"/>
  <c r="AA579" i="65"/>
  <c r="W579" i="65"/>
  <c r="Y575" i="65"/>
  <c r="AA575" i="65" s="1"/>
  <c r="Y574" i="65"/>
  <c r="AA574" i="65" s="1"/>
  <c r="Y573" i="65"/>
  <c r="AA573" i="65" s="1"/>
  <c r="AA569" i="65"/>
  <c r="AA568" i="65"/>
  <c r="AA567" i="65"/>
  <c r="AA566" i="65"/>
  <c r="AA565" i="65"/>
  <c r="AA564" i="65"/>
  <c r="AA563" i="65"/>
  <c r="AA570" i="65" s="1"/>
  <c r="Y560" i="65"/>
  <c r="AA560" i="65" s="1"/>
  <c r="Y559" i="65"/>
  <c r="AA559" i="65" s="1"/>
  <c r="Y558" i="65"/>
  <c r="AA558" i="65" s="1"/>
  <c r="AA561" i="65" s="1"/>
  <c r="Z572" i="65" s="1"/>
  <c r="AA572" i="65" s="1"/>
  <c r="AA576" i="65" s="1"/>
  <c r="AA555" i="65"/>
  <c r="W555" i="65"/>
  <c r="Z548" i="65"/>
  <c r="AA548" i="65" s="1"/>
  <c r="AA547" i="65"/>
  <c r="AA549" i="65" s="1"/>
  <c r="Y544" i="65"/>
  <c r="AA544" i="65" s="1"/>
  <c r="Y543" i="65"/>
  <c r="AA543" i="65" s="1"/>
  <c r="Y542" i="65"/>
  <c r="AA542" i="65" s="1"/>
  <c r="AA545" i="65" s="1"/>
  <c r="Z551" i="65" s="1"/>
  <c r="AA551" i="65" s="1"/>
  <c r="AA552" i="65" s="1"/>
  <c r="AA539" i="65"/>
  <c r="W539" i="65"/>
  <c r="AA532" i="65"/>
  <c r="AA531" i="65"/>
  <c r="AA530" i="65"/>
  <c r="AA533" i="65" s="1"/>
  <c r="Y527" i="65"/>
  <c r="AA527" i="65" s="1"/>
  <c r="Y526" i="65"/>
  <c r="AA526" i="65" s="1"/>
  <c r="Y525" i="65"/>
  <c r="AA525" i="65" s="1"/>
  <c r="AA528" i="65" s="1"/>
  <c r="Z535" i="65" s="1"/>
  <c r="AA535" i="65" s="1"/>
  <c r="AA536" i="65" s="1"/>
  <c r="AA522" i="65"/>
  <c r="W522" i="65"/>
  <c r="Y517" i="65"/>
  <c r="AA517" i="65" s="1"/>
  <c r="Y516" i="65"/>
  <c r="AA516" i="65" s="1"/>
  <c r="Y515" i="65"/>
  <c r="AA515" i="65" s="1"/>
  <c r="AA512" i="65"/>
  <c r="AA511" i="65"/>
  <c r="AA510" i="65"/>
  <c r="AA509" i="65"/>
  <c r="AA508" i="65"/>
  <c r="AA513" i="65" s="1"/>
  <c r="Y505" i="65"/>
  <c r="AA505" i="65" s="1"/>
  <c r="Y504" i="65"/>
  <c r="AA504" i="65" s="1"/>
  <c r="Y503" i="65"/>
  <c r="AA503" i="65" s="1"/>
  <c r="Y502" i="65"/>
  <c r="AA502" i="65" s="1"/>
  <c r="Y501" i="65"/>
  <c r="AA501" i="65" s="1"/>
  <c r="AA506" i="65" s="1"/>
  <c r="Z518" i="65" s="1"/>
  <c r="AA518" i="65" s="1"/>
  <c r="W497" i="65"/>
  <c r="AA489" i="65"/>
  <c r="AA491" i="65" s="1"/>
  <c r="Y486" i="65"/>
  <c r="AA486" i="65" s="1"/>
  <c r="Y485" i="65"/>
  <c r="AA485" i="65" s="1"/>
  <c r="Y484" i="65"/>
  <c r="AA484" i="65" s="1"/>
  <c r="AA487" i="65" s="1"/>
  <c r="Z493" i="65" s="1"/>
  <c r="AA493" i="65" s="1"/>
  <c r="AA494" i="65" s="1"/>
  <c r="AA481" i="65"/>
  <c r="W481" i="65"/>
  <c r="Z474" i="65"/>
  <c r="AA474" i="65" s="1"/>
  <c r="AA473" i="65"/>
  <c r="AA475" i="65" s="1"/>
  <c r="Y470" i="65"/>
  <c r="AA470" i="65" s="1"/>
  <c r="Y469" i="65"/>
  <c r="AA469" i="65" s="1"/>
  <c r="Y468" i="65"/>
  <c r="AA468" i="65" s="1"/>
  <c r="AA471" i="65" s="1"/>
  <c r="Z477" i="65" s="1"/>
  <c r="AA477" i="65" s="1"/>
  <c r="AA478" i="65" s="1"/>
  <c r="AA465" i="65"/>
  <c r="W465" i="65"/>
  <c r="AA458" i="65"/>
  <c r="AA457" i="65"/>
  <c r="AA456" i="65"/>
  <c r="AA459" i="65" s="1"/>
  <c r="Y453" i="65"/>
  <c r="AA453" i="65" s="1"/>
  <c r="AA452" i="65"/>
  <c r="Y451" i="65"/>
  <c r="AA451" i="65" s="1"/>
  <c r="AA454" i="65" s="1"/>
  <c r="Z461" i="65" s="1"/>
  <c r="AA461" i="65" s="1"/>
  <c r="AA462" i="65" s="1"/>
  <c r="AA448" i="65"/>
  <c r="W448" i="65"/>
  <c r="Y443" i="65"/>
  <c r="AA443" i="65" s="1"/>
  <c r="Y442" i="65"/>
  <c r="AA442" i="65" s="1"/>
  <c r="AA439" i="65"/>
  <c r="AA438" i="65"/>
  <c r="AA437" i="65"/>
  <c r="AA436" i="65"/>
  <c r="AA435" i="65"/>
  <c r="AA434" i="65"/>
  <c r="AA433" i="65"/>
  <c r="AA440" i="65" s="1"/>
  <c r="Y430" i="65"/>
  <c r="AA430" i="65" s="1"/>
  <c r="Y429" i="65"/>
  <c r="AA429" i="65" s="1"/>
  <c r="Y428" i="65"/>
  <c r="AA428" i="65" s="1"/>
  <c r="Y427" i="65"/>
  <c r="AA427" i="65" s="1"/>
  <c r="Y426" i="65"/>
  <c r="AA426" i="65" s="1"/>
  <c r="AA431" i="65" s="1"/>
  <c r="Z444" i="65" s="1"/>
  <c r="AA444" i="65" s="1"/>
  <c r="W423" i="65"/>
  <c r="Y419" i="65"/>
  <c r="AA419" i="65" s="1"/>
  <c r="Z415" i="65"/>
  <c r="AA415" i="65" s="1"/>
  <c r="AA414" i="65"/>
  <c r="AA416" i="65" s="1"/>
  <c r="Y411" i="65"/>
  <c r="AA411" i="65" s="1"/>
  <c r="Y410" i="65"/>
  <c r="AA410" i="65" s="1"/>
  <c r="AA412" i="65" s="1"/>
  <c r="Z418" i="65" s="1"/>
  <c r="AA418" i="65" s="1"/>
  <c r="AA420" i="65" s="1"/>
  <c r="AA407" i="65"/>
  <c r="W407" i="65"/>
  <c r="AA400" i="65"/>
  <c r="AA399" i="65"/>
  <c r="AA398" i="65"/>
  <c r="AA401" i="65" s="1"/>
  <c r="Y395" i="65"/>
  <c r="AA395" i="65" s="1"/>
  <c r="Y394" i="65"/>
  <c r="AA394" i="65" s="1"/>
  <c r="AA396" i="65" s="1"/>
  <c r="Z403" i="65" s="1"/>
  <c r="AA403" i="65" s="1"/>
  <c r="AA404" i="65" s="1"/>
  <c r="AA391" i="65"/>
  <c r="W391" i="65"/>
  <c r="Y387" i="65"/>
  <c r="AA387" i="65" s="1"/>
  <c r="Y386" i="65"/>
  <c r="AA386" i="65" s="1"/>
  <c r="Y385" i="65"/>
  <c r="AA385" i="65" s="1"/>
  <c r="AA381" i="65"/>
  <c r="AA380" i="65"/>
  <c r="AA379" i="65"/>
  <c r="AA378" i="65"/>
  <c r="AA377" i="65"/>
  <c r="AA382" i="65" s="1"/>
  <c r="Y374" i="65"/>
  <c r="AA374" i="65" s="1"/>
  <c r="Y373" i="65"/>
  <c r="AA373" i="65" s="1"/>
  <c r="Y372" i="65"/>
  <c r="AA372" i="65" s="1"/>
  <c r="AA375" i="65" s="1"/>
  <c r="Z384" i="65" s="1"/>
  <c r="AA384" i="65" s="1"/>
  <c r="AA388" i="65" s="1"/>
  <c r="AA369" i="65"/>
  <c r="W369" i="65"/>
  <c r="Y365" i="65"/>
  <c r="AA365" i="65" s="1"/>
  <c r="Z361" i="65"/>
  <c r="AA361" i="65" s="1"/>
  <c r="AA360" i="65"/>
  <c r="AA362" i="65" s="1"/>
  <c r="Y357" i="65"/>
  <c r="AA357" i="65" s="1"/>
  <c r="Y356" i="65"/>
  <c r="AA356" i="65" s="1"/>
  <c r="AA358" i="65" s="1"/>
  <c r="Z364" i="65" s="1"/>
  <c r="AA364" i="65" s="1"/>
  <c r="AA366" i="65" s="1"/>
  <c r="AA353" i="65"/>
  <c r="W353" i="65"/>
  <c r="AA346" i="65"/>
  <c r="AA345" i="65"/>
  <c r="AA344" i="65"/>
  <c r="AA347" i="65" s="1"/>
  <c r="Y341" i="65"/>
  <c r="AA341" i="65" s="1"/>
  <c r="Y340" i="65"/>
  <c r="AA340" i="65" s="1"/>
  <c r="Y339" i="65"/>
  <c r="AA339" i="65" s="1"/>
  <c r="AA342" i="65" s="1"/>
  <c r="Z349" i="65" s="1"/>
  <c r="AA349" i="65" s="1"/>
  <c r="AA350" i="65" s="1"/>
  <c r="AA336" i="65"/>
  <c r="W336" i="65"/>
  <c r="Y332" i="65"/>
  <c r="AA332" i="65" s="1"/>
  <c r="Y331" i="65"/>
  <c r="AA331" i="65" s="1"/>
  <c r="AA327" i="65"/>
  <c r="AA326" i="65"/>
  <c r="AA325" i="65"/>
  <c r="AA324" i="65"/>
  <c r="AA323" i="65"/>
  <c r="AA328" i="65" s="1"/>
  <c r="Y320" i="65"/>
  <c r="AA320" i="65" s="1"/>
  <c r="Y319" i="65"/>
  <c r="AA319" i="65" s="1"/>
  <c r="Y318" i="65"/>
  <c r="AA318" i="65" s="1"/>
  <c r="AA321" i="65" s="1"/>
  <c r="Z330" i="65" s="1"/>
  <c r="AA330" i="65" s="1"/>
  <c r="AA333" i="65" s="1"/>
  <c r="AA315" i="65"/>
  <c r="W315" i="65"/>
  <c r="Y311" i="65"/>
  <c r="AA311" i="65" s="1"/>
  <c r="Z307" i="65"/>
  <c r="AA307" i="65" s="1"/>
  <c r="AA306" i="65"/>
  <c r="AA308" i="65" s="1"/>
  <c r="Y302" i="65"/>
  <c r="AA302" i="65" s="1"/>
  <c r="Y301" i="65"/>
  <c r="AA301" i="65" s="1"/>
  <c r="AA304" i="65" s="1"/>
  <c r="Z310" i="65" s="1"/>
  <c r="AA310" i="65" s="1"/>
  <c r="AA312" i="65" s="1"/>
  <c r="AA298" i="65"/>
  <c r="W298" i="65"/>
  <c r="AA291" i="65"/>
  <c r="AA290" i="65"/>
  <c r="AA289" i="65"/>
  <c r="AA292" i="65" s="1"/>
  <c r="Y286" i="65"/>
  <c r="AA286" i="65" s="1"/>
  <c r="Y285" i="65"/>
  <c r="AA285" i="65" s="1"/>
  <c r="AA287" i="65" s="1"/>
  <c r="Z294" i="65" s="1"/>
  <c r="AA294" i="65" s="1"/>
  <c r="AA295" i="65" s="1"/>
  <c r="AA282" i="65"/>
  <c r="W282" i="65"/>
  <c r="Y278" i="65"/>
  <c r="AA278" i="65" s="1"/>
  <c r="Y277" i="65"/>
  <c r="AA277" i="65" s="1"/>
  <c r="AA273" i="65"/>
  <c r="AA272" i="65"/>
  <c r="AA271" i="65"/>
  <c r="AA270" i="65"/>
  <c r="AA269" i="65"/>
  <c r="AA268" i="65"/>
  <c r="AA274" i="65" s="1"/>
  <c r="Y265" i="65"/>
  <c r="AA265" i="65" s="1"/>
  <c r="Y264" i="65"/>
  <c r="AA264" i="65" s="1"/>
  <c r="Y263" i="65"/>
  <c r="AA263" i="65" s="1"/>
  <c r="AA266" i="65" s="1"/>
  <c r="Z276" i="65" s="1"/>
  <c r="AA276" i="65" s="1"/>
  <c r="AA279" i="65" s="1"/>
  <c r="AA260" i="65"/>
  <c r="W260" i="65"/>
  <c r="Y256" i="65"/>
  <c r="AA256" i="65" s="1"/>
  <c r="Z252" i="65"/>
  <c r="AA252" i="65" s="1"/>
  <c r="AA251" i="65"/>
  <c r="AA253" i="65" s="1"/>
  <c r="Y248" i="65"/>
  <c r="AA248" i="65" s="1"/>
  <c r="Y247" i="65"/>
  <c r="AA247" i="65" s="1"/>
  <c r="AA249" i="65" s="1"/>
  <c r="Z255" i="65" s="1"/>
  <c r="AA255" i="65" s="1"/>
  <c r="AA257" i="65" s="1"/>
  <c r="AA244" i="65"/>
  <c r="W244" i="65"/>
  <c r="AA237" i="65"/>
  <c r="AA236" i="65"/>
  <c r="AA235" i="65"/>
  <c r="AA238" i="65" s="1"/>
  <c r="Y232" i="65"/>
  <c r="AA232" i="65" s="1"/>
  <c r="Y231" i="65"/>
  <c r="AA231" i="65" s="1"/>
  <c r="AA233" i="65" s="1"/>
  <c r="Z240" i="65" s="1"/>
  <c r="AA240" i="65" s="1"/>
  <c r="AA241" i="65" s="1"/>
  <c r="AA228" i="65"/>
  <c r="W228" i="65"/>
  <c r="Y224" i="65"/>
  <c r="AA224" i="65" s="1"/>
  <c r="Y223" i="65"/>
  <c r="AA223" i="65" s="1"/>
  <c r="AA219" i="65"/>
  <c r="AA218" i="65"/>
  <c r="AA217" i="65"/>
  <c r="AA216" i="65"/>
  <c r="AA215" i="65"/>
  <c r="AA220" i="65" s="1"/>
  <c r="Y212" i="65"/>
  <c r="AA212" i="65" s="1"/>
  <c r="Y211" i="65"/>
  <c r="AA211" i="65" s="1"/>
  <c r="Y210" i="65"/>
  <c r="AA210" i="65" s="1"/>
  <c r="AA213" i="65" s="1"/>
  <c r="Z222" i="65" s="1"/>
  <c r="AA222" i="65" s="1"/>
  <c r="AA225" i="65" s="1"/>
  <c r="AA207" i="65"/>
  <c r="W207" i="65"/>
  <c r="Y203" i="65"/>
  <c r="AA203" i="65" s="1"/>
  <c r="Z199" i="65"/>
  <c r="AA199" i="65" s="1"/>
  <c r="AA198" i="65"/>
  <c r="AA200" i="65" s="1"/>
  <c r="Y195" i="65"/>
  <c r="AA195" i="65" s="1"/>
  <c r="Y194" i="65"/>
  <c r="AA194" i="65" s="1"/>
  <c r="AA196" i="65" s="1"/>
  <c r="Z202" i="65" s="1"/>
  <c r="AA202" i="65" s="1"/>
  <c r="AA204" i="65" s="1"/>
  <c r="AA191" i="65"/>
  <c r="W191" i="65"/>
  <c r="AA183" i="65"/>
  <c r="AA182" i="65"/>
  <c r="AA181" i="65"/>
  <c r="AA184" i="65" s="1"/>
  <c r="Y178" i="65"/>
  <c r="AA178" i="65" s="1"/>
  <c r="Y177" i="65"/>
  <c r="AA177" i="65" s="1"/>
  <c r="AA179" i="65" s="1"/>
  <c r="Z186" i="65" s="1"/>
  <c r="AA186" i="65" s="1"/>
  <c r="AA187" i="65" s="1"/>
  <c r="AA174" i="65"/>
  <c r="W174" i="65"/>
  <c r="Y170" i="65"/>
  <c r="AA170" i="65" s="1"/>
  <c r="Y169" i="65"/>
  <c r="AA169" i="65" s="1"/>
  <c r="AA165" i="65"/>
  <c r="AA164" i="65"/>
  <c r="AA163" i="65"/>
  <c r="AA162" i="65"/>
  <c r="AA161" i="65"/>
  <c r="AA160" i="65"/>
  <c r="AA166" i="65" s="1"/>
  <c r="Y157" i="65"/>
  <c r="AA157" i="65" s="1"/>
  <c r="Y156" i="65"/>
  <c r="AA156" i="65" s="1"/>
  <c r="Y155" i="65"/>
  <c r="AA155" i="65" s="1"/>
  <c r="AA158" i="65" s="1"/>
  <c r="Z168" i="65" s="1"/>
  <c r="AA168" i="65" s="1"/>
  <c r="AA171" i="65" s="1"/>
  <c r="AA152" i="65"/>
  <c r="W152" i="65"/>
  <c r="Y148" i="65"/>
  <c r="AA148" i="65" s="1"/>
  <c r="AA144" i="65"/>
  <c r="AA143" i="65"/>
  <c r="AA142" i="65"/>
  <c r="AA141" i="65"/>
  <c r="AA145" i="65" s="1"/>
  <c r="Y138" i="65"/>
  <c r="AA138" i="65" s="1"/>
  <c r="Y137" i="65"/>
  <c r="AA137" i="65" s="1"/>
  <c r="Y136" i="65"/>
  <c r="AA136" i="65" s="1"/>
  <c r="AA139" i="65" s="1"/>
  <c r="Z147" i="65" s="1"/>
  <c r="AA147" i="65" s="1"/>
  <c r="AA149" i="65" s="1"/>
  <c r="AA133" i="65"/>
  <c r="W133" i="65"/>
  <c r="Y129" i="65"/>
  <c r="AA129" i="65" s="1"/>
  <c r="AA125" i="65"/>
  <c r="AA124" i="65"/>
  <c r="AA123" i="65"/>
  <c r="AA122" i="65"/>
  <c r="AA121" i="65"/>
  <c r="AA126" i="65" s="1"/>
  <c r="Y118" i="65"/>
  <c r="AA118" i="65" s="1"/>
  <c r="Y117" i="65"/>
  <c r="AA117" i="65" s="1"/>
  <c r="Y116" i="65"/>
  <c r="AA116" i="65" s="1"/>
  <c r="Y115" i="65"/>
  <c r="AA115" i="65" s="1"/>
  <c r="Y114" i="65"/>
  <c r="AA114" i="65" s="1"/>
  <c r="AA119" i="65" s="1"/>
  <c r="Z128" i="65" s="1"/>
  <c r="AA128" i="65" s="1"/>
  <c r="AA130" i="65" s="1"/>
  <c r="AA111" i="65"/>
  <c r="W111" i="65"/>
  <c r="E21" i="65"/>
  <c r="F21" i="65" s="1"/>
  <c r="E20" i="65"/>
  <c r="F20" i="65" s="1"/>
  <c r="E19" i="65"/>
  <c r="F19" i="65" s="1"/>
  <c r="E17" i="65"/>
  <c r="F17" i="65" s="1"/>
  <c r="E16" i="65"/>
  <c r="F16" i="65" s="1"/>
  <c r="AA22" i="65"/>
  <c r="Y21" i="65"/>
  <c r="AA21" i="65" s="1"/>
  <c r="E13" i="65"/>
  <c r="F13" i="65" s="1"/>
  <c r="E12" i="65"/>
  <c r="F12" i="65" s="1"/>
  <c r="E11" i="65"/>
  <c r="AA17" i="65"/>
  <c r="AA16" i="65"/>
  <c r="E8" i="65"/>
  <c r="F8" i="65" s="1"/>
  <c r="AA15" i="65"/>
  <c r="AA18" i="65" s="1"/>
  <c r="E7" i="65"/>
  <c r="F7" i="65" s="1"/>
  <c r="Y12" i="65"/>
  <c r="AA12" i="65" s="1"/>
  <c r="Y11" i="65"/>
  <c r="AA11" i="65" s="1"/>
  <c r="Y10" i="65"/>
  <c r="AA10" i="65" s="1"/>
  <c r="AA13" i="65" s="1"/>
  <c r="Z20" i="65" s="1"/>
  <c r="AA20" i="65" s="1"/>
  <c r="AA23" i="65" s="1"/>
  <c r="AA7" i="65"/>
  <c r="W7" i="65"/>
  <c r="W55" i="64"/>
  <c r="W111" i="64"/>
  <c r="W134" i="64"/>
  <c r="W135" i="64"/>
  <c r="W119" i="64"/>
  <c r="W120" i="64"/>
  <c r="W121" i="64"/>
  <c r="W122" i="64"/>
  <c r="W118" i="64"/>
  <c r="W144" i="64"/>
  <c r="W145" i="64"/>
  <c r="W143" i="64"/>
  <c r="W161" i="64"/>
  <c r="W162" i="64"/>
  <c r="W160" i="64"/>
  <c r="W177" i="64"/>
  <c r="W178" i="64"/>
  <c r="W176" i="64"/>
  <c r="Y181" i="64"/>
  <c r="Y183" i="64" s="1"/>
  <c r="Y178" i="64"/>
  <c r="Y177" i="64"/>
  <c r="Y176" i="64"/>
  <c r="Y179" i="64" s="1"/>
  <c r="X185" i="64" s="1"/>
  <c r="Y185" i="64" s="1"/>
  <c r="Y186" i="64" s="1"/>
  <c r="Y173" i="64"/>
  <c r="H17" i="64" s="1"/>
  <c r="U173" i="64"/>
  <c r="X166" i="64"/>
  <c r="Y166" i="64" s="1"/>
  <c r="Y165" i="64"/>
  <c r="Y167" i="64" s="1"/>
  <c r="Y162" i="64"/>
  <c r="Y161" i="64"/>
  <c r="Y160" i="64"/>
  <c r="Y163" i="64" s="1"/>
  <c r="X169" i="64" s="1"/>
  <c r="Y169" i="64" s="1"/>
  <c r="Y170" i="64" s="1"/>
  <c r="Y157" i="64"/>
  <c r="H16" i="64" s="1"/>
  <c r="U157" i="64"/>
  <c r="Y150" i="64"/>
  <c r="Y149" i="64"/>
  <c r="Y148" i="64"/>
  <c r="Y151" i="64" s="1"/>
  <c r="Y145" i="64"/>
  <c r="Y144" i="64"/>
  <c r="Y143" i="64"/>
  <c r="Y146" i="64" s="1"/>
  <c r="X153" i="64" s="1"/>
  <c r="Y153" i="64" s="1"/>
  <c r="Y154" i="64" s="1"/>
  <c r="Y140" i="64"/>
  <c r="H15" i="64" s="1"/>
  <c r="U140" i="64"/>
  <c r="Y135" i="64"/>
  <c r="Y134" i="64"/>
  <c r="Y131" i="64"/>
  <c r="Y130" i="64"/>
  <c r="Y129" i="64"/>
  <c r="Y128" i="64"/>
  <c r="Y127" i="64"/>
  <c r="Y126" i="64"/>
  <c r="Y125" i="64"/>
  <c r="Y132" i="64" s="1"/>
  <c r="Y122" i="64"/>
  <c r="Y121" i="64"/>
  <c r="Y120" i="64"/>
  <c r="Y119" i="64"/>
  <c r="Y118" i="64"/>
  <c r="Y123" i="64" s="1"/>
  <c r="X136" i="64" s="1"/>
  <c r="Y136" i="64" s="1"/>
  <c r="U115" i="64"/>
  <c r="Y111" i="64"/>
  <c r="X107" i="64"/>
  <c r="Y107" i="64" s="1"/>
  <c r="Y106" i="64"/>
  <c r="Y108" i="64" s="1"/>
  <c r="W103" i="64"/>
  <c r="Y103" i="64" s="1"/>
  <c r="W102" i="64"/>
  <c r="Y102" i="64" s="1"/>
  <c r="Y104" i="64" s="1"/>
  <c r="X110" i="64" s="1"/>
  <c r="Y110" i="64" s="1"/>
  <c r="Y112" i="64" s="1"/>
  <c r="Y99" i="64"/>
  <c r="U99" i="64"/>
  <c r="Y92" i="64"/>
  <c r="Y91" i="64"/>
  <c r="Y90" i="64"/>
  <c r="Y93" i="64" s="1"/>
  <c r="W87" i="64"/>
  <c r="Y87" i="64" s="1"/>
  <c r="W86" i="64"/>
  <c r="Y86" i="64" s="1"/>
  <c r="Y88" i="64" s="1"/>
  <c r="X95" i="64" s="1"/>
  <c r="Y95" i="64" s="1"/>
  <c r="Y96" i="64" s="1"/>
  <c r="Y83" i="64"/>
  <c r="U83" i="64"/>
  <c r="W79" i="64"/>
  <c r="Y79" i="64" s="1"/>
  <c r="W78" i="64"/>
  <c r="Y78" i="64" s="1"/>
  <c r="W77" i="64"/>
  <c r="Y77" i="64" s="1"/>
  <c r="Y73" i="64"/>
  <c r="Y72" i="64"/>
  <c r="Y71" i="64"/>
  <c r="Y70" i="64"/>
  <c r="Y69" i="64"/>
  <c r="Y74" i="64" s="1"/>
  <c r="W66" i="64"/>
  <c r="Y66" i="64" s="1"/>
  <c r="W65" i="64"/>
  <c r="Y65" i="64" s="1"/>
  <c r="W64" i="64"/>
  <c r="Y64" i="64" s="1"/>
  <c r="Y67" i="64" s="1"/>
  <c r="X76" i="64" s="1"/>
  <c r="Y76" i="64" s="1"/>
  <c r="Y80" i="64" s="1"/>
  <c r="Y61" i="64"/>
  <c r="U61" i="64"/>
  <c r="Y55" i="64"/>
  <c r="X51" i="64"/>
  <c r="Y51" i="64" s="1"/>
  <c r="Y50" i="64"/>
  <c r="Y52" i="64" s="1"/>
  <c r="W47" i="64"/>
  <c r="Y47" i="64" s="1"/>
  <c r="W46" i="64"/>
  <c r="Y46" i="64" s="1"/>
  <c r="Y48" i="64" s="1"/>
  <c r="X54" i="64" s="1"/>
  <c r="Y54" i="64" s="1"/>
  <c r="Y56" i="64" s="1"/>
  <c r="Y43" i="64"/>
  <c r="U43" i="64"/>
  <c r="Y36" i="64"/>
  <c r="Y35" i="64"/>
  <c r="Y34" i="64"/>
  <c r="Y37" i="64" s="1"/>
  <c r="W31" i="64"/>
  <c r="Y31" i="64" s="1"/>
  <c r="W30" i="64"/>
  <c r="Y30" i="64" s="1"/>
  <c r="W29" i="64"/>
  <c r="Y29" i="64" s="1"/>
  <c r="Y32" i="64" s="1"/>
  <c r="X39" i="64" s="1"/>
  <c r="Y39" i="64" s="1"/>
  <c r="Y40" i="64" s="1"/>
  <c r="Y26" i="64"/>
  <c r="U26" i="64"/>
  <c r="W22" i="64"/>
  <c r="Y22" i="64" s="1"/>
  <c r="W21" i="64"/>
  <c r="Y21" i="64" s="1"/>
  <c r="Y17" i="64"/>
  <c r="Y16" i="64"/>
  <c r="Y15" i="64"/>
  <c r="Y14" i="64"/>
  <c r="Y13" i="64"/>
  <c r="Y18" i="64" s="1"/>
  <c r="W10" i="64"/>
  <c r="Y10" i="64" s="1"/>
  <c r="W9" i="64"/>
  <c r="Y9" i="64" s="1"/>
  <c r="W8" i="64"/>
  <c r="Y8" i="64" s="1"/>
  <c r="Y11" i="64" s="1"/>
  <c r="X20" i="64" s="1"/>
  <c r="Y20" i="64" s="1"/>
  <c r="Y23" i="64" s="1"/>
  <c r="Y5" i="64"/>
  <c r="U5" i="64"/>
  <c r="H12" i="64"/>
  <c r="H11" i="64"/>
  <c r="H10" i="64"/>
  <c r="H8" i="64"/>
  <c r="H7" i="64"/>
  <c r="H6" i="64"/>
  <c r="X350" i="62"/>
  <c r="Z350" i="62" s="1"/>
  <c r="Y346" i="62"/>
  <c r="Z346" i="62" s="1"/>
  <c r="Z345" i="62"/>
  <c r="Z347" i="62" s="1"/>
  <c r="X342" i="62"/>
  <c r="Z342" i="62" s="1"/>
  <c r="X341" i="62"/>
  <c r="Z341" i="62" s="1"/>
  <c r="Z343" i="62" s="1"/>
  <c r="Y349" i="62" s="1"/>
  <c r="Z349" i="62" s="1"/>
  <c r="Z351" i="62" s="1"/>
  <c r="Z338" i="62"/>
  <c r="V338" i="62"/>
  <c r="Z331" i="62"/>
  <c r="Z330" i="62"/>
  <c r="Z329" i="62"/>
  <c r="Z332" i="62" s="1"/>
  <c r="X326" i="62"/>
  <c r="Z326" i="62" s="1"/>
  <c r="X325" i="62"/>
  <c r="Z325" i="62" s="1"/>
  <c r="Z327" i="62" s="1"/>
  <c r="Y334" i="62" s="1"/>
  <c r="Z334" i="62" s="1"/>
  <c r="Z335" i="62" s="1"/>
  <c r="Z322" i="62"/>
  <c r="V322" i="62"/>
  <c r="X318" i="62"/>
  <c r="Z318" i="62" s="1"/>
  <c r="X317" i="62"/>
  <c r="Z317" i="62" s="1"/>
  <c r="Z313" i="62"/>
  <c r="Z312" i="62"/>
  <c r="Z311" i="62"/>
  <c r="Z310" i="62"/>
  <c r="Z309" i="62"/>
  <c r="Z314" i="62" s="1"/>
  <c r="X306" i="62"/>
  <c r="Z306" i="62" s="1"/>
  <c r="X305" i="62"/>
  <c r="Z305" i="62" s="1"/>
  <c r="X304" i="62"/>
  <c r="Z304" i="62" s="1"/>
  <c r="Z307" i="62" s="1"/>
  <c r="Y316" i="62" s="1"/>
  <c r="Z316" i="62" s="1"/>
  <c r="Z319" i="62" s="1"/>
  <c r="Z301" i="62"/>
  <c r="V301" i="62"/>
  <c r="X296" i="62"/>
  <c r="Z296" i="62" s="1"/>
  <c r="Y292" i="62"/>
  <c r="Z292" i="62" s="1"/>
  <c r="Z291" i="62"/>
  <c r="Z293" i="62" s="1"/>
  <c r="X287" i="62"/>
  <c r="Z287" i="62" s="1"/>
  <c r="X286" i="62"/>
  <c r="Z286" i="62" s="1"/>
  <c r="Z289" i="62" s="1"/>
  <c r="Y295" i="62" s="1"/>
  <c r="Z295" i="62" s="1"/>
  <c r="Z297" i="62" s="1"/>
  <c r="Z283" i="62"/>
  <c r="V283" i="62"/>
  <c r="Z276" i="62"/>
  <c r="Z275" i="62"/>
  <c r="Z274" i="62"/>
  <c r="Z277" i="62" s="1"/>
  <c r="X271" i="62"/>
  <c r="Z271" i="62" s="1"/>
  <c r="X270" i="62"/>
  <c r="Z270" i="62" s="1"/>
  <c r="Z272" i="62" s="1"/>
  <c r="Y279" i="62" s="1"/>
  <c r="Z279" i="62" s="1"/>
  <c r="Z280" i="62" s="1"/>
  <c r="Z267" i="62"/>
  <c r="V267" i="62"/>
  <c r="X263" i="62"/>
  <c r="Z263" i="62" s="1"/>
  <c r="X262" i="62"/>
  <c r="Z262" i="62" s="1"/>
  <c r="Z258" i="62"/>
  <c r="Z257" i="62"/>
  <c r="Z256" i="62"/>
  <c r="Z255" i="62"/>
  <c r="Z254" i="62"/>
  <c r="Z253" i="62"/>
  <c r="Z259" i="62" s="1"/>
  <c r="X250" i="62"/>
  <c r="Z250" i="62" s="1"/>
  <c r="X249" i="62"/>
  <c r="Z249" i="62" s="1"/>
  <c r="X248" i="62"/>
  <c r="Z248" i="62" s="1"/>
  <c r="Z251" i="62" s="1"/>
  <c r="Y261" i="62" s="1"/>
  <c r="Z261" i="62" s="1"/>
  <c r="Z264" i="62" s="1"/>
  <c r="Z245" i="62"/>
  <c r="V245" i="62"/>
  <c r="X241" i="62"/>
  <c r="Z241" i="62" s="1"/>
  <c r="Y237" i="62"/>
  <c r="Z237" i="62" s="1"/>
  <c r="Z236" i="62"/>
  <c r="Z238" i="62" s="1"/>
  <c r="X233" i="62"/>
  <c r="Z233" i="62" s="1"/>
  <c r="X232" i="62"/>
  <c r="Z232" i="62" s="1"/>
  <c r="Z234" i="62" s="1"/>
  <c r="Y240" i="62" s="1"/>
  <c r="Z240" i="62" s="1"/>
  <c r="Z242" i="62" s="1"/>
  <c r="Z229" i="62"/>
  <c r="V229" i="62"/>
  <c r="Z221" i="62"/>
  <c r="Z220" i="62"/>
  <c r="Z219" i="62"/>
  <c r="Z222" i="62" s="1"/>
  <c r="X216" i="62"/>
  <c r="Z216" i="62" s="1"/>
  <c r="X215" i="62"/>
  <c r="Z215" i="62" s="1"/>
  <c r="Z217" i="62" s="1"/>
  <c r="Y224" i="62" s="1"/>
  <c r="Z224" i="62" s="1"/>
  <c r="Z225" i="62" s="1"/>
  <c r="Z212" i="62"/>
  <c r="V212" i="62"/>
  <c r="X208" i="62"/>
  <c r="Z208" i="62" s="1"/>
  <c r="X207" i="62"/>
  <c r="Z207" i="62" s="1"/>
  <c r="Z203" i="62"/>
  <c r="Z202" i="62"/>
  <c r="Z201" i="62"/>
  <c r="Z200" i="62"/>
  <c r="Z199" i="62"/>
  <c r="Z198" i="62"/>
  <c r="Z204" i="62" s="1"/>
  <c r="X195" i="62"/>
  <c r="Z195" i="62" s="1"/>
  <c r="X194" i="62"/>
  <c r="Z194" i="62" s="1"/>
  <c r="X193" i="62"/>
  <c r="Z193" i="62" s="1"/>
  <c r="Z196" i="62" s="1"/>
  <c r="Y206" i="62" s="1"/>
  <c r="Z206" i="62" s="1"/>
  <c r="Z209" i="62" s="1"/>
  <c r="Z190" i="62"/>
  <c r="V190" i="62"/>
  <c r="X186" i="62"/>
  <c r="Z186" i="62" s="1"/>
  <c r="Z182" i="62"/>
  <c r="Z181" i="62"/>
  <c r="Z180" i="62"/>
  <c r="Z179" i="62"/>
  <c r="Z183" i="62" s="1"/>
  <c r="X176" i="62"/>
  <c r="Z176" i="62" s="1"/>
  <c r="X175" i="62"/>
  <c r="Z175" i="62" s="1"/>
  <c r="X174" i="62"/>
  <c r="Z174" i="62" s="1"/>
  <c r="Z177" i="62" s="1"/>
  <c r="Y185" i="62" s="1"/>
  <c r="Z185" i="62" s="1"/>
  <c r="Z187" i="62" s="1"/>
  <c r="Z171" i="62"/>
  <c r="I21" i="62" s="1"/>
  <c r="V171" i="62"/>
  <c r="X167" i="62"/>
  <c r="Z167" i="62" s="1"/>
  <c r="I33" i="62"/>
  <c r="I32" i="62"/>
  <c r="I31" i="62"/>
  <c r="Z163" i="62"/>
  <c r="I29" i="62"/>
  <c r="Z162" i="62"/>
  <c r="I28" i="62"/>
  <c r="Z161" i="62"/>
  <c r="I27" i="62"/>
  <c r="Z160" i="62"/>
  <c r="Z164" i="62" s="1"/>
  <c r="I25" i="62"/>
  <c r="X157" i="62"/>
  <c r="Z157" i="62" s="1"/>
  <c r="I24" i="62"/>
  <c r="Z158" i="62"/>
  <c r="K117" i="129" l="1"/>
  <c r="K102" i="129"/>
  <c r="I11" i="123" s="1"/>
  <c r="K607" i="129"/>
  <c r="J616" i="129" s="1"/>
  <c r="K616" i="129" s="1"/>
  <c r="K620" i="129" s="1"/>
  <c r="K601" i="129" s="1"/>
  <c r="I51" i="123"/>
  <c r="K623" i="129"/>
  <c r="I52" i="123" s="1"/>
  <c r="K639" i="129"/>
  <c r="I53" i="123" s="1"/>
  <c r="K493" i="129"/>
  <c r="I43" i="123" s="1"/>
  <c r="K514" i="129"/>
  <c r="I44" i="123" s="1"/>
  <c r="K531" i="129"/>
  <c r="I45" i="123" s="1"/>
  <c r="H6" i="161"/>
  <c r="H6" i="102"/>
  <c r="I6" i="102" s="1"/>
  <c r="H6" i="103"/>
  <c r="I6" i="103" s="1"/>
  <c r="H6" i="100"/>
  <c r="I6" i="100" s="1"/>
  <c r="H6" i="152"/>
  <c r="H6" i="104"/>
  <c r="I6" i="104" s="1"/>
  <c r="H6" i="106"/>
  <c r="H6" i="107"/>
  <c r="I6" i="107" s="1"/>
  <c r="H6" i="99"/>
  <c r="H6" i="110"/>
  <c r="H6" i="150"/>
  <c r="H6" i="112"/>
  <c r="I6" i="112" s="1"/>
  <c r="H6" i="149"/>
  <c r="H6" i="148"/>
  <c r="H6" i="113"/>
  <c r="H6" i="146"/>
  <c r="H6" i="141"/>
  <c r="H6" i="147"/>
  <c r="H6" i="98"/>
  <c r="H6" i="151"/>
  <c r="H6" i="97"/>
  <c r="H6" i="143"/>
  <c r="H6" i="142"/>
  <c r="H6" i="154"/>
  <c r="H6" i="117"/>
  <c r="I6" i="117" s="1"/>
  <c r="H6" i="144"/>
  <c r="H6" i="116"/>
  <c r="I6" i="116" s="1"/>
  <c r="H6" i="96"/>
  <c r="I6" i="96" s="1"/>
  <c r="H6" i="111"/>
  <c r="H6" i="95"/>
  <c r="I6" i="95" s="1"/>
  <c r="H6" i="109"/>
  <c r="H6" i="108"/>
  <c r="H6" i="94"/>
  <c r="H6" i="153"/>
  <c r="H6" i="105"/>
  <c r="H6" i="101"/>
  <c r="H6" i="93"/>
  <c r="I6" i="93" s="1"/>
  <c r="H6" i="92"/>
  <c r="I6" i="92" s="1"/>
  <c r="H6" i="91"/>
  <c r="I6" i="91" s="1"/>
  <c r="H6" i="145"/>
  <c r="H6" i="90"/>
  <c r="I6" i="90" s="1"/>
  <c r="H6" i="156"/>
  <c r="H6" i="89"/>
  <c r="H6" i="87"/>
  <c r="I6" i="87" s="1"/>
  <c r="H6" i="88"/>
  <c r="I6" i="88" s="1"/>
  <c r="H6" i="86"/>
  <c r="I6" i="86" s="1"/>
  <c r="H6" i="155"/>
  <c r="H6" i="85"/>
  <c r="H6" i="84"/>
  <c r="I6" i="84" s="1"/>
  <c r="H6" i="83"/>
  <c r="I6" i="83" s="1"/>
  <c r="H6" i="82"/>
  <c r="I6" i="82" s="1"/>
  <c r="H6" i="80"/>
  <c r="I4" i="122"/>
  <c r="H6" i="118"/>
  <c r="H7" i="161"/>
  <c r="H7" i="102"/>
  <c r="I7" i="102" s="1"/>
  <c r="H7" i="103"/>
  <c r="I7" i="103" s="1"/>
  <c r="H7" i="100"/>
  <c r="I7" i="100" s="1"/>
  <c r="H7" i="152"/>
  <c r="H7" i="104"/>
  <c r="I7" i="104" s="1"/>
  <c r="H7" i="106"/>
  <c r="I7" i="106" s="1"/>
  <c r="H7" i="107"/>
  <c r="I7" i="107" s="1"/>
  <c r="H7" i="99"/>
  <c r="H7" i="110"/>
  <c r="H7" i="150"/>
  <c r="H7" i="112"/>
  <c r="I7" i="112" s="1"/>
  <c r="H7" i="149"/>
  <c r="H7" i="148"/>
  <c r="H7" i="113"/>
  <c r="H7" i="146"/>
  <c r="H7" i="141"/>
  <c r="H7" i="147"/>
  <c r="H7" i="98"/>
  <c r="H7" i="151"/>
  <c r="H7" i="97"/>
  <c r="H7" i="143"/>
  <c r="H7" i="142"/>
  <c r="H7" i="154"/>
  <c r="H7" i="117"/>
  <c r="I7" i="117" s="1"/>
  <c r="H7" i="144"/>
  <c r="H7" i="116"/>
  <c r="I7" i="116" s="1"/>
  <c r="H7" i="96"/>
  <c r="I7" i="96" s="1"/>
  <c r="H7" i="111"/>
  <c r="H7" i="95"/>
  <c r="I7" i="95" s="1"/>
  <c r="H7" i="109"/>
  <c r="H7" i="108"/>
  <c r="H7" i="94"/>
  <c r="I7" i="94" s="1"/>
  <c r="H7" i="153"/>
  <c r="H7" i="105"/>
  <c r="H7" i="101"/>
  <c r="H7" i="93"/>
  <c r="I7" i="93" s="1"/>
  <c r="H7" i="92"/>
  <c r="I7" i="92" s="1"/>
  <c r="H7" i="91"/>
  <c r="I7" i="91" s="1"/>
  <c r="H7" i="145"/>
  <c r="H7" i="90"/>
  <c r="I7" i="90" s="1"/>
  <c r="H7" i="156"/>
  <c r="H7" i="89"/>
  <c r="H7" i="87"/>
  <c r="I7" i="87" s="1"/>
  <c r="H7" i="88"/>
  <c r="I7" i="88" s="1"/>
  <c r="H7" i="86"/>
  <c r="I7" i="86" s="1"/>
  <c r="H7" i="155"/>
  <c r="H7" i="85"/>
  <c r="H7" i="84"/>
  <c r="I7" i="84" s="1"/>
  <c r="H7" i="83"/>
  <c r="I7" i="83" s="1"/>
  <c r="H7" i="82"/>
  <c r="I7" i="82" s="1"/>
  <c r="H7" i="80"/>
  <c r="I5" i="122"/>
  <c r="H7" i="118"/>
  <c r="H8" i="161"/>
  <c r="H8" i="102"/>
  <c r="I8" i="102" s="1"/>
  <c r="H8" i="103"/>
  <c r="I8" i="103" s="1"/>
  <c r="H8" i="100"/>
  <c r="I8" i="100" s="1"/>
  <c r="H8" i="152"/>
  <c r="H8" i="104"/>
  <c r="I8" i="104" s="1"/>
  <c r="H8" i="106"/>
  <c r="I8" i="106" s="1"/>
  <c r="H8" i="107"/>
  <c r="I8" i="107" s="1"/>
  <c r="H8" i="99"/>
  <c r="H8" i="110"/>
  <c r="H8" i="150"/>
  <c r="H8" i="112"/>
  <c r="I8" i="112" s="1"/>
  <c r="H8" i="149"/>
  <c r="H8" i="148"/>
  <c r="H8" i="113"/>
  <c r="H8" i="146"/>
  <c r="H8" i="141"/>
  <c r="H8" i="147"/>
  <c r="H8" i="98"/>
  <c r="H8" i="151"/>
  <c r="H8" i="97"/>
  <c r="H8" i="143"/>
  <c r="H8" i="142"/>
  <c r="H8" i="154"/>
  <c r="H8" i="117"/>
  <c r="I8" i="117" s="1"/>
  <c r="H8" i="144"/>
  <c r="H8" i="116"/>
  <c r="I8" i="116" s="1"/>
  <c r="H8" i="96"/>
  <c r="I8" i="96" s="1"/>
  <c r="H8" i="111"/>
  <c r="H8" i="95"/>
  <c r="I8" i="95" s="1"/>
  <c r="H8" i="109"/>
  <c r="H8" i="108"/>
  <c r="H8" i="94"/>
  <c r="I8" i="94" s="1"/>
  <c r="H8" i="153"/>
  <c r="H8" i="105"/>
  <c r="H8" i="101"/>
  <c r="H8" i="93"/>
  <c r="I8" i="93" s="1"/>
  <c r="H8" i="92"/>
  <c r="I8" i="92" s="1"/>
  <c r="H8" i="91"/>
  <c r="I8" i="91" s="1"/>
  <c r="H8" i="145"/>
  <c r="H8" i="90"/>
  <c r="I8" i="90" s="1"/>
  <c r="H8" i="156"/>
  <c r="H8" i="89"/>
  <c r="H8" i="87"/>
  <c r="I8" i="87" s="1"/>
  <c r="H8" i="88"/>
  <c r="I8" i="88" s="1"/>
  <c r="H8" i="86"/>
  <c r="I8" i="86" s="1"/>
  <c r="H8" i="155"/>
  <c r="H8" i="85"/>
  <c r="H8" i="84"/>
  <c r="I8" i="84" s="1"/>
  <c r="H8" i="83"/>
  <c r="I8" i="83" s="1"/>
  <c r="H8" i="82"/>
  <c r="I8" i="82" s="1"/>
  <c r="H8" i="80"/>
  <c r="I6" i="122"/>
  <c r="H8" i="118"/>
  <c r="H9" i="161"/>
  <c r="H9" i="102"/>
  <c r="I9" i="102" s="1"/>
  <c r="H9" i="103"/>
  <c r="I9" i="103" s="1"/>
  <c r="H9" i="100"/>
  <c r="I9" i="100" s="1"/>
  <c r="H9" i="152"/>
  <c r="H9" i="104"/>
  <c r="I9" i="104" s="1"/>
  <c r="H9" i="106"/>
  <c r="I9" i="106" s="1"/>
  <c r="H9" i="107"/>
  <c r="I9" i="107" s="1"/>
  <c r="H9" i="99"/>
  <c r="H9" i="110"/>
  <c r="H9" i="150"/>
  <c r="H9" i="112"/>
  <c r="I9" i="112" s="1"/>
  <c r="H9" i="149"/>
  <c r="H9" i="148"/>
  <c r="H9" i="113"/>
  <c r="H9" i="146"/>
  <c r="H9" i="141"/>
  <c r="H9" i="147"/>
  <c r="H9" i="98"/>
  <c r="H9" i="151"/>
  <c r="H9" i="97"/>
  <c r="H9" i="143"/>
  <c r="H9" i="142"/>
  <c r="H9" i="154"/>
  <c r="H9" i="117"/>
  <c r="I9" i="117" s="1"/>
  <c r="H9" i="144"/>
  <c r="H9" i="116"/>
  <c r="I9" i="116" s="1"/>
  <c r="H9" i="96"/>
  <c r="I9" i="96" s="1"/>
  <c r="H9" i="111"/>
  <c r="H9" i="95"/>
  <c r="I9" i="95" s="1"/>
  <c r="H9" i="109"/>
  <c r="H9" i="108"/>
  <c r="H9" i="94"/>
  <c r="I9" i="94" s="1"/>
  <c r="H9" i="153"/>
  <c r="H9" i="105"/>
  <c r="H9" i="101"/>
  <c r="H9" i="93"/>
  <c r="I9" i="93" s="1"/>
  <c r="H9" i="92"/>
  <c r="I9" i="92" s="1"/>
  <c r="H9" i="91"/>
  <c r="I9" i="91" s="1"/>
  <c r="H9" i="145"/>
  <c r="H9" i="90"/>
  <c r="I9" i="90" s="1"/>
  <c r="H9" i="156"/>
  <c r="H9" i="89"/>
  <c r="H9" i="87"/>
  <c r="I9" i="87" s="1"/>
  <c r="H9" i="88"/>
  <c r="I9" i="88" s="1"/>
  <c r="H9" i="86"/>
  <c r="I9" i="86" s="1"/>
  <c r="H9" i="155"/>
  <c r="H9" i="85"/>
  <c r="H9" i="84"/>
  <c r="I9" i="84" s="1"/>
  <c r="H9" i="83"/>
  <c r="I9" i="83" s="1"/>
  <c r="H9" i="82"/>
  <c r="I9" i="82" s="1"/>
  <c r="H9" i="80"/>
  <c r="I7" i="122"/>
  <c r="H9" i="118"/>
  <c r="H10" i="161"/>
  <c r="H10" i="102"/>
  <c r="I10" i="102" s="1"/>
  <c r="H10" i="103"/>
  <c r="I10" i="103" s="1"/>
  <c r="H10" i="100"/>
  <c r="I10" i="100" s="1"/>
  <c r="H10" i="152"/>
  <c r="H10" i="104"/>
  <c r="I10" i="104" s="1"/>
  <c r="H10" i="106"/>
  <c r="I10" i="106" s="1"/>
  <c r="H10" i="107"/>
  <c r="I10" i="107" s="1"/>
  <c r="H10" i="99"/>
  <c r="H10" i="110"/>
  <c r="H10" i="150"/>
  <c r="H10" i="112"/>
  <c r="I10" i="112" s="1"/>
  <c r="H10" i="149"/>
  <c r="H10" i="148"/>
  <c r="H10" i="113"/>
  <c r="H10" i="146"/>
  <c r="H10" i="141"/>
  <c r="H10" i="147"/>
  <c r="H10" i="98"/>
  <c r="H10" i="151"/>
  <c r="H10" i="97"/>
  <c r="H10" i="143"/>
  <c r="H10" i="142"/>
  <c r="H10" i="154"/>
  <c r="H10" i="117"/>
  <c r="I10" i="117" s="1"/>
  <c r="H10" i="144"/>
  <c r="H10" i="116"/>
  <c r="I10" i="116" s="1"/>
  <c r="H10" i="96"/>
  <c r="I10" i="96" s="1"/>
  <c r="H10" i="111"/>
  <c r="H10" i="95"/>
  <c r="I10" i="95" s="1"/>
  <c r="H10" i="109"/>
  <c r="H10" i="108"/>
  <c r="H10" i="94"/>
  <c r="I10" i="94" s="1"/>
  <c r="H10" i="153"/>
  <c r="H10" i="105"/>
  <c r="H10" i="101"/>
  <c r="H10" i="93"/>
  <c r="I10" i="93" s="1"/>
  <c r="H10" i="92"/>
  <c r="I10" i="92" s="1"/>
  <c r="H10" i="91"/>
  <c r="I10" i="91" s="1"/>
  <c r="H10" i="145"/>
  <c r="H10" i="90"/>
  <c r="I10" i="90" s="1"/>
  <c r="H10" i="156"/>
  <c r="H10" i="89"/>
  <c r="H10" i="87"/>
  <c r="I10" i="87" s="1"/>
  <c r="H10" i="88"/>
  <c r="I10" i="88" s="1"/>
  <c r="H10" i="86"/>
  <c r="I10" i="86" s="1"/>
  <c r="H10" i="155"/>
  <c r="H10" i="85"/>
  <c r="H10" i="84"/>
  <c r="I10" i="84" s="1"/>
  <c r="H10" i="83"/>
  <c r="I10" i="83" s="1"/>
  <c r="H10" i="82"/>
  <c r="I10" i="82" s="1"/>
  <c r="H10" i="80"/>
  <c r="I8" i="122"/>
  <c r="H10" i="118"/>
  <c r="H13" i="161"/>
  <c r="H13" i="102"/>
  <c r="I13" i="102" s="1"/>
  <c r="H13" i="103"/>
  <c r="H13" i="100"/>
  <c r="I13" i="100" s="1"/>
  <c r="H13" i="152"/>
  <c r="H13" i="104"/>
  <c r="H13" i="106"/>
  <c r="H13" i="107"/>
  <c r="I13" i="107" s="1"/>
  <c r="H13" i="99"/>
  <c r="H13" i="110"/>
  <c r="H13" i="150"/>
  <c r="H13" i="112"/>
  <c r="H13" i="149"/>
  <c r="H13" i="148"/>
  <c r="H13" i="113"/>
  <c r="H13" i="146"/>
  <c r="H13" i="141"/>
  <c r="H13" i="147"/>
  <c r="H13" i="98"/>
  <c r="H13" i="151"/>
  <c r="H13" i="97"/>
  <c r="H13" i="143"/>
  <c r="H13" i="142"/>
  <c r="H13" i="154"/>
  <c r="H13" i="117"/>
  <c r="H13" i="144"/>
  <c r="H13" i="116"/>
  <c r="I13" i="116" s="1"/>
  <c r="H13" i="96"/>
  <c r="I13" i="96" s="1"/>
  <c r="H13" i="111"/>
  <c r="H13" i="95"/>
  <c r="I13" i="95" s="1"/>
  <c r="H13" i="109"/>
  <c r="H13" i="108"/>
  <c r="H13" i="94"/>
  <c r="H13" i="153"/>
  <c r="H13" i="105"/>
  <c r="H13" i="101"/>
  <c r="I13" i="101" s="1"/>
  <c r="H13" i="93"/>
  <c r="H13" i="92"/>
  <c r="H13" i="91"/>
  <c r="I13" i="91" s="1"/>
  <c r="H13" i="145"/>
  <c r="H13" i="90"/>
  <c r="H13" i="156"/>
  <c r="H13" i="89"/>
  <c r="H13" i="87"/>
  <c r="H13" i="88"/>
  <c r="H13" i="86"/>
  <c r="I13" i="86" s="1"/>
  <c r="H13" i="155"/>
  <c r="H13" i="85"/>
  <c r="H13" i="84"/>
  <c r="H13" i="83"/>
  <c r="H13" i="82"/>
  <c r="I13" i="82" s="1"/>
  <c r="H13" i="80"/>
  <c r="I11" i="122"/>
  <c r="H13" i="118"/>
  <c r="H14" i="161"/>
  <c r="H14" i="102"/>
  <c r="H14" i="103"/>
  <c r="I14" i="103" s="1"/>
  <c r="H14" i="100"/>
  <c r="H14" i="152"/>
  <c r="H14" i="104"/>
  <c r="I14" i="104" s="1"/>
  <c r="H14" i="106"/>
  <c r="I14" i="106" s="1"/>
  <c r="H14" i="107"/>
  <c r="I14" i="107" s="1"/>
  <c r="H14" i="99"/>
  <c r="H14" i="110"/>
  <c r="H14" i="150"/>
  <c r="H14" i="112"/>
  <c r="I14" i="112" s="1"/>
  <c r="H14" i="149"/>
  <c r="H14" i="148"/>
  <c r="H14" i="113"/>
  <c r="H14" i="146"/>
  <c r="H14" i="141"/>
  <c r="H14" i="147"/>
  <c r="H14" i="98"/>
  <c r="H14" i="151"/>
  <c r="H14" i="97"/>
  <c r="H14" i="143"/>
  <c r="H14" i="142"/>
  <c r="H14" i="154"/>
  <c r="H14" i="117"/>
  <c r="H14" i="144"/>
  <c r="H14" i="116"/>
  <c r="I14" i="116" s="1"/>
  <c r="H14" i="96"/>
  <c r="I14" i="96" s="1"/>
  <c r="H14" i="111"/>
  <c r="H14" i="95"/>
  <c r="I14" i="95" s="1"/>
  <c r="H14" i="109"/>
  <c r="H14" i="108"/>
  <c r="H14" i="94"/>
  <c r="H14" i="153"/>
  <c r="H14" i="105"/>
  <c r="H14" i="101"/>
  <c r="I14" i="101" s="1"/>
  <c r="H14" i="93"/>
  <c r="H14" i="92"/>
  <c r="H14" i="91"/>
  <c r="I14" i="91" s="1"/>
  <c r="H14" i="145"/>
  <c r="H14" i="90"/>
  <c r="H14" i="156"/>
  <c r="H14" i="89"/>
  <c r="H14" i="87"/>
  <c r="H14" i="88"/>
  <c r="H14" i="86"/>
  <c r="H14" i="155"/>
  <c r="H14" i="85"/>
  <c r="H14" i="84"/>
  <c r="H14" i="83"/>
  <c r="H14" i="82"/>
  <c r="I14" i="82" s="1"/>
  <c r="H14" i="80"/>
  <c r="I12" i="122"/>
  <c r="H14" i="118"/>
  <c r="H16" i="161"/>
  <c r="H16" i="102"/>
  <c r="I16" i="102" s="1"/>
  <c r="H16" i="103"/>
  <c r="I16" i="103" s="1"/>
  <c r="H16" i="100"/>
  <c r="I16" i="100" s="1"/>
  <c r="H16" i="152"/>
  <c r="H16" i="104"/>
  <c r="I16" i="104" s="1"/>
  <c r="H16" i="106"/>
  <c r="I16" i="106" s="1"/>
  <c r="H16" i="107"/>
  <c r="I16" i="107" s="1"/>
  <c r="H16" i="99"/>
  <c r="H16" i="110"/>
  <c r="H16" i="150"/>
  <c r="H16" i="112"/>
  <c r="I16" i="112" s="1"/>
  <c r="H16" i="149"/>
  <c r="H16" i="148"/>
  <c r="H16" i="113"/>
  <c r="H16" i="146"/>
  <c r="H16" i="141"/>
  <c r="H16" i="147"/>
  <c r="H16" i="98"/>
  <c r="H16" i="151"/>
  <c r="H16" i="97"/>
  <c r="H16" i="143"/>
  <c r="H16" i="142"/>
  <c r="H16" i="154"/>
  <c r="H16" i="117"/>
  <c r="I16" i="117" s="1"/>
  <c r="H16" i="144"/>
  <c r="H16" i="116"/>
  <c r="I16" i="116" s="1"/>
  <c r="H16" i="96"/>
  <c r="I16" i="96" s="1"/>
  <c r="H16" i="111"/>
  <c r="H16" i="95"/>
  <c r="I16" i="95" s="1"/>
  <c r="H16" i="109"/>
  <c r="H16" i="108"/>
  <c r="H16" i="94"/>
  <c r="H16" i="153"/>
  <c r="H16" i="105"/>
  <c r="H16" i="101"/>
  <c r="I16" i="101" s="1"/>
  <c r="H16" i="93"/>
  <c r="I16" i="93" s="1"/>
  <c r="H16" i="92"/>
  <c r="I16" i="92" s="1"/>
  <c r="H16" i="91"/>
  <c r="I16" i="91" s="1"/>
  <c r="H16" i="145"/>
  <c r="H16" i="90"/>
  <c r="I16" i="90" s="1"/>
  <c r="H16" i="156"/>
  <c r="H16" i="89"/>
  <c r="H16" i="87"/>
  <c r="I16" i="87" s="1"/>
  <c r="H16" i="88"/>
  <c r="I16" i="88" s="1"/>
  <c r="H16" i="86"/>
  <c r="I16" i="86" s="1"/>
  <c r="H16" i="155"/>
  <c r="H16" i="85"/>
  <c r="H16" i="84"/>
  <c r="I16" i="84" s="1"/>
  <c r="H16" i="83"/>
  <c r="I16" i="83" s="1"/>
  <c r="H16" i="82"/>
  <c r="I16" i="82" s="1"/>
  <c r="H16" i="80"/>
  <c r="I14" i="122"/>
  <c r="H16" i="118"/>
  <c r="H19" i="161"/>
  <c r="H19" i="102"/>
  <c r="I19" i="102" s="1"/>
  <c r="H19" i="103"/>
  <c r="I19" i="103" s="1"/>
  <c r="H19" i="100"/>
  <c r="I19" i="100" s="1"/>
  <c r="H19" i="152"/>
  <c r="H19" i="104"/>
  <c r="I19" i="104" s="1"/>
  <c r="H19" i="106"/>
  <c r="I19" i="106" s="1"/>
  <c r="H19" i="107"/>
  <c r="I19" i="107" s="1"/>
  <c r="H19" i="99"/>
  <c r="H19" i="110"/>
  <c r="H19" i="150"/>
  <c r="H19" i="112"/>
  <c r="I19" i="112" s="1"/>
  <c r="H19" i="149"/>
  <c r="H19" i="148"/>
  <c r="H19" i="113"/>
  <c r="H19" i="146"/>
  <c r="H19" i="141"/>
  <c r="H19" i="147"/>
  <c r="H19" i="98"/>
  <c r="H19" i="151"/>
  <c r="H19" i="97"/>
  <c r="H19" i="143"/>
  <c r="H19" i="142"/>
  <c r="H19" i="154"/>
  <c r="H19" i="117"/>
  <c r="I19" i="117" s="1"/>
  <c r="H19" i="144"/>
  <c r="H19" i="116"/>
  <c r="I19" i="116" s="1"/>
  <c r="H19" i="96"/>
  <c r="I19" i="96" s="1"/>
  <c r="H19" i="111"/>
  <c r="H19" i="95"/>
  <c r="I19" i="95" s="1"/>
  <c r="H19" i="109"/>
  <c r="H19" i="108"/>
  <c r="H19" i="94"/>
  <c r="I19" i="94" s="1"/>
  <c r="H19" i="153"/>
  <c r="H19" i="105"/>
  <c r="H19" i="101"/>
  <c r="I19" i="101" s="1"/>
  <c r="H19" i="93"/>
  <c r="I19" i="93" s="1"/>
  <c r="H19" i="92"/>
  <c r="I19" i="92" s="1"/>
  <c r="H19" i="91"/>
  <c r="I19" i="91" s="1"/>
  <c r="H19" i="145"/>
  <c r="H19" i="90"/>
  <c r="I19" i="90" s="1"/>
  <c r="H19" i="156"/>
  <c r="H19" i="89"/>
  <c r="H19" i="87"/>
  <c r="I19" i="87" s="1"/>
  <c r="H19" i="88"/>
  <c r="I19" i="88" s="1"/>
  <c r="H19" i="86"/>
  <c r="I19" i="86" s="1"/>
  <c r="H19" i="155"/>
  <c r="H19" i="85"/>
  <c r="H19" i="84"/>
  <c r="I19" i="84" s="1"/>
  <c r="H19" i="83"/>
  <c r="I19" i="83" s="1"/>
  <c r="H19" i="82"/>
  <c r="I19" i="82" s="1"/>
  <c r="H19" i="80"/>
  <c r="I19" i="80" s="1"/>
  <c r="I17" i="122"/>
  <c r="H19" i="118"/>
  <c r="H21" i="161"/>
  <c r="H21" i="102"/>
  <c r="I21" i="102" s="1"/>
  <c r="H21" i="103"/>
  <c r="I21" i="103" s="1"/>
  <c r="H21" i="100"/>
  <c r="I21" i="100" s="1"/>
  <c r="H21" i="152"/>
  <c r="H21" i="104"/>
  <c r="I21" i="104" s="1"/>
  <c r="H21" i="106"/>
  <c r="I21" i="106" s="1"/>
  <c r="H21" i="107"/>
  <c r="I21" i="107" s="1"/>
  <c r="H21" i="99"/>
  <c r="H21" i="110"/>
  <c r="H21" i="150"/>
  <c r="H21" i="112"/>
  <c r="I21" i="112" s="1"/>
  <c r="H21" i="149"/>
  <c r="H21" i="148"/>
  <c r="H21" i="113"/>
  <c r="H21" i="146"/>
  <c r="H21" i="141"/>
  <c r="H21" i="147"/>
  <c r="H21" i="98"/>
  <c r="H21" i="151"/>
  <c r="H21" i="97"/>
  <c r="H21" i="143"/>
  <c r="H21" i="142"/>
  <c r="H21" i="154"/>
  <c r="H21" i="117"/>
  <c r="I21" i="117" s="1"/>
  <c r="H21" i="144"/>
  <c r="H21" i="116"/>
  <c r="I21" i="116" s="1"/>
  <c r="H21" i="96"/>
  <c r="I21" i="96" s="1"/>
  <c r="H21" i="111"/>
  <c r="H21" i="95"/>
  <c r="I21" i="95" s="1"/>
  <c r="H21" i="109"/>
  <c r="H21" i="108"/>
  <c r="H21" i="94"/>
  <c r="I21" i="94" s="1"/>
  <c r="H21" i="153"/>
  <c r="H21" i="105"/>
  <c r="H21" i="101"/>
  <c r="I21" i="101" s="1"/>
  <c r="H21" i="93"/>
  <c r="I21" i="93" s="1"/>
  <c r="H21" i="92"/>
  <c r="I21" i="92" s="1"/>
  <c r="H21" i="91"/>
  <c r="I21" i="91" s="1"/>
  <c r="H21" i="145"/>
  <c r="H21" i="90"/>
  <c r="I21" i="90" s="1"/>
  <c r="H21" i="156"/>
  <c r="H21" i="89"/>
  <c r="H21" i="87"/>
  <c r="I21" i="87" s="1"/>
  <c r="H21" i="88"/>
  <c r="I21" i="88" s="1"/>
  <c r="H21" i="86"/>
  <c r="I21" i="86" s="1"/>
  <c r="H21" i="155"/>
  <c r="H21" i="85"/>
  <c r="H21" i="84"/>
  <c r="I21" i="84" s="1"/>
  <c r="H21" i="83"/>
  <c r="I21" i="83" s="1"/>
  <c r="H21" i="82"/>
  <c r="I21" i="82" s="1"/>
  <c r="H21" i="80"/>
  <c r="I19" i="122"/>
  <c r="H21" i="118"/>
  <c r="H22" i="161"/>
  <c r="H22" i="102"/>
  <c r="I22" i="102" s="1"/>
  <c r="H22" i="103"/>
  <c r="I22" i="103" s="1"/>
  <c r="H22" i="100"/>
  <c r="I22" i="100" s="1"/>
  <c r="H22" i="152"/>
  <c r="H22" i="104"/>
  <c r="I22" i="104" s="1"/>
  <c r="H22" i="106"/>
  <c r="I22" i="106" s="1"/>
  <c r="H22" i="107"/>
  <c r="I22" i="107" s="1"/>
  <c r="H22" i="99"/>
  <c r="H22" i="110"/>
  <c r="H22" i="150"/>
  <c r="H22" i="112"/>
  <c r="I22" i="112" s="1"/>
  <c r="H22" i="149"/>
  <c r="H22" i="148"/>
  <c r="H22" i="113"/>
  <c r="H22" i="146"/>
  <c r="H22" i="141"/>
  <c r="H22" i="147"/>
  <c r="H22" i="98"/>
  <c r="H22" i="151"/>
  <c r="H22" i="97"/>
  <c r="H22" i="143"/>
  <c r="H22" i="142"/>
  <c r="H22" i="154"/>
  <c r="H22" i="117"/>
  <c r="I22" i="117" s="1"/>
  <c r="H22" i="144"/>
  <c r="H22" i="116"/>
  <c r="I22" i="116" s="1"/>
  <c r="H22" i="96"/>
  <c r="I22" i="96" s="1"/>
  <c r="H22" i="111"/>
  <c r="H22" i="95"/>
  <c r="I22" i="95" s="1"/>
  <c r="H22" i="109"/>
  <c r="H22" i="108"/>
  <c r="H22" i="94"/>
  <c r="I22" i="94" s="1"/>
  <c r="H22" i="153"/>
  <c r="H22" i="105"/>
  <c r="H22" i="101"/>
  <c r="I22" i="101" s="1"/>
  <c r="H22" i="93"/>
  <c r="I22" i="93" s="1"/>
  <c r="H22" i="92"/>
  <c r="I22" i="92" s="1"/>
  <c r="H22" i="91"/>
  <c r="I22" i="91" s="1"/>
  <c r="H22" i="145"/>
  <c r="H22" i="90"/>
  <c r="I22" i="90" s="1"/>
  <c r="H22" i="156"/>
  <c r="H22" i="89"/>
  <c r="H22" i="87"/>
  <c r="I22" i="87" s="1"/>
  <c r="H22" i="88"/>
  <c r="I22" i="88" s="1"/>
  <c r="H22" i="86"/>
  <c r="I22" i="86" s="1"/>
  <c r="H22" i="155"/>
  <c r="H22" i="85"/>
  <c r="H22" i="84"/>
  <c r="I22" i="84" s="1"/>
  <c r="H22" i="83"/>
  <c r="I22" i="83" s="1"/>
  <c r="H22" i="82"/>
  <c r="I22" i="82" s="1"/>
  <c r="H22" i="80"/>
  <c r="I20" i="122"/>
  <c r="H22" i="118"/>
  <c r="H23" i="161"/>
  <c r="H23" i="102"/>
  <c r="I23" i="102" s="1"/>
  <c r="H23" i="103"/>
  <c r="I23" i="103" s="1"/>
  <c r="H23" i="100"/>
  <c r="I23" i="100" s="1"/>
  <c r="H23" i="152"/>
  <c r="H23" i="104"/>
  <c r="I23" i="104" s="1"/>
  <c r="H23" i="106"/>
  <c r="I23" i="106" s="1"/>
  <c r="H23" i="107"/>
  <c r="I23" i="107" s="1"/>
  <c r="H23" i="99"/>
  <c r="H23" i="110"/>
  <c r="H23" i="150"/>
  <c r="H23" i="112"/>
  <c r="I23" i="112" s="1"/>
  <c r="H23" i="149"/>
  <c r="H23" i="148"/>
  <c r="H23" i="113"/>
  <c r="H23" i="146"/>
  <c r="H23" i="141"/>
  <c r="H23" i="147"/>
  <c r="H23" i="98"/>
  <c r="H23" i="151"/>
  <c r="H23" i="97"/>
  <c r="H23" i="143"/>
  <c r="H23" i="142"/>
  <c r="H23" i="154"/>
  <c r="H23" i="117"/>
  <c r="I23" i="117" s="1"/>
  <c r="H23" i="144"/>
  <c r="H23" i="116"/>
  <c r="I23" i="116" s="1"/>
  <c r="H23" i="96"/>
  <c r="I23" i="96" s="1"/>
  <c r="H23" i="111"/>
  <c r="H23" i="95"/>
  <c r="I23" i="95" s="1"/>
  <c r="H23" i="109"/>
  <c r="H23" i="108"/>
  <c r="H23" i="94"/>
  <c r="I23" i="94" s="1"/>
  <c r="H23" i="153"/>
  <c r="H23" i="105"/>
  <c r="H23" i="101"/>
  <c r="I23" i="101" s="1"/>
  <c r="H23" i="93"/>
  <c r="I23" i="93" s="1"/>
  <c r="H23" i="92"/>
  <c r="I23" i="92" s="1"/>
  <c r="H23" i="91"/>
  <c r="I23" i="91" s="1"/>
  <c r="H23" i="145"/>
  <c r="H23" i="90"/>
  <c r="I23" i="90" s="1"/>
  <c r="H23" i="156"/>
  <c r="H23" i="89"/>
  <c r="H23" i="87"/>
  <c r="I23" i="87" s="1"/>
  <c r="H23" i="88"/>
  <c r="I23" i="88" s="1"/>
  <c r="H23" i="86"/>
  <c r="I23" i="86" s="1"/>
  <c r="H23" i="155"/>
  <c r="H23" i="85"/>
  <c r="H23" i="84"/>
  <c r="I23" i="84" s="1"/>
  <c r="H23" i="83"/>
  <c r="I23" i="83" s="1"/>
  <c r="H23" i="82"/>
  <c r="I23" i="82" s="1"/>
  <c r="H23" i="80"/>
  <c r="I21" i="122"/>
  <c r="H23" i="118"/>
  <c r="H24" i="161"/>
  <c r="H24" i="102"/>
  <c r="I24" i="102" s="1"/>
  <c r="H24" i="103"/>
  <c r="I24" i="103" s="1"/>
  <c r="H24" i="100"/>
  <c r="I24" i="100" s="1"/>
  <c r="H24" i="152"/>
  <c r="H24" i="104"/>
  <c r="I24" i="104" s="1"/>
  <c r="H24" i="106"/>
  <c r="I24" i="106" s="1"/>
  <c r="H24" i="107"/>
  <c r="I24" i="107" s="1"/>
  <c r="H24" i="99"/>
  <c r="H24" i="110"/>
  <c r="H24" i="150"/>
  <c r="H24" i="112"/>
  <c r="I24" i="112" s="1"/>
  <c r="H24" i="149"/>
  <c r="H24" i="148"/>
  <c r="H24" i="113"/>
  <c r="H24" i="146"/>
  <c r="H24" i="141"/>
  <c r="H24" i="147"/>
  <c r="H24" i="98"/>
  <c r="H24" i="151"/>
  <c r="H24" i="97"/>
  <c r="H24" i="143"/>
  <c r="H24" i="142"/>
  <c r="H24" i="154"/>
  <c r="H24" i="117"/>
  <c r="I24" i="117" s="1"/>
  <c r="H24" i="144"/>
  <c r="H24" i="116"/>
  <c r="I24" i="116" s="1"/>
  <c r="H24" i="96"/>
  <c r="I24" i="96" s="1"/>
  <c r="H24" i="111"/>
  <c r="H24" i="95"/>
  <c r="I24" i="95" s="1"/>
  <c r="H24" i="109"/>
  <c r="H24" i="108"/>
  <c r="H24" i="94"/>
  <c r="I24" i="94" s="1"/>
  <c r="H24" i="153"/>
  <c r="H24" i="105"/>
  <c r="H24" i="101"/>
  <c r="I24" i="101" s="1"/>
  <c r="H24" i="93"/>
  <c r="I24" i="93" s="1"/>
  <c r="H24" i="92"/>
  <c r="I24" i="92" s="1"/>
  <c r="H24" i="91"/>
  <c r="I24" i="91" s="1"/>
  <c r="H24" i="145"/>
  <c r="H24" i="90"/>
  <c r="I24" i="90" s="1"/>
  <c r="H24" i="156"/>
  <c r="H24" i="89"/>
  <c r="H24" i="87"/>
  <c r="I24" i="87" s="1"/>
  <c r="H24" i="88"/>
  <c r="I24" i="88" s="1"/>
  <c r="H24" i="86"/>
  <c r="I24" i="86" s="1"/>
  <c r="H24" i="155"/>
  <c r="H24" i="85"/>
  <c r="H24" i="84"/>
  <c r="I24" i="84" s="1"/>
  <c r="H24" i="83"/>
  <c r="I24" i="83" s="1"/>
  <c r="H24" i="82"/>
  <c r="I24" i="82" s="1"/>
  <c r="H24" i="80"/>
  <c r="I22" i="122"/>
  <c r="H24" i="118"/>
  <c r="H25" i="161"/>
  <c r="H25" i="102"/>
  <c r="I25" i="102" s="1"/>
  <c r="H25" i="103"/>
  <c r="I25" i="103" s="1"/>
  <c r="H25" i="100"/>
  <c r="I25" i="100" s="1"/>
  <c r="H25" i="152"/>
  <c r="H25" i="104"/>
  <c r="I25" i="104" s="1"/>
  <c r="H25" i="106"/>
  <c r="I25" i="106" s="1"/>
  <c r="H25" i="107"/>
  <c r="I25" i="107" s="1"/>
  <c r="H25" i="99"/>
  <c r="H25" i="110"/>
  <c r="H25" i="150"/>
  <c r="H25" i="112"/>
  <c r="I25" i="112" s="1"/>
  <c r="H25" i="149"/>
  <c r="H25" i="148"/>
  <c r="H25" i="113"/>
  <c r="H25" i="146"/>
  <c r="H25" i="141"/>
  <c r="H25" i="147"/>
  <c r="H25" i="98"/>
  <c r="H25" i="151"/>
  <c r="H25" i="97"/>
  <c r="H25" i="143"/>
  <c r="H25" i="142"/>
  <c r="H25" i="154"/>
  <c r="H25" i="117"/>
  <c r="I25" i="117" s="1"/>
  <c r="H25" i="144"/>
  <c r="H25" i="116"/>
  <c r="I25" i="116" s="1"/>
  <c r="H25" i="96"/>
  <c r="I25" i="96" s="1"/>
  <c r="H25" i="111"/>
  <c r="H25" i="95"/>
  <c r="I25" i="95" s="1"/>
  <c r="H25" i="109"/>
  <c r="H25" i="108"/>
  <c r="H25" i="94"/>
  <c r="I25" i="94" s="1"/>
  <c r="H25" i="153"/>
  <c r="H25" i="105"/>
  <c r="H25" i="101"/>
  <c r="I25" i="101" s="1"/>
  <c r="H25" i="93"/>
  <c r="I25" i="93" s="1"/>
  <c r="H25" i="92"/>
  <c r="I25" i="92" s="1"/>
  <c r="H25" i="91"/>
  <c r="I25" i="91" s="1"/>
  <c r="H25" i="145"/>
  <c r="H25" i="90"/>
  <c r="I25" i="90" s="1"/>
  <c r="H25" i="156"/>
  <c r="H25" i="89"/>
  <c r="H25" i="87"/>
  <c r="I25" i="87" s="1"/>
  <c r="H25" i="88"/>
  <c r="I25" i="88" s="1"/>
  <c r="H25" i="86"/>
  <c r="I25" i="86" s="1"/>
  <c r="H25" i="155"/>
  <c r="H25" i="85"/>
  <c r="H25" i="84"/>
  <c r="I25" i="84" s="1"/>
  <c r="H25" i="83"/>
  <c r="I25" i="83" s="1"/>
  <c r="H25" i="82"/>
  <c r="I25" i="82" s="1"/>
  <c r="H25" i="80"/>
  <c r="I23" i="122"/>
  <c r="H25" i="118"/>
  <c r="H26" i="161"/>
  <c r="H26" i="102"/>
  <c r="I26" i="102" s="1"/>
  <c r="H26" i="103"/>
  <c r="I26" i="103" s="1"/>
  <c r="H26" i="100"/>
  <c r="I26" i="100" s="1"/>
  <c r="H26" i="152"/>
  <c r="H26" i="104"/>
  <c r="I26" i="104" s="1"/>
  <c r="H26" i="106"/>
  <c r="I26" i="106" s="1"/>
  <c r="H26" i="107"/>
  <c r="I26" i="107" s="1"/>
  <c r="H26" i="99"/>
  <c r="H26" i="110"/>
  <c r="H26" i="150"/>
  <c r="H26" i="112"/>
  <c r="I26" i="112" s="1"/>
  <c r="H26" i="149"/>
  <c r="H26" i="148"/>
  <c r="H26" i="113"/>
  <c r="H26" i="146"/>
  <c r="H26" i="141"/>
  <c r="H26" i="147"/>
  <c r="H26" i="98"/>
  <c r="H26" i="151"/>
  <c r="H26" i="97"/>
  <c r="H26" i="143"/>
  <c r="H26" i="142"/>
  <c r="H26" i="154"/>
  <c r="H26" i="117"/>
  <c r="I26" i="117" s="1"/>
  <c r="H26" i="144"/>
  <c r="H26" i="116"/>
  <c r="I26" i="116" s="1"/>
  <c r="H26" i="96"/>
  <c r="I26" i="96" s="1"/>
  <c r="H26" i="111"/>
  <c r="H26" i="95"/>
  <c r="I26" i="95" s="1"/>
  <c r="H26" i="109"/>
  <c r="H26" i="108"/>
  <c r="H26" i="94"/>
  <c r="I26" i="94" s="1"/>
  <c r="H26" i="153"/>
  <c r="H26" i="105"/>
  <c r="H26" i="101"/>
  <c r="I26" i="101" s="1"/>
  <c r="H26" i="93"/>
  <c r="I26" i="93" s="1"/>
  <c r="H26" i="92"/>
  <c r="I26" i="92" s="1"/>
  <c r="H26" i="91"/>
  <c r="I26" i="91" s="1"/>
  <c r="H26" i="145"/>
  <c r="H26" i="90"/>
  <c r="I26" i="90" s="1"/>
  <c r="H26" i="156"/>
  <c r="H26" i="89"/>
  <c r="H26" i="87"/>
  <c r="I26" i="87" s="1"/>
  <c r="H26" i="88"/>
  <c r="I26" i="88" s="1"/>
  <c r="H26" i="86"/>
  <c r="I26" i="86" s="1"/>
  <c r="H26" i="155"/>
  <c r="H26" i="85"/>
  <c r="H26" i="84"/>
  <c r="I26" i="84" s="1"/>
  <c r="H26" i="83"/>
  <c r="I26" i="83" s="1"/>
  <c r="H26" i="82"/>
  <c r="I26" i="82" s="1"/>
  <c r="H26" i="80"/>
  <c r="I24" i="122"/>
  <c r="H26" i="118"/>
  <c r="H28" i="161"/>
  <c r="H28" i="102"/>
  <c r="I28" i="102" s="1"/>
  <c r="H28" i="103"/>
  <c r="I28" i="103" s="1"/>
  <c r="H28" i="100"/>
  <c r="I28" i="100" s="1"/>
  <c r="H28" i="152"/>
  <c r="H28" i="104"/>
  <c r="I28" i="104" s="1"/>
  <c r="H28" i="106"/>
  <c r="I28" i="106" s="1"/>
  <c r="H28" i="107"/>
  <c r="I28" i="107" s="1"/>
  <c r="H28" i="99"/>
  <c r="H28" i="110"/>
  <c r="H28" i="150"/>
  <c r="H28" i="112"/>
  <c r="I28" i="112" s="1"/>
  <c r="H28" i="149"/>
  <c r="H28" i="148"/>
  <c r="H28" i="113"/>
  <c r="H28" i="146"/>
  <c r="H28" i="141"/>
  <c r="H28" i="147"/>
  <c r="H28" i="98"/>
  <c r="H28" i="151"/>
  <c r="H28" i="97"/>
  <c r="H28" i="143"/>
  <c r="H28" i="142"/>
  <c r="H28" i="154"/>
  <c r="H28" i="117"/>
  <c r="I28" i="117" s="1"/>
  <c r="H28" i="144"/>
  <c r="H28" i="116"/>
  <c r="I28" i="116" s="1"/>
  <c r="H28" i="96"/>
  <c r="I28" i="96" s="1"/>
  <c r="H28" i="111"/>
  <c r="H28" i="95"/>
  <c r="I28" i="95" s="1"/>
  <c r="H28" i="109"/>
  <c r="H28" i="108"/>
  <c r="H28" i="94"/>
  <c r="I28" i="94" s="1"/>
  <c r="H28" i="153"/>
  <c r="H28" i="105"/>
  <c r="H28" i="101"/>
  <c r="I28" i="101" s="1"/>
  <c r="H28" i="93"/>
  <c r="I28" i="93" s="1"/>
  <c r="H28" i="92"/>
  <c r="I28" i="92" s="1"/>
  <c r="H28" i="91"/>
  <c r="I28" i="91" s="1"/>
  <c r="H28" i="145"/>
  <c r="H28" i="90"/>
  <c r="I28" i="90" s="1"/>
  <c r="H28" i="156"/>
  <c r="H28" i="89"/>
  <c r="H28" i="87"/>
  <c r="I28" i="87" s="1"/>
  <c r="H28" i="88"/>
  <c r="I28" i="88" s="1"/>
  <c r="H28" i="86"/>
  <c r="I28" i="86" s="1"/>
  <c r="H28" i="155"/>
  <c r="H28" i="85"/>
  <c r="H28" i="84"/>
  <c r="I28" i="84" s="1"/>
  <c r="H28" i="83"/>
  <c r="I28" i="83" s="1"/>
  <c r="H28" i="82"/>
  <c r="I28" i="82" s="1"/>
  <c r="H28" i="80"/>
  <c r="I26" i="122"/>
  <c r="H28" i="118"/>
  <c r="H29" i="161"/>
  <c r="H29" i="102"/>
  <c r="I29" i="102" s="1"/>
  <c r="H29" i="103"/>
  <c r="I29" i="103" s="1"/>
  <c r="H29" i="100"/>
  <c r="I29" i="100" s="1"/>
  <c r="H29" i="152"/>
  <c r="H29" i="104"/>
  <c r="I29" i="104" s="1"/>
  <c r="H29" i="106"/>
  <c r="I29" i="106" s="1"/>
  <c r="H29" i="107"/>
  <c r="I29" i="107" s="1"/>
  <c r="H29" i="99"/>
  <c r="H29" i="110"/>
  <c r="H29" i="150"/>
  <c r="H29" i="112"/>
  <c r="I29" i="112" s="1"/>
  <c r="H29" i="149"/>
  <c r="H29" i="148"/>
  <c r="H29" i="113"/>
  <c r="H29" i="146"/>
  <c r="H29" i="141"/>
  <c r="H29" i="147"/>
  <c r="H29" i="98"/>
  <c r="H29" i="151"/>
  <c r="H29" i="97"/>
  <c r="H29" i="143"/>
  <c r="H29" i="142"/>
  <c r="H29" i="154"/>
  <c r="H29" i="117"/>
  <c r="I29" i="117" s="1"/>
  <c r="H29" i="144"/>
  <c r="H29" i="116"/>
  <c r="I29" i="116" s="1"/>
  <c r="H29" i="96"/>
  <c r="I29" i="96" s="1"/>
  <c r="H29" i="111"/>
  <c r="H29" i="95"/>
  <c r="I29" i="95" s="1"/>
  <c r="H29" i="109"/>
  <c r="H29" i="108"/>
  <c r="H29" i="94"/>
  <c r="I29" i="94" s="1"/>
  <c r="H29" i="153"/>
  <c r="H29" i="105"/>
  <c r="H29" i="101"/>
  <c r="I29" i="101" s="1"/>
  <c r="H29" i="93"/>
  <c r="I29" i="93" s="1"/>
  <c r="H29" i="92"/>
  <c r="I29" i="92" s="1"/>
  <c r="H29" i="91"/>
  <c r="I29" i="91" s="1"/>
  <c r="H29" i="145"/>
  <c r="H29" i="90"/>
  <c r="I29" i="90" s="1"/>
  <c r="H29" i="156"/>
  <c r="H29" i="89"/>
  <c r="H29" i="87"/>
  <c r="I29" i="87" s="1"/>
  <c r="H29" i="88"/>
  <c r="I29" i="88" s="1"/>
  <c r="H29" i="86"/>
  <c r="I29" i="86" s="1"/>
  <c r="H29" i="155"/>
  <c r="H29" i="85"/>
  <c r="H29" i="84"/>
  <c r="I29" i="84" s="1"/>
  <c r="H29" i="83"/>
  <c r="I29" i="83" s="1"/>
  <c r="H29" i="82"/>
  <c r="I29" i="82" s="1"/>
  <c r="H29" i="80"/>
  <c r="I27" i="122"/>
  <c r="H29" i="118"/>
  <c r="H30" i="161"/>
  <c r="H30" i="102"/>
  <c r="I30" i="102" s="1"/>
  <c r="H30" i="103"/>
  <c r="I30" i="103" s="1"/>
  <c r="H30" i="100"/>
  <c r="I30" i="100" s="1"/>
  <c r="H30" i="152"/>
  <c r="H30" i="104"/>
  <c r="I30" i="104" s="1"/>
  <c r="H30" i="106"/>
  <c r="I30" i="106" s="1"/>
  <c r="H30" i="107"/>
  <c r="I30" i="107" s="1"/>
  <c r="H30" i="99"/>
  <c r="H30" i="110"/>
  <c r="H30" i="150"/>
  <c r="H30" i="112"/>
  <c r="I30" i="112" s="1"/>
  <c r="H30" i="149"/>
  <c r="H30" i="148"/>
  <c r="H30" i="113"/>
  <c r="H30" i="146"/>
  <c r="H30" i="141"/>
  <c r="H30" i="147"/>
  <c r="H30" i="98"/>
  <c r="H30" i="151"/>
  <c r="H30" i="97"/>
  <c r="H30" i="143"/>
  <c r="H30" i="142"/>
  <c r="H30" i="154"/>
  <c r="H30" i="117"/>
  <c r="I30" i="117" s="1"/>
  <c r="H30" i="144"/>
  <c r="H30" i="116"/>
  <c r="I30" i="116" s="1"/>
  <c r="H30" i="96"/>
  <c r="I30" i="96" s="1"/>
  <c r="H30" i="111"/>
  <c r="H30" i="95"/>
  <c r="I30" i="95" s="1"/>
  <c r="H30" i="109"/>
  <c r="H30" i="108"/>
  <c r="H30" i="94"/>
  <c r="I30" i="94" s="1"/>
  <c r="H30" i="153"/>
  <c r="H30" i="105"/>
  <c r="H30" i="101"/>
  <c r="I30" i="101" s="1"/>
  <c r="H30" i="93"/>
  <c r="I30" i="93" s="1"/>
  <c r="H30" i="92"/>
  <c r="I30" i="92" s="1"/>
  <c r="H30" i="91"/>
  <c r="I30" i="91" s="1"/>
  <c r="H30" i="145"/>
  <c r="H30" i="90"/>
  <c r="I30" i="90" s="1"/>
  <c r="H30" i="156"/>
  <c r="H30" i="89"/>
  <c r="H30" i="87"/>
  <c r="I30" i="87" s="1"/>
  <c r="H30" i="88"/>
  <c r="I30" i="88" s="1"/>
  <c r="H30" i="86"/>
  <c r="I30" i="86" s="1"/>
  <c r="H30" i="155"/>
  <c r="H30" i="85"/>
  <c r="H30" i="84"/>
  <c r="I30" i="84" s="1"/>
  <c r="H30" i="83"/>
  <c r="I30" i="83" s="1"/>
  <c r="H30" i="82"/>
  <c r="I30" i="82" s="1"/>
  <c r="H30" i="80"/>
  <c r="I28" i="122"/>
  <c r="H30" i="118"/>
  <c r="H31" i="161"/>
  <c r="H31" i="102"/>
  <c r="I31" i="102" s="1"/>
  <c r="H31" i="103"/>
  <c r="I31" i="103" s="1"/>
  <c r="H31" i="100"/>
  <c r="I31" i="100" s="1"/>
  <c r="H31" i="152"/>
  <c r="H31" i="104"/>
  <c r="I31" i="104" s="1"/>
  <c r="H31" i="106"/>
  <c r="I31" i="106" s="1"/>
  <c r="H31" i="107"/>
  <c r="I31" i="107" s="1"/>
  <c r="H31" i="99"/>
  <c r="H31" i="110"/>
  <c r="H31" i="150"/>
  <c r="H31" i="112"/>
  <c r="I31" i="112" s="1"/>
  <c r="H31" i="149"/>
  <c r="H31" i="148"/>
  <c r="H31" i="113"/>
  <c r="H31" i="146"/>
  <c r="H31" i="141"/>
  <c r="H31" i="147"/>
  <c r="H31" i="98"/>
  <c r="H31" i="151"/>
  <c r="H31" i="97"/>
  <c r="H31" i="143"/>
  <c r="H31" i="142"/>
  <c r="H31" i="154"/>
  <c r="H31" i="117"/>
  <c r="I31" i="117" s="1"/>
  <c r="H31" i="144"/>
  <c r="H31" i="116"/>
  <c r="I31" i="116" s="1"/>
  <c r="H31" i="96"/>
  <c r="I31" i="96" s="1"/>
  <c r="H31" i="111"/>
  <c r="H31" i="95"/>
  <c r="I31" i="95" s="1"/>
  <c r="H31" i="109"/>
  <c r="H31" i="108"/>
  <c r="H31" i="94"/>
  <c r="I31" i="94" s="1"/>
  <c r="H31" i="153"/>
  <c r="H31" i="105"/>
  <c r="H31" i="101"/>
  <c r="I31" i="101" s="1"/>
  <c r="H31" i="93"/>
  <c r="I31" i="93" s="1"/>
  <c r="H31" i="92"/>
  <c r="I31" i="92" s="1"/>
  <c r="H31" i="91"/>
  <c r="I31" i="91" s="1"/>
  <c r="H31" i="145"/>
  <c r="H31" i="90"/>
  <c r="I31" i="90" s="1"/>
  <c r="H31" i="156"/>
  <c r="H31" i="89"/>
  <c r="H31" i="87"/>
  <c r="I31" i="87" s="1"/>
  <c r="H31" i="88"/>
  <c r="I31" i="88" s="1"/>
  <c r="H31" i="86"/>
  <c r="I31" i="86" s="1"/>
  <c r="H31" i="155"/>
  <c r="H31" i="85"/>
  <c r="H31" i="84"/>
  <c r="I31" i="84" s="1"/>
  <c r="H31" i="83"/>
  <c r="I31" i="83" s="1"/>
  <c r="H31" i="82"/>
  <c r="I31" i="82" s="1"/>
  <c r="H31" i="80"/>
  <c r="I29" i="122"/>
  <c r="H31" i="118"/>
  <c r="H32" i="161"/>
  <c r="H32" i="102"/>
  <c r="I32" i="102" s="1"/>
  <c r="H32" i="103"/>
  <c r="I32" i="103" s="1"/>
  <c r="H32" i="100"/>
  <c r="I32" i="100" s="1"/>
  <c r="H32" i="152"/>
  <c r="H32" i="104"/>
  <c r="I32" i="104" s="1"/>
  <c r="H32" i="106"/>
  <c r="I32" i="106" s="1"/>
  <c r="H32" i="107"/>
  <c r="I32" i="107" s="1"/>
  <c r="H32" i="99"/>
  <c r="H32" i="110"/>
  <c r="H32" i="150"/>
  <c r="H32" i="112"/>
  <c r="I32" i="112" s="1"/>
  <c r="H32" i="149"/>
  <c r="H32" i="148"/>
  <c r="H32" i="113"/>
  <c r="H32" i="146"/>
  <c r="H32" i="141"/>
  <c r="H32" i="147"/>
  <c r="H32" i="98"/>
  <c r="H32" i="151"/>
  <c r="H32" i="97"/>
  <c r="H32" i="143"/>
  <c r="H32" i="142"/>
  <c r="H32" i="154"/>
  <c r="H32" i="117"/>
  <c r="I32" i="117" s="1"/>
  <c r="H32" i="144"/>
  <c r="H32" i="116"/>
  <c r="I32" i="116" s="1"/>
  <c r="H32" i="96"/>
  <c r="I32" i="96" s="1"/>
  <c r="H32" i="111"/>
  <c r="H32" i="95"/>
  <c r="I32" i="95" s="1"/>
  <c r="H32" i="109"/>
  <c r="H32" i="108"/>
  <c r="H32" i="94"/>
  <c r="I32" i="94" s="1"/>
  <c r="H32" i="153"/>
  <c r="H32" i="105"/>
  <c r="H32" i="101"/>
  <c r="I32" i="101" s="1"/>
  <c r="H32" i="93"/>
  <c r="I32" i="93" s="1"/>
  <c r="H32" i="92"/>
  <c r="I32" i="92" s="1"/>
  <c r="H32" i="91"/>
  <c r="I32" i="91" s="1"/>
  <c r="H32" i="145"/>
  <c r="H32" i="90"/>
  <c r="I32" i="90" s="1"/>
  <c r="H32" i="156"/>
  <c r="H32" i="89"/>
  <c r="H32" i="87"/>
  <c r="I32" i="87" s="1"/>
  <c r="H32" i="88"/>
  <c r="I32" i="88" s="1"/>
  <c r="H32" i="86"/>
  <c r="I32" i="86" s="1"/>
  <c r="H32" i="155"/>
  <c r="H32" i="85"/>
  <c r="H32" i="84"/>
  <c r="I32" i="84" s="1"/>
  <c r="H32" i="83"/>
  <c r="I32" i="83" s="1"/>
  <c r="H32" i="82"/>
  <c r="I32" i="82" s="1"/>
  <c r="H32" i="80"/>
  <c r="I30" i="122"/>
  <c r="H32" i="118"/>
  <c r="H33" i="161"/>
  <c r="H33" i="102"/>
  <c r="I33" i="102" s="1"/>
  <c r="H33" i="103"/>
  <c r="I33" i="103" s="1"/>
  <c r="H33" i="100"/>
  <c r="I33" i="100" s="1"/>
  <c r="H33" i="152"/>
  <c r="H33" i="104"/>
  <c r="I33" i="104" s="1"/>
  <c r="H33" i="106"/>
  <c r="I33" i="106" s="1"/>
  <c r="H33" i="107"/>
  <c r="I33" i="107" s="1"/>
  <c r="H33" i="99"/>
  <c r="H33" i="110"/>
  <c r="H33" i="150"/>
  <c r="H33" i="112"/>
  <c r="I33" i="112" s="1"/>
  <c r="H33" i="149"/>
  <c r="H33" i="148"/>
  <c r="H33" i="113"/>
  <c r="H33" i="146"/>
  <c r="H33" i="141"/>
  <c r="H33" i="147"/>
  <c r="H33" i="98"/>
  <c r="H33" i="151"/>
  <c r="H33" i="97"/>
  <c r="H33" i="143"/>
  <c r="H33" i="142"/>
  <c r="H33" i="154"/>
  <c r="H33" i="117"/>
  <c r="I33" i="117" s="1"/>
  <c r="H33" i="144"/>
  <c r="H33" i="116"/>
  <c r="I33" i="116" s="1"/>
  <c r="H33" i="96"/>
  <c r="I33" i="96" s="1"/>
  <c r="H33" i="111"/>
  <c r="H33" i="95"/>
  <c r="I33" i="95" s="1"/>
  <c r="H33" i="109"/>
  <c r="H33" i="108"/>
  <c r="H33" i="94"/>
  <c r="I33" i="94" s="1"/>
  <c r="H33" i="153"/>
  <c r="H33" i="105"/>
  <c r="H33" i="101"/>
  <c r="I33" i="101" s="1"/>
  <c r="H33" i="93"/>
  <c r="I33" i="93" s="1"/>
  <c r="H33" i="92"/>
  <c r="I33" i="92" s="1"/>
  <c r="H33" i="91"/>
  <c r="I33" i="91" s="1"/>
  <c r="H33" i="145"/>
  <c r="H33" i="90"/>
  <c r="I33" i="90" s="1"/>
  <c r="H33" i="156"/>
  <c r="H33" i="89"/>
  <c r="H33" i="87"/>
  <c r="I33" i="87" s="1"/>
  <c r="H33" i="88"/>
  <c r="I33" i="88" s="1"/>
  <c r="H33" i="86"/>
  <c r="I33" i="86" s="1"/>
  <c r="H33" i="155"/>
  <c r="H33" i="85"/>
  <c r="H33" i="84"/>
  <c r="I33" i="84" s="1"/>
  <c r="H33" i="83"/>
  <c r="I33" i="83" s="1"/>
  <c r="H33" i="82"/>
  <c r="I33" i="82" s="1"/>
  <c r="H33" i="80"/>
  <c r="I31" i="122"/>
  <c r="H33" i="118"/>
  <c r="H35" i="161"/>
  <c r="H35" i="102"/>
  <c r="I35" i="102" s="1"/>
  <c r="H35" i="103"/>
  <c r="I35" i="103" s="1"/>
  <c r="H35" i="100"/>
  <c r="I35" i="100" s="1"/>
  <c r="H35" i="152"/>
  <c r="H35" i="104"/>
  <c r="I35" i="104" s="1"/>
  <c r="H35" i="106"/>
  <c r="I35" i="106" s="1"/>
  <c r="H35" i="107"/>
  <c r="I35" i="107" s="1"/>
  <c r="H35" i="99"/>
  <c r="H35" i="110"/>
  <c r="H35" i="150"/>
  <c r="H35" i="112"/>
  <c r="I35" i="112" s="1"/>
  <c r="H35" i="149"/>
  <c r="H35" i="148"/>
  <c r="H35" i="113"/>
  <c r="H35" i="146"/>
  <c r="H35" i="141"/>
  <c r="H35" i="147"/>
  <c r="H35" i="98"/>
  <c r="H35" i="151"/>
  <c r="H35" i="97"/>
  <c r="H35" i="143"/>
  <c r="H35" i="142"/>
  <c r="H35" i="154"/>
  <c r="H35" i="117"/>
  <c r="I35" i="117" s="1"/>
  <c r="H35" i="144"/>
  <c r="H35" i="116"/>
  <c r="I35" i="116" s="1"/>
  <c r="H35" i="96"/>
  <c r="I35" i="96" s="1"/>
  <c r="H35" i="111"/>
  <c r="H35" i="95"/>
  <c r="I35" i="95" s="1"/>
  <c r="H35" i="109"/>
  <c r="H35" i="108"/>
  <c r="H35" i="94"/>
  <c r="I35" i="94" s="1"/>
  <c r="H35" i="153"/>
  <c r="H35" i="105"/>
  <c r="H35" i="101"/>
  <c r="I35" i="101" s="1"/>
  <c r="H35" i="93"/>
  <c r="I35" i="93" s="1"/>
  <c r="H35" i="92"/>
  <c r="I35" i="92" s="1"/>
  <c r="H35" i="91"/>
  <c r="I35" i="91" s="1"/>
  <c r="H35" i="145"/>
  <c r="H35" i="90"/>
  <c r="I35" i="90" s="1"/>
  <c r="H35" i="156"/>
  <c r="H35" i="89"/>
  <c r="H35" i="87"/>
  <c r="I35" i="87" s="1"/>
  <c r="H35" i="88"/>
  <c r="I35" i="88" s="1"/>
  <c r="H35" i="86"/>
  <c r="I35" i="86" s="1"/>
  <c r="H35" i="155"/>
  <c r="H35" i="85"/>
  <c r="H35" i="84"/>
  <c r="I35" i="84" s="1"/>
  <c r="H35" i="83"/>
  <c r="I35" i="83" s="1"/>
  <c r="H35" i="82"/>
  <c r="I35" i="82" s="1"/>
  <c r="H35" i="80"/>
  <c r="I33" i="122"/>
  <c r="H35" i="118"/>
  <c r="H36" i="161"/>
  <c r="H36" i="102"/>
  <c r="I36" i="102" s="1"/>
  <c r="H36" i="103"/>
  <c r="I36" i="103" s="1"/>
  <c r="H36" i="100"/>
  <c r="I36" i="100" s="1"/>
  <c r="H36" i="152"/>
  <c r="H36" i="104"/>
  <c r="I36" i="104" s="1"/>
  <c r="H36" i="106"/>
  <c r="I36" i="106" s="1"/>
  <c r="H36" i="107"/>
  <c r="I36" i="107" s="1"/>
  <c r="H36" i="99"/>
  <c r="H36" i="110"/>
  <c r="H36" i="150"/>
  <c r="H36" i="112"/>
  <c r="I36" i="112" s="1"/>
  <c r="H36" i="149"/>
  <c r="H36" i="148"/>
  <c r="H36" i="113"/>
  <c r="H36" i="146"/>
  <c r="H36" i="141"/>
  <c r="H36" i="147"/>
  <c r="H36" i="98"/>
  <c r="H36" i="151"/>
  <c r="H36" i="97"/>
  <c r="H36" i="143"/>
  <c r="H36" i="142"/>
  <c r="H36" i="154"/>
  <c r="H36" i="117"/>
  <c r="I36" i="117" s="1"/>
  <c r="H36" i="144"/>
  <c r="H36" i="116"/>
  <c r="I36" i="116" s="1"/>
  <c r="H36" i="96"/>
  <c r="I36" i="96" s="1"/>
  <c r="H36" i="111"/>
  <c r="H36" i="95"/>
  <c r="I36" i="95" s="1"/>
  <c r="H36" i="109"/>
  <c r="H36" i="108"/>
  <c r="H36" i="94"/>
  <c r="I36" i="94" s="1"/>
  <c r="H36" i="153"/>
  <c r="H36" i="105"/>
  <c r="H36" i="101"/>
  <c r="I36" i="101" s="1"/>
  <c r="H36" i="93"/>
  <c r="I36" i="93" s="1"/>
  <c r="H36" i="92"/>
  <c r="I36" i="92" s="1"/>
  <c r="H36" i="91"/>
  <c r="I36" i="91" s="1"/>
  <c r="H36" i="145"/>
  <c r="H36" i="90"/>
  <c r="I36" i="90" s="1"/>
  <c r="H36" i="156"/>
  <c r="H36" i="89"/>
  <c r="H36" i="87"/>
  <c r="I36" i="87" s="1"/>
  <c r="H36" i="88"/>
  <c r="I36" i="88" s="1"/>
  <c r="H36" i="86"/>
  <c r="I36" i="86" s="1"/>
  <c r="H36" i="155"/>
  <c r="H36" i="85"/>
  <c r="H36" i="84"/>
  <c r="I36" i="84" s="1"/>
  <c r="H36" i="83"/>
  <c r="I36" i="83" s="1"/>
  <c r="H36" i="82"/>
  <c r="I36" i="82" s="1"/>
  <c r="H36" i="80"/>
  <c r="I34" i="122"/>
  <c r="H36" i="118"/>
  <c r="H37" i="161"/>
  <c r="H37" i="102"/>
  <c r="I37" i="102" s="1"/>
  <c r="H37" i="103"/>
  <c r="I37" i="103" s="1"/>
  <c r="H37" i="100"/>
  <c r="I37" i="100" s="1"/>
  <c r="H37" i="152"/>
  <c r="H37" i="104"/>
  <c r="I37" i="104" s="1"/>
  <c r="H37" i="106"/>
  <c r="I37" i="106" s="1"/>
  <c r="H37" i="107"/>
  <c r="I37" i="107" s="1"/>
  <c r="H37" i="99"/>
  <c r="H37" i="110"/>
  <c r="H37" i="150"/>
  <c r="H37" i="112"/>
  <c r="I37" i="112" s="1"/>
  <c r="H37" i="149"/>
  <c r="H37" i="148"/>
  <c r="H37" i="113"/>
  <c r="H37" i="146"/>
  <c r="H37" i="141"/>
  <c r="H37" i="147"/>
  <c r="H37" i="98"/>
  <c r="H37" i="151"/>
  <c r="H37" i="97"/>
  <c r="H37" i="143"/>
  <c r="H37" i="142"/>
  <c r="H37" i="154"/>
  <c r="H37" i="117"/>
  <c r="I37" i="117" s="1"/>
  <c r="H37" i="144"/>
  <c r="H37" i="116"/>
  <c r="I37" i="116" s="1"/>
  <c r="H37" i="96"/>
  <c r="I37" i="96" s="1"/>
  <c r="H37" i="111"/>
  <c r="H37" i="95"/>
  <c r="I37" i="95" s="1"/>
  <c r="H37" i="109"/>
  <c r="H37" i="108"/>
  <c r="H37" i="94"/>
  <c r="I37" i="94" s="1"/>
  <c r="H37" i="153"/>
  <c r="H37" i="105"/>
  <c r="H37" i="101"/>
  <c r="I37" i="101" s="1"/>
  <c r="H37" i="93"/>
  <c r="I37" i="93" s="1"/>
  <c r="H37" i="92"/>
  <c r="I37" i="92" s="1"/>
  <c r="H37" i="91"/>
  <c r="I37" i="91" s="1"/>
  <c r="H37" i="145"/>
  <c r="H37" i="90"/>
  <c r="I37" i="90" s="1"/>
  <c r="H37" i="156"/>
  <c r="H37" i="89"/>
  <c r="H37" i="87"/>
  <c r="I37" i="87" s="1"/>
  <c r="H37" i="88"/>
  <c r="I37" i="88" s="1"/>
  <c r="H37" i="86"/>
  <c r="I37" i="86" s="1"/>
  <c r="H37" i="155"/>
  <c r="H37" i="85"/>
  <c r="H37" i="84"/>
  <c r="I37" i="84" s="1"/>
  <c r="H37" i="83"/>
  <c r="I37" i="83" s="1"/>
  <c r="H37" i="82"/>
  <c r="I37" i="82" s="1"/>
  <c r="H37" i="80"/>
  <c r="I35" i="122"/>
  <c r="H37" i="118"/>
  <c r="H38" i="161"/>
  <c r="H38" i="102"/>
  <c r="I38" i="102" s="1"/>
  <c r="H38" i="103"/>
  <c r="I38" i="103" s="1"/>
  <c r="H38" i="100"/>
  <c r="I38" i="100" s="1"/>
  <c r="H38" i="152"/>
  <c r="H38" i="104"/>
  <c r="I38" i="104" s="1"/>
  <c r="H38" i="106"/>
  <c r="I38" i="106" s="1"/>
  <c r="H38" i="107"/>
  <c r="I38" i="107" s="1"/>
  <c r="H38" i="99"/>
  <c r="H38" i="110"/>
  <c r="H38" i="150"/>
  <c r="H38" i="112"/>
  <c r="I38" i="112" s="1"/>
  <c r="H38" i="149"/>
  <c r="H38" i="148"/>
  <c r="H38" i="113"/>
  <c r="H38" i="146"/>
  <c r="H38" i="141"/>
  <c r="H38" i="147"/>
  <c r="H38" i="98"/>
  <c r="H38" i="151"/>
  <c r="H38" i="97"/>
  <c r="H38" i="143"/>
  <c r="H38" i="142"/>
  <c r="H38" i="154"/>
  <c r="H38" i="117"/>
  <c r="I38" i="117" s="1"/>
  <c r="H38" i="144"/>
  <c r="H38" i="116"/>
  <c r="I38" i="116" s="1"/>
  <c r="H38" i="96"/>
  <c r="I38" i="96" s="1"/>
  <c r="H38" i="111"/>
  <c r="H38" i="95"/>
  <c r="I38" i="95" s="1"/>
  <c r="H38" i="109"/>
  <c r="H38" i="108"/>
  <c r="H38" i="94"/>
  <c r="I38" i="94" s="1"/>
  <c r="H38" i="153"/>
  <c r="H38" i="105"/>
  <c r="H38" i="101"/>
  <c r="I38" i="101" s="1"/>
  <c r="H38" i="93"/>
  <c r="I38" i="93" s="1"/>
  <c r="H38" i="92"/>
  <c r="I38" i="92" s="1"/>
  <c r="H38" i="91"/>
  <c r="I38" i="91" s="1"/>
  <c r="H38" i="145"/>
  <c r="H38" i="90"/>
  <c r="I38" i="90" s="1"/>
  <c r="H38" i="156"/>
  <c r="H38" i="89"/>
  <c r="H38" i="87"/>
  <c r="I38" i="87" s="1"/>
  <c r="H38" i="88"/>
  <c r="I38" i="88" s="1"/>
  <c r="H38" i="86"/>
  <c r="I38" i="86" s="1"/>
  <c r="H38" i="155"/>
  <c r="H38" i="85"/>
  <c r="H38" i="84"/>
  <c r="I38" i="84" s="1"/>
  <c r="H38" i="83"/>
  <c r="I38" i="83" s="1"/>
  <c r="H38" i="82"/>
  <c r="I38" i="82" s="1"/>
  <c r="H38" i="80"/>
  <c r="I36" i="122"/>
  <c r="H38" i="118"/>
  <c r="H39" i="161"/>
  <c r="H39" i="102"/>
  <c r="I39" i="102" s="1"/>
  <c r="H39" i="103"/>
  <c r="I39" i="103" s="1"/>
  <c r="H39" i="100"/>
  <c r="I39" i="100" s="1"/>
  <c r="H39" i="152"/>
  <c r="H39" i="104"/>
  <c r="I39" i="104" s="1"/>
  <c r="H39" i="106"/>
  <c r="I39" i="106" s="1"/>
  <c r="H39" i="107"/>
  <c r="I39" i="107" s="1"/>
  <c r="H39" i="99"/>
  <c r="H39" i="110"/>
  <c r="H39" i="150"/>
  <c r="H39" i="112"/>
  <c r="I39" i="112" s="1"/>
  <c r="H39" i="149"/>
  <c r="H39" i="148"/>
  <c r="H39" i="113"/>
  <c r="H39" i="146"/>
  <c r="H39" i="141"/>
  <c r="H39" i="147"/>
  <c r="H39" i="98"/>
  <c r="H39" i="151"/>
  <c r="H39" i="97"/>
  <c r="H39" i="143"/>
  <c r="H39" i="142"/>
  <c r="H39" i="154"/>
  <c r="H39" i="117"/>
  <c r="I39" i="117" s="1"/>
  <c r="H39" i="144"/>
  <c r="H39" i="116"/>
  <c r="I39" i="116" s="1"/>
  <c r="H39" i="96"/>
  <c r="I39" i="96" s="1"/>
  <c r="H39" i="111"/>
  <c r="H39" i="95"/>
  <c r="I39" i="95" s="1"/>
  <c r="H39" i="109"/>
  <c r="H39" i="108"/>
  <c r="H39" i="94"/>
  <c r="I39" i="94" s="1"/>
  <c r="H39" i="153"/>
  <c r="H39" i="105"/>
  <c r="H39" i="101"/>
  <c r="I39" i="101" s="1"/>
  <c r="H39" i="93"/>
  <c r="I39" i="93" s="1"/>
  <c r="H39" i="92"/>
  <c r="I39" i="92" s="1"/>
  <c r="H39" i="91"/>
  <c r="I39" i="91" s="1"/>
  <c r="H39" i="145"/>
  <c r="H39" i="90"/>
  <c r="I39" i="90" s="1"/>
  <c r="H39" i="156"/>
  <c r="H39" i="89"/>
  <c r="H39" i="87"/>
  <c r="I39" i="87" s="1"/>
  <c r="H39" i="88"/>
  <c r="I39" i="88" s="1"/>
  <c r="H39" i="86"/>
  <c r="I39" i="86" s="1"/>
  <c r="H39" i="155"/>
  <c r="H39" i="85"/>
  <c r="H39" i="84"/>
  <c r="I39" i="84" s="1"/>
  <c r="H39" i="83"/>
  <c r="I39" i="83" s="1"/>
  <c r="H39" i="82"/>
  <c r="I39" i="82" s="1"/>
  <c r="H39" i="80"/>
  <c r="I37" i="122"/>
  <c r="H39" i="118"/>
  <c r="H41" i="161"/>
  <c r="H41" i="102"/>
  <c r="I41" i="102" s="1"/>
  <c r="H41" i="103"/>
  <c r="H41" i="100"/>
  <c r="I41" i="100" s="1"/>
  <c r="H41" i="152"/>
  <c r="H41" i="104"/>
  <c r="H41" i="106"/>
  <c r="I41" i="106" s="1"/>
  <c r="H41" i="107"/>
  <c r="I41" i="107" s="1"/>
  <c r="H41" i="99"/>
  <c r="H41" i="110"/>
  <c r="H41" i="150"/>
  <c r="H41" i="112"/>
  <c r="H41" i="149"/>
  <c r="H41" i="148"/>
  <c r="H41" i="113"/>
  <c r="H41" i="146"/>
  <c r="H41" i="141"/>
  <c r="H41" i="147"/>
  <c r="H41" i="98"/>
  <c r="H41" i="151"/>
  <c r="H41" i="97"/>
  <c r="H41" i="143"/>
  <c r="H41" i="142"/>
  <c r="H41" i="154"/>
  <c r="H41" i="117"/>
  <c r="H41" i="144"/>
  <c r="H41" i="116"/>
  <c r="I41" i="116" s="1"/>
  <c r="H41" i="96"/>
  <c r="I41" i="96" s="1"/>
  <c r="H41" i="111"/>
  <c r="H41" i="95"/>
  <c r="I41" i="95" s="1"/>
  <c r="H41" i="109"/>
  <c r="H41" i="108"/>
  <c r="H41" i="94"/>
  <c r="H41" i="153"/>
  <c r="H41" i="105"/>
  <c r="H41" i="101"/>
  <c r="I41" i="101" s="1"/>
  <c r="H41" i="93"/>
  <c r="H41" i="92"/>
  <c r="H41" i="91"/>
  <c r="H41" i="145"/>
  <c r="H41" i="90"/>
  <c r="H41" i="156"/>
  <c r="H41" i="89"/>
  <c r="H41" i="87"/>
  <c r="H41" i="88"/>
  <c r="H41" i="86"/>
  <c r="I41" i="86" s="1"/>
  <c r="H41" i="155"/>
  <c r="H41" i="85"/>
  <c r="H41" i="84"/>
  <c r="H41" i="83"/>
  <c r="H41" i="82"/>
  <c r="I41" i="82" s="1"/>
  <c r="H41" i="80"/>
  <c r="I39" i="122"/>
  <c r="H41" i="118"/>
  <c r="H42" i="161"/>
  <c r="H42" i="102"/>
  <c r="H42" i="103"/>
  <c r="I42" i="103" s="1"/>
  <c r="H42" i="100"/>
  <c r="H42" i="152"/>
  <c r="H42" i="104"/>
  <c r="I42" i="104" s="1"/>
  <c r="H42" i="106"/>
  <c r="I42" i="106" s="1"/>
  <c r="H42" i="107"/>
  <c r="I42" i="107" s="1"/>
  <c r="H42" i="99"/>
  <c r="H42" i="110"/>
  <c r="H42" i="150"/>
  <c r="H42" i="112"/>
  <c r="I42" i="112" s="1"/>
  <c r="H42" i="149"/>
  <c r="H42" i="148"/>
  <c r="H42" i="113"/>
  <c r="H42" i="146"/>
  <c r="H42" i="141"/>
  <c r="H42" i="147"/>
  <c r="H42" i="98"/>
  <c r="H42" i="151"/>
  <c r="H42" i="97"/>
  <c r="H42" i="143"/>
  <c r="H42" i="142"/>
  <c r="H42" i="154"/>
  <c r="H42" i="117"/>
  <c r="H42" i="144"/>
  <c r="H42" i="116"/>
  <c r="I42" i="116" s="1"/>
  <c r="H42" i="96"/>
  <c r="I42" i="96" s="1"/>
  <c r="H42" i="111"/>
  <c r="H42" i="95"/>
  <c r="I42" i="95" s="1"/>
  <c r="H42" i="109"/>
  <c r="H42" i="108"/>
  <c r="H42" i="94"/>
  <c r="H42" i="153"/>
  <c r="H42" i="105"/>
  <c r="H42" i="101"/>
  <c r="I42" i="101" s="1"/>
  <c r="H42" i="93"/>
  <c r="H42" i="92"/>
  <c r="H42" i="91"/>
  <c r="I42" i="91" s="1"/>
  <c r="H42" i="145"/>
  <c r="H42" i="90"/>
  <c r="H42" i="156"/>
  <c r="H42" i="89"/>
  <c r="H42" i="87"/>
  <c r="H42" i="88"/>
  <c r="H42" i="86"/>
  <c r="H42" i="155"/>
  <c r="H42" i="85"/>
  <c r="H42" i="84"/>
  <c r="H42" i="83"/>
  <c r="H42" i="82"/>
  <c r="I42" i="82" s="1"/>
  <c r="H42" i="80"/>
  <c r="I40" i="122"/>
  <c r="H42" i="118"/>
  <c r="H47" i="161"/>
  <c r="H47" i="102"/>
  <c r="H47" i="103"/>
  <c r="H47" i="100"/>
  <c r="H47" i="152"/>
  <c r="H47" i="104"/>
  <c r="H47" i="106"/>
  <c r="H47" i="107"/>
  <c r="H47" i="99"/>
  <c r="H47" i="110"/>
  <c r="H47" i="150"/>
  <c r="H47" i="112"/>
  <c r="H47" i="149"/>
  <c r="H47" i="148"/>
  <c r="H47" i="113"/>
  <c r="H47" i="146"/>
  <c r="H47" i="141"/>
  <c r="H47" i="147"/>
  <c r="H47" i="98"/>
  <c r="H47" i="151"/>
  <c r="H47" i="97"/>
  <c r="H47" i="143"/>
  <c r="H47" i="142"/>
  <c r="H47" i="154"/>
  <c r="H47" i="117"/>
  <c r="H47" i="144"/>
  <c r="H47" i="116"/>
  <c r="H47" i="96"/>
  <c r="H47" i="111"/>
  <c r="H47" i="95"/>
  <c r="H47" i="109"/>
  <c r="H47" i="108"/>
  <c r="H47" i="94"/>
  <c r="H47" i="153"/>
  <c r="H47" i="105"/>
  <c r="H47" i="101"/>
  <c r="H47" i="93"/>
  <c r="H47" i="92"/>
  <c r="H47" i="91"/>
  <c r="H47" i="145"/>
  <c r="H47" i="90"/>
  <c r="H47" i="156"/>
  <c r="H47" i="89"/>
  <c r="H47" i="87"/>
  <c r="H47" i="88"/>
  <c r="H47" i="86"/>
  <c r="H47" i="155"/>
  <c r="H47" i="85"/>
  <c r="H47" i="84"/>
  <c r="H47" i="83"/>
  <c r="H47" i="82"/>
  <c r="I7" i="125"/>
  <c r="H47" i="80"/>
  <c r="H47" i="118"/>
  <c r="H48" i="161"/>
  <c r="H48" i="102"/>
  <c r="I48" i="102" s="1"/>
  <c r="H48" i="103"/>
  <c r="I48" i="103" s="1"/>
  <c r="H48" i="100"/>
  <c r="I48" i="100" s="1"/>
  <c r="H48" i="152"/>
  <c r="H48" i="104"/>
  <c r="I48" i="104" s="1"/>
  <c r="H48" i="106"/>
  <c r="I48" i="106" s="1"/>
  <c r="H48" i="107"/>
  <c r="I48" i="107" s="1"/>
  <c r="H48" i="99"/>
  <c r="H48" i="110"/>
  <c r="H48" i="150"/>
  <c r="H48" i="112"/>
  <c r="I48" i="112" s="1"/>
  <c r="H48" i="149"/>
  <c r="H48" i="148"/>
  <c r="H48" i="113"/>
  <c r="H48" i="146"/>
  <c r="H48" i="141"/>
  <c r="H48" i="147"/>
  <c r="H48" i="98"/>
  <c r="H48" i="151"/>
  <c r="H48" i="97"/>
  <c r="H48" i="143"/>
  <c r="H48" i="142"/>
  <c r="H48" i="154"/>
  <c r="H48" i="117"/>
  <c r="I48" i="117" s="1"/>
  <c r="H48" i="144"/>
  <c r="H48" i="116"/>
  <c r="I48" i="116" s="1"/>
  <c r="H48" i="96"/>
  <c r="I48" i="96" s="1"/>
  <c r="H48" i="111"/>
  <c r="H48" i="95"/>
  <c r="I48" i="95" s="1"/>
  <c r="H48" i="109"/>
  <c r="H48" i="108"/>
  <c r="H48" i="94"/>
  <c r="I48" i="94" s="1"/>
  <c r="H48" i="153"/>
  <c r="H48" i="105"/>
  <c r="H48" i="101"/>
  <c r="I48" i="101" s="1"/>
  <c r="H48" i="93"/>
  <c r="I48" i="93" s="1"/>
  <c r="H48" i="92"/>
  <c r="I48" i="92" s="1"/>
  <c r="H48" i="91"/>
  <c r="I48" i="91" s="1"/>
  <c r="H48" i="145"/>
  <c r="H48" i="90"/>
  <c r="I48" i="90" s="1"/>
  <c r="H48" i="156"/>
  <c r="H48" i="89"/>
  <c r="H48" i="87"/>
  <c r="I48" i="87" s="1"/>
  <c r="H48" i="88"/>
  <c r="I48" i="88" s="1"/>
  <c r="H48" i="86"/>
  <c r="I48" i="86" s="1"/>
  <c r="H48" i="155"/>
  <c r="H48" i="85"/>
  <c r="H48" i="84"/>
  <c r="I48" i="84" s="1"/>
  <c r="H48" i="83"/>
  <c r="I48" i="83" s="1"/>
  <c r="I9" i="125"/>
  <c r="H48" i="82"/>
  <c r="I48" i="82" s="1"/>
  <c r="H48" i="80"/>
  <c r="H48" i="118"/>
  <c r="H49" i="161"/>
  <c r="H49" i="102"/>
  <c r="I49" i="102" s="1"/>
  <c r="H49" i="103"/>
  <c r="I49" i="103" s="1"/>
  <c r="H49" i="100"/>
  <c r="I49" i="100" s="1"/>
  <c r="H49" i="152"/>
  <c r="H49" i="104"/>
  <c r="I49" i="104" s="1"/>
  <c r="H49" i="106"/>
  <c r="I49" i="106" s="1"/>
  <c r="H49" i="107"/>
  <c r="I49" i="107" s="1"/>
  <c r="H49" i="99"/>
  <c r="H49" i="110"/>
  <c r="H49" i="150"/>
  <c r="H49" i="112"/>
  <c r="I49" i="112" s="1"/>
  <c r="H49" i="149"/>
  <c r="H49" i="148"/>
  <c r="H49" i="113"/>
  <c r="H49" i="146"/>
  <c r="H49" i="141"/>
  <c r="H49" i="147"/>
  <c r="H49" i="98"/>
  <c r="H49" i="151"/>
  <c r="H49" i="97"/>
  <c r="H49" i="143"/>
  <c r="H49" i="142"/>
  <c r="H49" i="154"/>
  <c r="H49" i="117"/>
  <c r="I49" i="117" s="1"/>
  <c r="H49" i="144"/>
  <c r="H49" i="116"/>
  <c r="I49" i="116" s="1"/>
  <c r="H49" i="96"/>
  <c r="I49" i="96" s="1"/>
  <c r="H49" i="111"/>
  <c r="H49" i="95"/>
  <c r="I49" i="95" s="1"/>
  <c r="H49" i="109"/>
  <c r="H49" i="108"/>
  <c r="H49" i="94"/>
  <c r="I49" i="94" s="1"/>
  <c r="H49" i="153"/>
  <c r="H49" i="105"/>
  <c r="H49" i="101"/>
  <c r="I49" i="101" s="1"/>
  <c r="H49" i="93"/>
  <c r="I49" i="93" s="1"/>
  <c r="H49" i="92"/>
  <c r="I49" i="92" s="1"/>
  <c r="H49" i="91"/>
  <c r="I49" i="91" s="1"/>
  <c r="H49" i="145"/>
  <c r="H49" i="90"/>
  <c r="I49" i="90" s="1"/>
  <c r="H49" i="156"/>
  <c r="H49" i="89"/>
  <c r="H49" i="87"/>
  <c r="I49" i="87" s="1"/>
  <c r="H49" i="88"/>
  <c r="I49" i="88" s="1"/>
  <c r="H49" i="86"/>
  <c r="I49" i="86" s="1"/>
  <c r="H49" i="155"/>
  <c r="H49" i="85"/>
  <c r="H49" i="84"/>
  <c r="I49" i="84" s="1"/>
  <c r="H49" i="83"/>
  <c r="I49" i="83" s="1"/>
  <c r="I10" i="125"/>
  <c r="H49" i="82"/>
  <c r="I49" i="82" s="1"/>
  <c r="H49" i="80"/>
  <c r="H49" i="118"/>
  <c r="H50" i="161"/>
  <c r="H50" i="102"/>
  <c r="H50" i="103"/>
  <c r="H50" i="100"/>
  <c r="H50" i="152"/>
  <c r="H50" i="104"/>
  <c r="H50" i="106"/>
  <c r="H50" i="107"/>
  <c r="H50" i="99"/>
  <c r="H50" i="110"/>
  <c r="H50" i="150"/>
  <c r="H50" i="112"/>
  <c r="H50" i="149"/>
  <c r="H50" i="148"/>
  <c r="H50" i="113"/>
  <c r="H50" i="146"/>
  <c r="H50" i="141"/>
  <c r="H50" i="147"/>
  <c r="H50" i="98"/>
  <c r="H50" i="151"/>
  <c r="H50" i="97"/>
  <c r="H50" i="143"/>
  <c r="H50" i="142"/>
  <c r="H50" i="154"/>
  <c r="H50" i="117"/>
  <c r="H50" i="144"/>
  <c r="H50" i="116"/>
  <c r="H50" i="96"/>
  <c r="H50" i="111"/>
  <c r="H50" i="95"/>
  <c r="H50" i="109"/>
  <c r="H50" i="108"/>
  <c r="H50" i="94"/>
  <c r="H50" i="153"/>
  <c r="H50" i="105"/>
  <c r="H50" i="101"/>
  <c r="H50" i="93"/>
  <c r="H50" i="92"/>
  <c r="H50" i="91"/>
  <c r="H50" i="145"/>
  <c r="H50" i="90"/>
  <c r="H50" i="156"/>
  <c r="H50" i="89"/>
  <c r="H50" i="87"/>
  <c r="H50" i="88"/>
  <c r="H50" i="86"/>
  <c r="H50" i="155"/>
  <c r="H50" i="85"/>
  <c r="H50" i="84"/>
  <c r="H50" i="83"/>
  <c r="I12" i="125"/>
  <c r="H50" i="82"/>
  <c r="H50" i="80"/>
  <c r="H50" i="118"/>
  <c r="H51" i="161"/>
  <c r="H51" i="102"/>
  <c r="I51" i="102" s="1"/>
  <c r="H51" i="103"/>
  <c r="I51" i="103" s="1"/>
  <c r="H51" i="100"/>
  <c r="I51" i="100" s="1"/>
  <c r="H51" i="152"/>
  <c r="H51" i="104"/>
  <c r="I51" i="104" s="1"/>
  <c r="H51" i="106"/>
  <c r="I51" i="106" s="1"/>
  <c r="H51" i="107"/>
  <c r="I51" i="107" s="1"/>
  <c r="H51" i="99"/>
  <c r="H51" i="110"/>
  <c r="H51" i="150"/>
  <c r="H51" i="112"/>
  <c r="I51" i="112" s="1"/>
  <c r="H51" i="149"/>
  <c r="H51" i="148"/>
  <c r="H51" i="113"/>
  <c r="H51" i="146"/>
  <c r="H51" i="141"/>
  <c r="H51" i="147"/>
  <c r="H51" i="98"/>
  <c r="H51" i="151"/>
  <c r="H51" i="97"/>
  <c r="H51" i="143"/>
  <c r="H51" i="142"/>
  <c r="H51" i="154"/>
  <c r="H51" i="117"/>
  <c r="I51" i="117" s="1"/>
  <c r="H51" i="144"/>
  <c r="H51" i="116"/>
  <c r="I51" i="116" s="1"/>
  <c r="H51" i="96"/>
  <c r="I51" i="96" s="1"/>
  <c r="H51" i="111"/>
  <c r="H51" i="95"/>
  <c r="I51" i="95" s="1"/>
  <c r="H51" i="109"/>
  <c r="H51" i="108"/>
  <c r="H51" i="94"/>
  <c r="I51" i="94" s="1"/>
  <c r="H51" i="153"/>
  <c r="H51" i="105"/>
  <c r="H51" i="101"/>
  <c r="I51" i="101" s="1"/>
  <c r="H51" i="93"/>
  <c r="I51" i="93" s="1"/>
  <c r="H51" i="92"/>
  <c r="I51" i="92" s="1"/>
  <c r="H51" i="91"/>
  <c r="I51" i="91" s="1"/>
  <c r="H51" i="145"/>
  <c r="H51" i="90"/>
  <c r="I51" i="90" s="1"/>
  <c r="H51" i="156"/>
  <c r="H51" i="89"/>
  <c r="H51" i="87"/>
  <c r="I51" i="87" s="1"/>
  <c r="H51" i="88"/>
  <c r="I51" i="88" s="1"/>
  <c r="H51" i="86"/>
  <c r="I51" i="86" s="1"/>
  <c r="H51" i="155"/>
  <c r="H51" i="85"/>
  <c r="H51" i="84"/>
  <c r="I51" i="84" s="1"/>
  <c r="H51" i="83"/>
  <c r="I51" i="83" s="1"/>
  <c r="I14" i="125"/>
  <c r="H51" i="82"/>
  <c r="I51" i="82" s="1"/>
  <c r="H51" i="80"/>
  <c r="H51" i="118"/>
  <c r="H52" i="161"/>
  <c r="H52" i="102"/>
  <c r="I52" i="102" s="1"/>
  <c r="H52" i="103"/>
  <c r="I52" i="103" s="1"/>
  <c r="H52" i="100"/>
  <c r="I52" i="100" s="1"/>
  <c r="H52" i="152"/>
  <c r="H52" i="104"/>
  <c r="I52" i="104" s="1"/>
  <c r="H52" i="106"/>
  <c r="I52" i="106" s="1"/>
  <c r="H52" i="107"/>
  <c r="I52" i="107" s="1"/>
  <c r="H52" i="99"/>
  <c r="H52" i="110"/>
  <c r="H52" i="150"/>
  <c r="H52" i="112"/>
  <c r="I52" i="112" s="1"/>
  <c r="H52" i="149"/>
  <c r="H52" i="148"/>
  <c r="H52" i="113"/>
  <c r="H52" i="146"/>
  <c r="H52" i="141"/>
  <c r="H52" i="147"/>
  <c r="H52" i="98"/>
  <c r="H52" i="151"/>
  <c r="H52" i="97"/>
  <c r="H52" i="143"/>
  <c r="H52" i="142"/>
  <c r="H52" i="154"/>
  <c r="H52" i="117"/>
  <c r="I52" i="117" s="1"/>
  <c r="H52" i="144"/>
  <c r="H52" i="116"/>
  <c r="I52" i="116" s="1"/>
  <c r="H52" i="96"/>
  <c r="I52" i="96" s="1"/>
  <c r="H52" i="111"/>
  <c r="H52" i="95"/>
  <c r="I52" i="95" s="1"/>
  <c r="H52" i="109"/>
  <c r="H52" i="108"/>
  <c r="H52" i="94"/>
  <c r="I52" i="94" s="1"/>
  <c r="H52" i="153"/>
  <c r="H52" i="105"/>
  <c r="H52" i="101"/>
  <c r="I52" i="101" s="1"/>
  <c r="H52" i="93"/>
  <c r="I52" i="93" s="1"/>
  <c r="H52" i="92"/>
  <c r="I52" i="92" s="1"/>
  <c r="H52" i="91"/>
  <c r="I52" i="91" s="1"/>
  <c r="H52" i="145"/>
  <c r="H52" i="90"/>
  <c r="I52" i="90" s="1"/>
  <c r="H52" i="156"/>
  <c r="H52" i="89"/>
  <c r="H52" i="87"/>
  <c r="I52" i="87" s="1"/>
  <c r="H52" i="88"/>
  <c r="I52" i="88" s="1"/>
  <c r="H52" i="86"/>
  <c r="I52" i="86" s="1"/>
  <c r="H52" i="155"/>
  <c r="H52" i="85"/>
  <c r="H52" i="84"/>
  <c r="I52" i="84" s="1"/>
  <c r="H52" i="83"/>
  <c r="I52" i="83" s="1"/>
  <c r="I16" i="125"/>
  <c r="H52" i="82"/>
  <c r="I52" i="82" s="1"/>
  <c r="H52" i="80"/>
  <c r="H52" i="118"/>
  <c r="H53" i="161"/>
  <c r="H53" i="102"/>
  <c r="I53" i="102" s="1"/>
  <c r="H53" i="103"/>
  <c r="I53" i="103" s="1"/>
  <c r="H53" i="100"/>
  <c r="I53" i="100" s="1"/>
  <c r="H53" i="152"/>
  <c r="H53" i="104"/>
  <c r="I53" i="104" s="1"/>
  <c r="H53" i="106"/>
  <c r="I53" i="106" s="1"/>
  <c r="H53" i="107"/>
  <c r="I53" i="107" s="1"/>
  <c r="H53" i="99"/>
  <c r="H53" i="110"/>
  <c r="H53" i="150"/>
  <c r="H53" i="112"/>
  <c r="I53" i="112" s="1"/>
  <c r="H53" i="149"/>
  <c r="H53" i="148"/>
  <c r="H53" i="113"/>
  <c r="H53" i="146"/>
  <c r="H53" i="141"/>
  <c r="H53" i="147"/>
  <c r="H53" i="98"/>
  <c r="H53" i="151"/>
  <c r="H53" i="97"/>
  <c r="H53" i="143"/>
  <c r="H53" i="142"/>
  <c r="H53" i="154"/>
  <c r="H53" i="117"/>
  <c r="I53" i="117" s="1"/>
  <c r="H53" i="144"/>
  <c r="H53" i="116"/>
  <c r="I53" i="116" s="1"/>
  <c r="H53" i="96"/>
  <c r="I53" i="96" s="1"/>
  <c r="H53" i="111"/>
  <c r="H53" i="95"/>
  <c r="I53" i="95" s="1"/>
  <c r="H53" i="109"/>
  <c r="H53" i="108"/>
  <c r="H53" i="94"/>
  <c r="I53" i="94" s="1"/>
  <c r="H53" i="153"/>
  <c r="H53" i="105"/>
  <c r="H53" i="101"/>
  <c r="I53" i="101" s="1"/>
  <c r="H53" i="93"/>
  <c r="I53" i="93" s="1"/>
  <c r="H53" i="92"/>
  <c r="I53" i="92" s="1"/>
  <c r="H53" i="91"/>
  <c r="I53" i="91" s="1"/>
  <c r="H53" i="145"/>
  <c r="H53" i="90"/>
  <c r="I53" i="90" s="1"/>
  <c r="H53" i="156"/>
  <c r="H53" i="89"/>
  <c r="H53" i="87"/>
  <c r="I53" i="87" s="1"/>
  <c r="H53" i="88"/>
  <c r="I53" i="88" s="1"/>
  <c r="H53" i="86"/>
  <c r="I53" i="86" s="1"/>
  <c r="H53" i="155"/>
  <c r="H53" i="85"/>
  <c r="H53" i="84"/>
  <c r="I53" i="84" s="1"/>
  <c r="H53" i="83"/>
  <c r="I53" i="83" s="1"/>
  <c r="I18" i="125"/>
  <c r="H53" i="82"/>
  <c r="I53" i="82" s="1"/>
  <c r="H53" i="80"/>
  <c r="H53" i="118"/>
  <c r="H54" i="161"/>
  <c r="H54" i="102"/>
  <c r="I54" i="102" s="1"/>
  <c r="H54" i="103"/>
  <c r="I54" i="103" s="1"/>
  <c r="H54" i="100"/>
  <c r="I54" i="100" s="1"/>
  <c r="H54" i="152"/>
  <c r="H54" i="104"/>
  <c r="I54" i="104" s="1"/>
  <c r="H54" i="106"/>
  <c r="I54" i="106" s="1"/>
  <c r="H54" i="107"/>
  <c r="I54" i="107" s="1"/>
  <c r="H54" i="99"/>
  <c r="H54" i="110"/>
  <c r="H54" i="150"/>
  <c r="H54" i="112"/>
  <c r="I54" i="112" s="1"/>
  <c r="H54" i="149"/>
  <c r="H54" i="148"/>
  <c r="H54" i="113"/>
  <c r="H54" i="146"/>
  <c r="H54" i="141"/>
  <c r="H54" i="147"/>
  <c r="H54" i="98"/>
  <c r="H54" i="151"/>
  <c r="H54" i="97"/>
  <c r="H54" i="143"/>
  <c r="H54" i="142"/>
  <c r="H54" i="154"/>
  <c r="H54" i="117"/>
  <c r="I54" i="117" s="1"/>
  <c r="H54" i="144"/>
  <c r="H54" i="116"/>
  <c r="I54" i="116" s="1"/>
  <c r="H54" i="96"/>
  <c r="I54" i="96" s="1"/>
  <c r="H54" i="111"/>
  <c r="H54" i="95"/>
  <c r="I54" i="95" s="1"/>
  <c r="H54" i="109"/>
  <c r="H54" i="108"/>
  <c r="H54" i="94"/>
  <c r="I54" i="94" s="1"/>
  <c r="H54" i="153"/>
  <c r="H54" i="105"/>
  <c r="H54" i="101"/>
  <c r="I54" i="101" s="1"/>
  <c r="H54" i="93"/>
  <c r="I54" i="93" s="1"/>
  <c r="H54" i="92"/>
  <c r="I54" i="92" s="1"/>
  <c r="H54" i="91"/>
  <c r="I54" i="91" s="1"/>
  <c r="H54" i="145"/>
  <c r="H54" i="90"/>
  <c r="I54" i="90" s="1"/>
  <c r="H54" i="156"/>
  <c r="H54" i="89"/>
  <c r="H54" i="87"/>
  <c r="I54" i="87" s="1"/>
  <c r="H54" i="88"/>
  <c r="I54" i="88" s="1"/>
  <c r="H54" i="86"/>
  <c r="I54" i="86" s="1"/>
  <c r="H54" i="155"/>
  <c r="H54" i="85"/>
  <c r="H54" i="84"/>
  <c r="I54" i="84" s="1"/>
  <c r="H54" i="83"/>
  <c r="I54" i="83" s="1"/>
  <c r="I19" i="125"/>
  <c r="H54" i="82"/>
  <c r="I54" i="82" s="1"/>
  <c r="H54" i="80"/>
  <c r="H54" i="118"/>
  <c r="H55" i="161"/>
  <c r="H55" i="102"/>
  <c r="I55" i="102" s="1"/>
  <c r="H55" i="103"/>
  <c r="I55" i="103" s="1"/>
  <c r="H55" i="100"/>
  <c r="I55" i="100" s="1"/>
  <c r="H55" i="152"/>
  <c r="H55" i="104"/>
  <c r="I55" i="104" s="1"/>
  <c r="H55" i="106"/>
  <c r="I55" i="106" s="1"/>
  <c r="H55" i="107"/>
  <c r="I55" i="107" s="1"/>
  <c r="H55" i="99"/>
  <c r="H55" i="110"/>
  <c r="H55" i="150"/>
  <c r="H55" i="112"/>
  <c r="I55" i="112" s="1"/>
  <c r="H55" i="149"/>
  <c r="H55" i="148"/>
  <c r="H55" i="113"/>
  <c r="H55" i="146"/>
  <c r="H55" i="141"/>
  <c r="H55" i="147"/>
  <c r="H55" i="98"/>
  <c r="H55" i="151"/>
  <c r="H55" i="97"/>
  <c r="H55" i="143"/>
  <c r="H55" i="142"/>
  <c r="H55" i="154"/>
  <c r="H55" i="117"/>
  <c r="I55" i="117" s="1"/>
  <c r="H55" i="144"/>
  <c r="H55" i="116"/>
  <c r="I55" i="116" s="1"/>
  <c r="H55" i="96"/>
  <c r="I55" i="96" s="1"/>
  <c r="H55" i="111"/>
  <c r="H55" i="95"/>
  <c r="I55" i="95" s="1"/>
  <c r="H55" i="109"/>
  <c r="H55" i="108"/>
  <c r="H55" i="94"/>
  <c r="I55" i="94" s="1"/>
  <c r="H55" i="153"/>
  <c r="H55" i="105"/>
  <c r="H55" i="101"/>
  <c r="I55" i="101" s="1"/>
  <c r="H55" i="93"/>
  <c r="I55" i="93" s="1"/>
  <c r="H55" i="92"/>
  <c r="I55" i="92" s="1"/>
  <c r="H55" i="91"/>
  <c r="I55" i="91" s="1"/>
  <c r="H55" i="145"/>
  <c r="H55" i="90"/>
  <c r="I55" i="90" s="1"/>
  <c r="H55" i="156"/>
  <c r="H55" i="89"/>
  <c r="H55" i="87"/>
  <c r="I55" i="87" s="1"/>
  <c r="H55" i="88"/>
  <c r="I55" i="88" s="1"/>
  <c r="H55" i="86"/>
  <c r="I55" i="86" s="1"/>
  <c r="H55" i="155"/>
  <c r="H55" i="85"/>
  <c r="H55" i="84"/>
  <c r="I55" i="84" s="1"/>
  <c r="I21" i="125"/>
  <c r="H55" i="83"/>
  <c r="I55" i="83" s="1"/>
  <c r="H55" i="82"/>
  <c r="I55" i="82" s="1"/>
  <c r="H55" i="80"/>
  <c r="H55" i="118"/>
  <c r="H56" i="161"/>
  <c r="H56" i="102"/>
  <c r="I56" i="102" s="1"/>
  <c r="H56" i="103"/>
  <c r="I56" i="103" s="1"/>
  <c r="H56" i="100"/>
  <c r="I56" i="100" s="1"/>
  <c r="H56" i="152"/>
  <c r="H56" i="104"/>
  <c r="I56" i="104" s="1"/>
  <c r="H56" i="106"/>
  <c r="I56" i="106" s="1"/>
  <c r="H56" i="107"/>
  <c r="I56" i="107" s="1"/>
  <c r="H56" i="99"/>
  <c r="H56" i="110"/>
  <c r="H56" i="150"/>
  <c r="H56" i="112"/>
  <c r="I56" i="112" s="1"/>
  <c r="H56" i="149"/>
  <c r="H56" i="148"/>
  <c r="H56" i="113"/>
  <c r="H56" i="146"/>
  <c r="H56" i="141"/>
  <c r="H56" i="147"/>
  <c r="H56" i="98"/>
  <c r="H56" i="151"/>
  <c r="H56" i="97"/>
  <c r="H56" i="143"/>
  <c r="H56" i="142"/>
  <c r="H56" i="154"/>
  <c r="H56" i="117"/>
  <c r="I56" i="117" s="1"/>
  <c r="H56" i="144"/>
  <c r="H56" i="116"/>
  <c r="I56" i="116" s="1"/>
  <c r="H56" i="96"/>
  <c r="I56" i="96" s="1"/>
  <c r="H56" i="111"/>
  <c r="H56" i="95"/>
  <c r="I56" i="95" s="1"/>
  <c r="H56" i="109"/>
  <c r="H56" i="108"/>
  <c r="H56" i="94"/>
  <c r="I56" i="94" s="1"/>
  <c r="H56" i="153"/>
  <c r="H56" i="105"/>
  <c r="H56" i="101"/>
  <c r="I56" i="101" s="1"/>
  <c r="H56" i="93"/>
  <c r="I56" i="93" s="1"/>
  <c r="H56" i="92"/>
  <c r="I56" i="92" s="1"/>
  <c r="H56" i="91"/>
  <c r="I56" i="91" s="1"/>
  <c r="H56" i="145"/>
  <c r="H56" i="90"/>
  <c r="I56" i="90" s="1"/>
  <c r="H56" i="156"/>
  <c r="H56" i="89"/>
  <c r="H56" i="87"/>
  <c r="I56" i="87" s="1"/>
  <c r="H56" i="88"/>
  <c r="I56" i="88" s="1"/>
  <c r="H56" i="86"/>
  <c r="I56" i="86" s="1"/>
  <c r="H56" i="155"/>
  <c r="H56" i="85"/>
  <c r="H56" i="84"/>
  <c r="I56" i="84" s="1"/>
  <c r="I23" i="125"/>
  <c r="H56" i="83"/>
  <c r="I56" i="83" s="1"/>
  <c r="H56" i="82"/>
  <c r="I56" i="82" s="1"/>
  <c r="H56" i="80"/>
  <c r="H56" i="118"/>
  <c r="H57" i="161"/>
  <c r="H57" i="102"/>
  <c r="I57" i="102" s="1"/>
  <c r="H57" i="103"/>
  <c r="I57" i="103" s="1"/>
  <c r="H57" i="100"/>
  <c r="I57" i="100" s="1"/>
  <c r="H57" i="152"/>
  <c r="H57" i="104"/>
  <c r="I57" i="104" s="1"/>
  <c r="H57" i="106"/>
  <c r="I57" i="106" s="1"/>
  <c r="H57" i="107"/>
  <c r="I57" i="107" s="1"/>
  <c r="H57" i="99"/>
  <c r="H57" i="110"/>
  <c r="H57" i="150"/>
  <c r="H57" i="112"/>
  <c r="I57" i="112" s="1"/>
  <c r="H57" i="149"/>
  <c r="H57" i="148"/>
  <c r="H57" i="113"/>
  <c r="H57" i="146"/>
  <c r="H57" i="141"/>
  <c r="H57" i="147"/>
  <c r="H57" i="98"/>
  <c r="H57" i="151"/>
  <c r="H57" i="97"/>
  <c r="H57" i="143"/>
  <c r="H57" i="142"/>
  <c r="H57" i="154"/>
  <c r="H57" i="117"/>
  <c r="I57" i="117" s="1"/>
  <c r="H57" i="144"/>
  <c r="H57" i="116"/>
  <c r="I57" i="116" s="1"/>
  <c r="H57" i="96"/>
  <c r="I57" i="96" s="1"/>
  <c r="H57" i="111"/>
  <c r="H57" i="95"/>
  <c r="I57" i="95" s="1"/>
  <c r="H57" i="109"/>
  <c r="H57" i="108"/>
  <c r="H57" i="94"/>
  <c r="I57" i="94" s="1"/>
  <c r="H57" i="153"/>
  <c r="H57" i="105"/>
  <c r="H57" i="101"/>
  <c r="I57" i="101" s="1"/>
  <c r="H57" i="93"/>
  <c r="I57" i="93" s="1"/>
  <c r="H57" i="92"/>
  <c r="I57" i="92" s="1"/>
  <c r="H57" i="91"/>
  <c r="I57" i="91" s="1"/>
  <c r="H57" i="145"/>
  <c r="H57" i="90"/>
  <c r="I57" i="90" s="1"/>
  <c r="H57" i="156"/>
  <c r="H57" i="89"/>
  <c r="H57" i="87"/>
  <c r="I57" i="87" s="1"/>
  <c r="H57" i="88"/>
  <c r="I57" i="88" s="1"/>
  <c r="H57" i="86"/>
  <c r="I57" i="86" s="1"/>
  <c r="H57" i="155"/>
  <c r="H57" i="85"/>
  <c r="H57" i="84"/>
  <c r="I57" i="84" s="1"/>
  <c r="I24" i="125"/>
  <c r="H57" i="83"/>
  <c r="I57" i="83" s="1"/>
  <c r="H57" i="82"/>
  <c r="I57" i="82" s="1"/>
  <c r="H57" i="80"/>
  <c r="H57" i="118"/>
  <c r="H44" i="100"/>
  <c r="H44" i="152"/>
  <c r="H44" i="161"/>
  <c r="H44" i="102"/>
  <c r="H44" i="103"/>
  <c r="H44" i="104"/>
  <c r="H44" i="106"/>
  <c r="H44" i="107"/>
  <c r="H44" i="99"/>
  <c r="H44" i="110"/>
  <c r="H44" i="150"/>
  <c r="H44" i="112"/>
  <c r="H44" i="149"/>
  <c r="H44" i="148"/>
  <c r="H44" i="113"/>
  <c r="H44" i="146"/>
  <c r="H44" i="141"/>
  <c r="H44" i="147"/>
  <c r="H44" i="98"/>
  <c r="H44" i="151"/>
  <c r="H44" i="97"/>
  <c r="H44" i="143"/>
  <c r="H44" i="142"/>
  <c r="H44" i="154"/>
  <c r="H44" i="117"/>
  <c r="H44" i="144"/>
  <c r="H44" i="96"/>
  <c r="H44" i="116"/>
  <c r="H44" i="111"/>
  <c r="H44" i="95"/>
  <c r="H44" i="109"/>
  <c r="H44" i="108"/>
  <c r="H44" i="94"/>
  <c r="H44" i="153"/>
  <c r="H44" i="93"/>
  <c r="H44" i="105"/>
  <c r="H44" i="101"/>
  <c r="H44" i="92"/>
  <c r="H44" i="91"/>
  <c r="H44" i="145"/>
  <c r="H44" i="90"/>
  <c r="H44" i="156"/>
  <c r="H44" i="89"/>
  <c r="H44" i="87"/>
  <c r="H44" i="88"/>
  <c r="H44" i="86"/>
  <c r="H44" i="155"/>
  <c r="H44" i="85"/>
  <c r="H44" i="84"/>
  <c r="H44" i="83"/>
  <c r="H44" i="82"/>
  <c r="I4" i="125"/>
  <c r="H44" i="80"/>
  <c r="H44" i="118"/>
  <c r="H45" i="100"/>
  <c r="H45" i="152"/>
  <c r="H45" i="161"/>
  <c r="H45" i="150"/>
  <c r="H45" i="148"/>
  <c r="H45" i="147"/>
  <c r="H45" i="102"/>
  <c r="H45" i="151"/>
  <c r="I45" i="151" s="1"/>
  <c r="H45" i="103"/>
  <c r="H45" i="104"/>
  <c r="H45" i="106"/>
  <c r="H45" i="107"/>
  <c r="H45" i="99"/>
  <c r="H45" i="110"/>
  <c r="H45" i="112"/>
  <c r="H45" i="149"/>
  <c r="H45" i="113"/>
  <c r="H45" i="146"/>
  <c r="H45" i="141"/>
  <c r="H45" i="98"/>
  <c r="H45" i="97"/>
  <c r="H45" i="143"/>
  <c r="H45" i="142"/>
  <c r="H45" i="154"/>
  <c r="H45" i="117"/>
  <c r="H45" i="144"/>
  <c r="H45" i="96"/>
  <c r="H45" i="116"/>
  <c r="H45" i="111"/>
  <c r="H45" i="95"/>
  <c r="H45" i="109"/>
  <c r="H45" i="108"/>
  <c r="H45" i="94"/>
  <c r="H45" i="153"/>
  <c r="H45" i="93"/>
  <c r="H45" i="105"/>
  <c r="H45" i="101"/>
  <c r="H45" i="92"/>
  <c r="H45" i="91"/>
  <c r="H45" i="145"/>
  <c r="H45" i="90"/>
  <c r="H45" i="156"/>
  <c r="H45" i="89"/>
  <c r="H45" i="87"/>
  <c r="H45" i="88"/>
  <c r="H45" i="86"/>
  <c r="H45" i="155"/>
  <c r="H45" i="85"/>
  <c r="H45" i="84"/>
  <c r="H45" i="83"/>
  <c r="H45" i="82"/>
  <c r="I5" i="125"/>
  <c r="H45" i="80"/>
  <c r="H45" i="118"/>
  <c r="H59" i="161"/>
  <c r="H59" i="102"/>
  <c r="I59" i="102" s="1"/>
  <c r="H59" i="103"/>
  <c r="I59" i="103" s="1"/>
  <c r="H59" i="100"/>
  <c r="I59" i="100" s="1"/>
  <c r="H59" i="152"/>
  <c r="H59" i="104"/>
  <c r="I59" i="104" s="1"/>
  <c r="H59" i="106"/>
  <c r="I59" i="106" s="1"/>
  <c r="H59" i="107"/>
  <c r="I59" i="107" s="1"/>
  <c r="H59" i="99"/>
  <c r="H59" i="110"/>
  <c r="H59" i="150"/>
  <c r="H59" i="112"/>
  <c r="I59" i="112" s="1"/>
  <c r="H59" i="149"/>
  <c r="H59" i="148"/>
  <c r="H59" i="113"/>
  <c r="H59" i="146"/>
  <c r="H59" i="141"/>
  <c r="H59" i="147"/>
  <c r="H59" i="98"/>
  <c r="H59" i="151"/>
  <c r="H59" i="97"/>
  <c r="H59" i="143"/>
  <c r="H59" i="142"/>
  <c r="H59" i="154"/>
  <c r="H59" i="117"/>
  <c r="I59" i="117" s="1"/>
  <c r="H59" i="144"/>
  <c r="H59" i="116"/>
  <c r="I59" i="116" s="1"/>
  <c r="H59" i="96"/>
  <c r="I59" i="96" s="1"/>
  <c r="H59" i="111"/>
  <c r="H59" i="95"/>
  <c r="I59" i="95" s="1"/>
  <c r="H59" i="109"/>
  <c r="H59" i="108"/>
  <c r="H59" i="94"/>
  <c r="I59" i="94" s="1"/>
  <c r="H59" i="153"/>
  <c r="H59" i="105"/>
  <c r="H59" i="101"/>
  <c r="H59" i="93"/>
  <c r="I59" i="93" s="1"/>
  <c r="H59" i="92"/>
  <c r="I59" i="92" s="1"/>
  <c r="H59" i="91"/>
  <c r="I59" i="91" s="1"/>
  <c r="H59" i="145"/>
  <c r="H59" i="90"/>
  <c r="I59" i="90" s="1"/>
  <c r="H59" i="156"/>
  <c r="H59" i="89"/>
  <c r="H59" i="87"/>
  <c r="I59" i="87" s="1"/>
  <c r="H59" i="88"/>
  <c r="I59" i="88" s="1"/>
  <c r="H59" i="86"/>
  <c r="I59" i="86" s="1"/>
  <c r="H59" i="155"/>
  <c r="H59" i="85"/>
  <c r="I4" i="130"/>
  <c r="H59" i="84"/>
  <c r="I59" i="84" s="1"/>
  <c r="H59" i="83"/>
  <c r="I59" i="83" s="1"/>
  <c r="H59" i="82"/>
  <c r="I59" i="82" s="1"/>
  <c r="H59" i="80"/>
  <c r="H59" i="118"/>
  <c r="H60" i="161"/>
  <c r="H60" i="102"/>
  <c r="I60" i="102" s="1"/>
  <c r="H60" i="103"/>
  <c r="I60" i="103" s="1"/>
  <c r="H60" i="100"/>
  <c r="I60" i="100" s="1"/>
  <c r="H60" i="152"/>
  <c r="H60" i="104"/>
  <c r="I60" i="104" s="1"/>
  <c r="H60" i="106"/>
  <c r="I60" i="106" s="1"/>
  <c r="H60" i="107"/>
  <c r="I60" i="107" s="1"/>
  <c r="H60" i="99"/>
  <c r="H60" i="110"/>
  <c r="H60" i="150"/>
  <c r="H60" i="112"/>
  <c r="I60" i="112" s="1"/>
  <c r="H60" i="149"/>
  <c r="H60" i="148"/>
  <c r="H60" i="113"/>
  <c r="H60" i="146"/>
  <c r="H60" i="141"/>
  <c r="H60" i="147"/>
  <c r="H60" i="98"/>
  <c r="H60" i="151"/>
  <c r="H60" i="97"/>
  <c r="H60" i="143"/>
  <c r="H60" i="142"/>
  <c r="H60" i="154"/>
  <c r="H60" i="117"/>
  <c r="I60" i="117" s="1"/>
  <c r="H60" i="144"/>
  <c r="H60" i="116"/>
  <c r="I60" i="116" s="1"/>
  <c r="H60" i="96"/>
  <c r="I60" i="96" s="1"/>
  <c r="H60" i="111"/>
  <c r="H60" i="95"/>
  <c r="I60" i="95" s="1"/>
  <c r="H60" i="109"/>
  <c r="H60" i="108"/>
  <c r="H60" i="94"/>
  <c r="I60" i="94" s="1"/>
  <c r="H60" i="153"/>
  <c r="H60" i="105"/>
  <c r="H60" i="101"/>
  <c r="I60" i="101" s="1"/>
  <c r="H60" i="93"/>
  <c r="I60" i="93" s="1"/>
  <c r="H60" i="92"/>
  <c r="I60" i="92" s="1"/>
  <c r="H60" i="91"/>
  <c r="I60" i="91" s="1"/>
  <c r="H60" i="145"/>
  <c r="H60" i="90"/>
  <c r="I60" i="90" s="1"/>
  <c r="H60" i="156"/>
  <c r="H60" i="89"/>
  <c r="H60" i="87"/>
  <c r="I60" i="87" s="1"/>
  <c r="H60" i="88"/>
  <c r="I60" i="88" s="1"/>
  <c r="H60" i="86"/>
  <c r="I60" i="86" s="1"/>
  <c r="H60" i="155"/>
  <c r="H60" i="85"/>
  <c r="I5" i="130"/>
  <c r="H60" i="84"/>
  <c r="I60" i="84" s="1"/>
  <c r="H60" i="83"/>
  <c r="I60" i="83" s="1"/>
  <c r="H60" i="82"/>
  <c r="I60" i="82" s="1"/>
  <c r="H60" i="80"/>
  <c r="H60" i="118"/>
  <c r="H61" i="161"/>
  <c r="H61" i="102"/>
  <c r="I61" i="102" s="1"/>
  <c r="H61" i="103"/>
  <c r="I61" i="103" s="1"/>
  <c r="H61" i="100"/>
  <c r="I61" i="100" s="1"/>
  <c r="H61" i="152"/>
  <c r="H61" i="104"/>
  <c r="I61" i="104" s="1"/>
  <c r="H61" i="106"/>
  <c r="I61" i="106" s="1"/>
  <c r="H61" i="107"/>
  <c r="I61" i="107" s="1"/>
  <c r="H61" i="99"/>
  <c r="H61" i="110"/>
  <c r="H61" i="150"/>
  <c r="H61" i="112"/>
  <c r="I61" i="112" s="1"/>
  <c r="H61" i="149"/>
  <c r="H61" i="148"/>
  <c r="H61" i="113"/>
  <c r="H61" i="146"/>
  <c r="H61" i="141"/>
  <c r="H61" i="147"/>
  <c r="H61" i="98"/>
  <c r="H61" i="151"/>
  <c r="H61" i="97"/>
  <c r="H61" i="143"/>
  <c r="H61" i="142"/>
  <c r="H61" i="154"/>
  <c r="H61" i="117"/>
  <c r="I61" i="117" s="1"/>
  <c r="H61" i="144"/>
  <c r="H61" i="116"/>
  <c r="I61" i="116" s="1"/>
  <c r="H61" i="96"/>
  <c r="I61" i="96" s="1"/>
  <c r="H61" i="111"/>
  <c r="H61" i="95"/>
  <c r="I61" i="95" s="1"/>
  <c r="H61" i="109"/>
  <c r="H61" i="108"/>
  <c r="H61" i="94"/>
  <c r="I61" i="94" s="1"/>
  <c r="H61" i="153"/>
  <c r="H61" i="105"/>
  <c r="H61" i="101"/>
  <c r="I61" i="101" s="1"/>
  <c r="H61" i="93"/>
  <c r="I61" i="93" s="1"/>
  <c r="H61" i="92"/>
  <c r="I61" i="92" s="1"/>
  <c r="H61" i="91"/>
  <c r="I61" i="91" s="1"/>
  <c r="H61" i="145"/>
  <c r="H61" i="90"/>
  <c r="I61" i="90" s="1"/>
  <c r="H61" i="156"/>
  <c r="H61" i="89"/>
  <c r="H61" i="87"/>
  <c r="I61" i="87" s="1"/>
  <c r="H61" i="88"/>
  <c r="I61" i="88" s="1"/>
  <c r="H61" i="86"/>
  <c r="I61" i="86" s="1"/>
  <c r="H61" i="155"/>
  <c r="H61" i="85"/>
  <c r="I6" i="130"/>
  <c r="H61" i="84"/>
  <c r="I61" i="84" s="1"/>
  <c r="H61" i="83"/>
  <c r="I61" i="83" s="1"/>
  <c r="H61" i="82"/>
  <c r="I61" i="82" s="1"/>
  <c r="H61" i="80"/>
  <c r="H61" i="118"/>
  <c r="H62" i="161"/>
  <c r="H62" i="102"/>
  <c r="I62" i="102" s="1"/>
  <c r="H62" i="103"/>
  <c r="I62" i="103" s="1"/>
  <c r="H62" i="100"/>
  <c r="I62" i="100" s="1"/>
  <c r="H62" i="152"/>
  <c r="H62" i="104"/>
  <c r="I62" i="104" s="1"/>
  <c r="H62" i="106"/>
  <c r="I62" i="106" s="1"/>
  <c r="H62" i="107"/>
  <c r="I62" i="107" s="1"/>
  <c r="H62" i="99"/>
  <c r="H62" i="110"/>
  <c r="H62" i="150"/>
  <c r="H62" i="112"/>
  <c r="I62" i="112" s="1"/>
  <c r="H62" i="149"/>
  <c r="H62" i="148"/>
  <c r="H62" i="113"/>
  <c r="H62" i="146"/>
  <c r="H62" i="141"/>
  <c r="H62" i="147"/>
  <c r="H62" i="98"/>
  <c r="H62" i="151"/>
  <c r="H62" i="97"/>
  <c r="H62" i="143"/>
  <c r="H62" i="142"/>
  <c r="H62" i="154"/>
  <c r="H62" i="117"/>
  <c r="I62" i="117" s="1"/>
  <c r="H62" i="144"/>
  <c r="H62" i="116"/>
  <c r="I62" i="116" s="1"/>
  <c r="H62" i="96"/>
  <c r="I62" i="96" s="1"/>
  <c r="H62" i="111"/>
  <c r="H62" i="95"/>
  <c r="I62" i="95" s="1"/>
  <c r="H62" i="109"/>
  <c r="H62" i="108"/>
  <c r="H62" i="94"/>
  <c r="I62" i="94" s="1"/>
  <c r="H62" i="153"/>
  <c r="H62" i="105"/>
  <c r="H62" i="101"/>
  <c r="I62" i="101" s="1"/>
  <c r="H62" i="93"/>
  <c r="I62" i="93" s="1"/>
  <c r="H62" i="92"/>
  <c r="I62" i="92" s="1"/>
  <c r="H62" i="91"/>
  <c r="I62" i="91" s="1"/>
  <c r="H62" i="145"/>
  <c r="H62" i="90"/>
  <c r="I62" i="90" s="1"/>
  <c r="H62" i="156"/>
  <c r="H62" i="89"/>
  <c r="H62" i="87"/>
  <c r="I62" i="87" s="1"/>
  <c r="H62" i="88"/>
  <c r="I62" i="88" s="1"/>
  <c r="H62" i="86"/>
  <c r="I62" i="86" s="1"/>
  <c r="H62" i="155"/>
  <c r="H62" i="85"/>
  <c r="I7" i="130"/>
  <c r="H62" i="84"/>
  <c r="I62" i="84" s="1"/>
  <c r="H62" i="83"/>
  <c r="I62" i="83" s="1"/>
  <c r="H62" i="82"/>
  <c r="I62" i="82" s="1"/>
  <c r="H62" i="80"/>
  <c r="H62" i="118"/>
  <c r="H64" i="161"/>
  <c r="H64" i="102"/>
  <c r="I64" i="102" s="1"/>
  <c r="H64" i="103"/>
  <c r="I64" i="103" s="1"/>
  <c r="H64" i="100"/>
  <c r="I64" i="100" s="1"/>
  <c r="H64" i="152"/>
  <c r="H64" i="104"/>
  <c r="I64" i="104" s="1"/>
  <c r="H64" i="106"/>
  <c r="I64" i="106" s="1"/>
  <c r="H64" i="107"/>
  <c r="I64" i="107" s="1"/>
  <c r="H64" i="99"/>
  <c r="H64" i="110"/>
  <c r="H64" i="150"/>
  <c r="H64" i="112"/>
  <c r="I64" i="112" s="1"/>
  <c r="H64" i="149"/>
  <c r="H64" i="148"/>
  <c r="H64" i="113"/>
  <c r="H64" i="146"/>
  <c r="H64" i="141"/>
  <c r="H64" i="147"/>
  <c r="H64" i="98"/>
  <c r="H64" i="151"/>
  <c r="H64" i="97"/>
  <c r="H64" i="143"/>
  <c r="H64" i="142"/>
  <c r="H64" i="154"/>
  <c r="H64" i="117"/>
  <c r="I64" i="117" s="1"/>
  <c r="H64" i="144"/>
  <c r="H64" i="116"/>
  <c r="I64" i="116" s="1"/>
  <c r="H64" i="96"/>
  <c r="I64" i="96" s="1"/>
  <c r="H64" i="111"/>
  <c r="H64" i="95"/>
  <c r="I64" i="95" s="1"/>
  <c r="H64" i="109"/>
  <c r="H64" i="108"/>
  <c r="H64" i="94"/>
  <c r="I64" i="94" s="1"/>
  <c r="H64" i="153"/>
  <c r="H64" i="105"/>
  <c r="H64" i="101"/>
  <c r="I64" i="101" s="1"/>
  <c r="H64" i="93"/>
  <c r="I64" i="93" s="1"/>
  <c r="H64" i="92"/>
  <c r="I64" i="92" s="1"/>
  <c r="H64" i="91"/>
  <c r="I64" i="91" s="1"/>
  <c r="H64" i="145"/>
  <c r="H64" i="90"/>
  <c r="I64" i="90" s="1"/>
  <c r="H64" i="156"/>
  <c r="H64" i="89"/>
  <c r="H64" i="87"/>
  <c r="I64" i="87" s="1"/>
  <c r="H64" i="88"/>
  <c r="I64" i="88" s="1"/>
  <c r="H64" i="86"/>
  <c r="I64" i="86" s="1"/>
  <c r="H64" i="155"/>
  <c r="H64" i="85"/>
  <c r="I9" i="130"/>
  <c r="H64" i="84"/>
  <c r="I64" i="84" s="1"/>
  <c r="H64" i="83"/>
  <c r="I64" i="83" s="1"/>
  <c r="H64" i="82"/>
  <c r="I64" i="82" s="1"/>
  <c r="H64" i="80"/>
  <c r="H64" i="118"/>
  <c r="H65" i="161"/>
  <c r="H65" i="102"/>
  <c r="I65" i="102" s="1"/>
  <c r="H65" i="103"/>
  <c r="I65" i="103" s="1"/>
  <c r="H65" i="100"/>
  <c r="I65" i="100" s="1"/>
  <c r="H65" i="152"/>
  <c r="H65" i="104"/>
  <c r="I65" i="104" s="1"/>
  <c r="H65" i="106"/>
  <c r="I65" i="106" s="1"/>
  <c r="H65" i="107"/>
  <c r="I65" i="107" s="1"/>
  <c r="H65" i="99"/>
  <c r="H65" i="110"/>
  <c r="H65" i="150"/>
  <c r="H65" i="112"/>
  <c r="I65" i="112" s="1"/>
  <c r="H65" i="149"/>
  <c r="H65" i="148"/>
  <c r="H65" i="113"/>
  <c r="H65" i="146"/>
  <c r="H65" i="141"/>
  <c r="H65" i="147"/>
  <c r="H65" i="98"/>
  <c r="H65" i="151"/>
  <c r="H65" i="97"/>
  <c r="H65" i="143"/>
  <c r="H65" i="142"/>
  <c r="H65" i="154"/>
  <c r="H65" i="117"/>
  <c r="I65" i="117" s="1"/>
  <c r="H65" i="144"/>
  <c r="H65" i="116"/>
  <c r="I65" i="116" s="1"/>
  <c r="H65" i="96"/>
  <c r="I65" i="96" s="1"/>
  <c r="H65" i="111"/>
  <c r="H65" i="95"/>
  <c r="I65" i="95" s="1"/>
  <c r="H65" i="109"/>
  <c r="H65" i="108"/>
  <c r="H65" i="94"/>
  <c r="I65" i="94" s="1"/>
  <c r="H65" i="153"/>
  <c r="H65" i="105"/>
  <c r="H65" i="101"/>
  <c r="I65" i="101" s="1"/>
  <c r="H65" i="93"/>
  <c r="I65" i="93" s="1"/>
  <c r="H65" i="92"/>
  <c r="I65" i="92" s="1"/>
  <c r="H65" i="91"/>
  <c r="I65" i="91" s="1"/>
  <c r="H65" i="145"/>
  <c r="H65" i="90"/>
  <c r="I65" i="90" s="1"/>
  <c r="H65" i="156"/>
  <c r="H65" i="89"/>
  <c r="H65" i="87"/>
  <c r="I65" i="87" s="1"/>
  <c r="H65" i="88"/>
  <c r="I65" i="88" s="1"/>
  <c r="H65" i="86"/>
  <c r="I65" i="86" s="1"/>
  <c r="H65" i="155"/>
  <c r="H65" i="85"/>
  <c r="I10" i="130"/>
  <c r="H65" i="84"/>
  <c r="I65" i="84" s="1"/>
  <c r="H65" i="83"/>
  <c r="I65" i="83" s="1"/>
  <c r="H65" i="82"/>
  <c r="I65" i="82" s="1"/>
  <c r="H65" i="80"/>
  <c r="H65" i="118"/>
  <c r="H66" i="161"/>
  <c r="H66" i="102"/>
  <c r="I66" i="102" s="1"/>
  <c r="H66" i="103"/>
  <c r="I66" i="103" s="1"/>
  <c r="H66" i="100"/>
  <c r="I66" i="100" s="1"/>
  <c r="H66" i="152"/>
  <c r="H66" i="104"/>
  <c r="I66" i="104" s="1"/>
  <c r="H66" i="106"/>
  <c r="I66" i="106" s="1"/>
  <c r="H66" i="107"/>
  <c r="I66" i="107" s="1"/>
  <c r="H66" i="99"/>
  <c r="H66" i="110"/>
  <c r="H66" i="150"/>
  <c r="H66" i="112"/>
  <c r="I66" i="112" s="1"/>
  <c r="H66" i="149"/>
  <c r="H66" i="148"/>
  <c r="H66" i="113"/>
  <c r="H66" i="146"/>
  <c r="H66" i="141"/>
  <c r="H66" i="147"/>
  <c r="H66" i="98"/>
  <c r="H66" i="151"/>
  <c r="H66" i="97"/>
  <c r="H66" i="143"/>
  <c r="H66" i="142"/>
  <c r="H66" i="154"/>
  <c r="H66" i="117"/>
  <c r="I66" i="117" s="1"/>
  <c r="H66" i="144"/>
  <c r="H66" i="116"/>
  <c r="I66" i="116" s="1"/>
  <c r="H66" i="96"/>
  <c r="I66" i="96" s="1"/>
  <c r="H66" i="111"/>
  <c r="H66" i="95"/>
  <c r="I66" i="95" s="1"/>
  <c r="H66" i="109"/>
  <c r="H66" i="108"/>
  <c r="H66" i="94"/>
  <c r="I66" i="94" s="1"/>
  <c r="H66" i="153"/>
  <c r="H66" i="105"/>
  <c r="H66" i="101"/>
  <c r="I66" i="101" s="1"/>
  <c r="H66" i="93"/>
  <c r="I66" i="93" s="1"/>
  <c r="H66" i="92"/>
  <c r="I66" i="92" s="1"/>
  <c r="H66" i="91"/>
  <c r="I66" i="91" s="1"/>
  <c r="H66" i="145"/>
  <c r="H66" i="90"/>
  <c r="I66" i="90" s="1"/>
  <c r="H66" i="156"/>
  <c r="H66" i="89"/>
  <c r="H66" i="87"/>
  <c r="I66" i="87" s="1"/>
  <c r="H66" i="88"/>
  <c r="I66" i="88" s="1"/>
  <c r="H66" i="86"/>
  <c r="I66" i="86" s="1"/>
  <c r="H66" i="155"/>
  <c r="H66" i="85"/>
  <c r="I11" i="130"/>
  <c r="H66" i="84"/>
  <c r="I66" i="84" s="1"/>
  <c r="H66" i="83"/>
  <c r="I66" i="83" s="1"/>
  <c r="H66" i="82"/>
  <c r="I66" i="82" s="1"/>
  <c r="H66" i="80"/>
  <c r="H66" i="118"/>
  <c r="H67" i="161"/>
  <c r="H67" i="102"/>
  <c r="I67" i="102" s="1"/>
  <c r="H67" i="103"/>
  <c r="I67" i="103" s="1"/>
  <c r="H67" i="100"/>
  <c r="I67" i="100" s="1"/>
  <c r="H67" i="152"/>
  <c r="H67" i="104"/>
  <c r="I67" i="104" s="1"/>
  <c r="H67" i="106"/>
  <c r="I67" i="106" s="1"/>
  <c r="H67" i="107"/>
  <c r="I67" i="107" s="1"/>
  <c r="H67" i="99"/>
  <c r="H67" i="110"/>
  <c r="H67" i="150"/>
  <c r="H67" i="112"/>
  <c r="I67" i="112" s="1"/>
  <c r="H67" i="149"/>
  <c r="H67" i="148"/>
  <c r="H67" i="113"/>
  <c r="H67" i="146"/>
  <c r="H67" i="141"/>
  <c r="H67" i="147"/>
  <c r="H67" i="98"/>
  <c r="H67" i="151"/>
  <c r="H67" i="97"/>
  <c r="H67" i="143"/>
  <c r="H67" i="142"/>
  <c r="H67" i="154"/>
  <c r="H67" i="117"/>
  <c r="I67" i="117" s="1"/>
  <c r="H67" i="144"/>
  <c r="H67" i="116"/>
  <c r="I67" i="116" s="1"/>
  <c r="H67" i="96"/>
  <c r="I67" i="96" s="1"/>
  <c r="H67" i="111"/>
  <c r="H67" i="95"/>
  <c r="I67" i="95" s="1"/>
  <c r="H67" i="109"/>
  <c r="H67" i="108"/>
  <c r="H67" i="94"/>
  <c r="I67" i="94" s="1"/>
  <c r="H67" i="153"/>
  <c r="H67" i="105"/>
  <c r="H67" i="101"/>
  <c r="I67" i="101" s="1"/>
  <c r="H67" i="93"/>
  <c r="I67" i="93" s="1"/>
  <c r="H67" i="92"/>
  <c r="I67" i="92" s="1"/>
  <c r="H67" i="91"/>
  <c r="I67" i="91" s="1"/>
  <c r="H67" i="145"/>
  <c r="H67" i="90"/>
  <c r="I67" i="90" s="1"/>
  <c r="H67" i="156"/>
  <c r="H67" i="89"/>
  <c r="H67" i="87"/>
  <c r="I67" i="87" s="1"/>
  <c r="H67" i="88"/>
  <c r="I67" i="88" s="1"/>
  <c r="H67" i="86"/>
  <c r="I67" i="86" s="1"/>
  <c r="H67" i="155"/>
  <c r="H67" i="85"/>
  <c r="I12" i="130"/>
  <c r="H67" i="84"/>
  <c r="I67" i="84" s="1"/>
  <c r="H67" i="83"/>
  <c r="I67" i="83" s="1"/>
  <c r="H67" i="82"/>
  <c r="I67" i="82" s="1"/>
  <c r="H67" i="80"/>
  <c r="H67" i="118"/>
  <c r="K260" i="135"/>
  <c r="G45" i="80"/>
  <c r="I45" i="80" s="1"/>
  <c r="G46" i="80"/>
  <c r="G45" i="82"/>
  <c r="G46" i="82"/>
  <c r="G46" i="83"/>
  <c r="G45" i="83"/>
  <c r="I45" i="83" s="1"/>
  <c r="G45" i="84"/>
  <c r="I45" i="84" s="1"/>
  <c r="G46" i="84"/>
  <c r="G45" i="86"/>
  <c r="I45" i="86" s="1"/>
  <c r="G46" i="86"/>
  <c r="G45" i="87"/>
  <c r="I45" i="87" s="1"/>
  <c r="G46" i="87"/>
  <c r="G46" i="88"/>
  <c r="G45" i="88"/>
  <c r="I45" i="88" s="1"/>
  <c r="G44" i="88"/>
  <c r="I44" i="88" s="1"/>
  <c r="G45" i="90"/>
  <c r="I45" i="90" s="1"/>
  <c r="G46" i="90"/>
  <c r="G46" i="91"/>
  <c r="G45" i="91"/>
  <c r="I45" i="91" s="1"/>
  <c r="G44" i="91"/>
  <c r="I44" i="91" s="1"/>
  <c r="G46" i="92"/>
  <c r="G45" i="92"/>
  <c r="I45" i="92" s="1"/>
  <c r="G44" i="92"/>
  <c r="I44" i="92" s="1"/>
  <c r="G45" i="93"/>
  <c r="I45" i="93" s="1"/>
  <c r="G46" i="93"/>
  <c r="G46" i="94"/>
  <c r="G45" i="94"/>
  <c r="I45" i="94" s="1"/>
  <c r="G44" i="94"/>
  <c r="I44" i="94" s="1"/>
  <c r="G45" i="95"/>
  <c r="I45" i="95" s="1"/>
  <c r="G46" i="95"/>
  <c r="G45" i="96"/>
  <c r="I45" i="96" s="1"/>
  <c r="G46" i="96"/>
  <c r="G44" i="96"/>
  <c r="I44" i="96" s="1"/>
  <c r="G46" i="102"/>
  <c r="G45" i="102"/>
  <c r="I45" i="102" s="1"/>
  <c r="G44" i="102"/>
  <c r="I44" i="102" s="1"/>
  <c r="G44" i="103"/>
  <c r="I44" i="103" s="1"/>
  <c r="G46" i="103"/>
  <c r="G45" i="103"/>
  <c r="I45" i="103" s="1"/>
  <c r="G46" i="104"/>
  <c r="G45" i="104"/>
  <c r="I45" i="104" s="1"/>
  <c r="G44" i="104"/>
  <c r="I44" i="104" s="1"/>
  <c r="G46" i="106"/>
  <c r="G45" i="106"/>
  <c r="I45" i="106" s="1"/>
  <c r="G44" i="106"/>
  <c r="I44" i="106" s="1"/>
  <c r="G46" i="107"/>
  <c r="G45" i="107"/>
  <c r="I45" i="107" s="1"/>
  <c r="G44" i="107"/>
  <c r="I44" i="107" s="1"/>
  <c r="G45" i="112"/>
  <c r="G44" i="112"/>
  <c r="G46" i="112"/>
  <c r="G44" i="117"/>
  <c r="G45" i="117"/>
  <c r="I45" i="117" s="1"/>
  <c r="G46" i="117"/>
  <c r="G44" i="116"/>
  <c r="G45" i="116"/>
  <c r="I45" i="116" s="1"/>
  <c r="G46" i="116"/>
  <c r="G44" i="111"/>
  <c r="I44" i="111" s="1"/>
  <c r="G45" i="111"/>
  <c r="I45" i="111" s="1"/>
  <c r="G46" i="111"/>
  <c r="G45" i="109"/>
  <c r="I45" i="109" s="1"/>
  <c r="G46" i="109"/>
  <c r="G44" i="101"/>
  <c r="G45" i="101"/>
  <c r="I45" i="101" s="1"/>
  <c r="G46" i="101"/>
  <c r="H56" i="122"/>
  <c r="J56" i="122" s="1"/>
  <c r="J55" i="122" s="1"/>
  <c r="G45" i="153"/>
  <c r="I45" i="153" s="1"/>
  <c r="G46" i="153"/>
  <c r="G45" i="152"/>
  <c r="I45" i="152" s="1"/>
  <c r="G44" i="152"/>
  <c r="I44" i="152" s="1"/>
  <c r="H13" i="130"/>
  <c r="H14" i="130"/>
  <c r="G45" i="155"/>
  <c r="I45" i="155" s="1"/>
  <c r="G46" i="155"/>
  <c r="G45" i="156"/>
  <c r="I45" i="156" s="1"/>
  <c r="G46" i="156"/>
  <c r="G46" i="147"/>
  <c r="G45" i="147"/>
  <c r="I45" i="147" s="1"/>
  <c r="G45" i="146"/>
  <c r="I45" i="146" s="1"/>
  <c r="G46" i="146"/>
  <c r="G46" i="148"/>
  <c r="G45" i="148"/>
  <c r="I45" i="148" s="1"/>
  <c r="G45" i="149"/>
  <c r="I45" i="149" s="1"/>
  <c r="G46" i="149"/>
  <c r="G46" i="150"/>
  <c r="G45" i="150"/>
  <c r="I45" i="150" s="1"/>
  <c r="G45" i="100"/>
  <c r="I45" i="100" s="1"/>
  <c r="G44" i="100"/>
  <c r="I44" i="100" s="1"/>
  <c r="G46" i="141"/>
  <c r="G45" i="141"/>
  <c r="I45" i="141" s="1"/>
  <c r="G44" i="141"/>
  <c r="I44" i="141" s="1"/>
  <c r="G44" i="143"/>
  <c r="G45" i="143"/>
  <c r="I45" i="143" s="1"/>
  <c r="G46" i="143"/>
  <c r="G44" i="142"/>
  <c r="G45" i="142"/>
  <c r="I45" i="142" s="1"/>
  <c r="G46" i="142"/>
  <c r="G44" i="154"/>
  <c r="G45" i="154"/>
  <c r="I45" i="154" s="1"/>
  <c r="G46" i="154"/>
  <c r="G85" i="144"/>
  <c r="G44" i="144"/>
  <c r="G45" i="144"/>
  <c r="I45" i="144" s="1"/>
  <c r="G46" i="144"/>
  <c r="G45" i="105"/>
  <c r="I45" i="105" s="1"/>
  <c r="G46" i="105"/>
  <c r="G45" i="161"/>
  <c r="I45" i="161" s="1"/>
  <c r="G6" i="161"/>
  <c r="I6" i="161" s="1"/>
  <c r="G7" i="161"/>
  <c r="I7" i="161" s="1"/>
  <c r="G8" i="161"/>
  <c r="I8" i="161" s="1"/>
  <c r="G9" i="161"/>
  <c r="I9" i="161" s="1"/>
  <c r="G10" i="161"/>
  <c r="I10" i="161" s="1"/>
  <c r="G13" i="161"/>
  <c r="I13" i="161" s="1"/>
  <c r="G14" i="161"/>
  <c r="I14" i="161" s="1"/>
  <c r="G16" i="161"/>
  <c r="I16" i="161" s="1"/>
  <c r="G18" i="161"/>
  <c r="G19" i="161"/>
  <c r="I19" i="161" s="1"/>
  <c r="G21" i="161"/>
  <c r="I21" i="161" s="1"/>
  <c r="G22" i="161"/>
  <c r="I22" i="161" s="1"/>
  <c r="G23" i="161"/>
  <c r="I23" i="161" s="1"/>
  <c r="G24" i="161"/>
  <c r="I24" i="161" s="1"/>
  <c r="G25" i="161"/>
  <c r="I25" i="161" s="1"/>
  <c r="G26" i="161"/>
  <c r="I26" i="161" s="1"/>
  <c r="G28" i="161"/>
  <c r="I28" i="161" s="1"/>
  <c r="G29" i="161"/>
  <c r="I29" i="161" s="1"/>
  <c r="G30" i="161"/>
  <c r="I30" i="161" s="1"/>
  <c r="G31" i="161"/>
  <c r="I31" i="161" s="1"/>
  <c r="G32" i="161"/>
  <c r="I32" i="161" s="1"/>
  <c r="G33" i="161"/>
  <c r="I33" i="161" s="1"/>
  <c r="G35" i="161"/>
  <c r="I35" i="161" s="1"/>
  <c r="G36" i="161"/>
  <c r="I36" i="161" s="1"/>
  <c r="G37" i="161"/>
  <c r="I37" i="161" s="1"/>
  <c r="G38" i="161"/>
  <c r="I38" i="161" s="1"/>
  <c r="G39" i="161"/>
  <c r="I39" i="161" s="1"/>
  <c r="G41" i="161"/>
  <c r="I41" i="161" s="1"/>
  <c r="G42" i="161"/>
  <c r="I42" i="161" s="1"/>
  <c r="G44" i="161"/>
  <c r="I44" i="161" s="1"/>
  <c r="G46" i="161"/>
  <c r="G47" i="161"/>
  <c r="I47" i="161" s="1"/>
  <c r="G48" i="161"/>
  <c r="I48" i="161" s="1"/>
  <c r="G49" i="161"/>
  <c r="I49" i="161" s="1"/>
  <c r="G50" i="161"/>
  <c r="I50" i="161" s="1"/>
  <c r="G51" i="161"/>
  <c r="I51" i="161" s="1"/>
  <c r="G52" i="161"/>
  <c r="I52" i="161" s="1"/>
  <c r="G53" i="161"/>
  <c r="I53" i="161" s="1"/>
  <c r="G54" i="161"/>
  <c r="I54" i="161" s="1"/>
  <c r="G55" i="161"/>
  <c r="I55" i="161" s="1"/>
  <c r="G56" i="161"/>
  <c r="I56" i="161" s="1"/>
  <c r="G57" i="161"/>
  <c r="I57" i="161" s="1"/>
  <c r="G59" i="161"/>
  <c r="I59" i="161" s="1"/>
  <c r="G60" i="161"/>
  <c r="I60" i="161" s="1"/>
  <c r="G61" i="161"/>
  <c r="I61" i="161" s="1"/>
  <c r="G62" i="161"/>
  <c r="I62" i="161" s="1"/>
  <c r="G64" i="161"/>
  <c r="I64" i="161" s="1"/>
  <c r="G65" i="161"/>
  <c r="I65" i="161" s="1"/>
  <c r="G66" i="161"/>
  <c r="I66" i="161" s="1"/>
  <c r="G67" i="161"/>
  <c r="I67" i="161" s="1"/>
  <c r="G44" i="145"/>
  <c r="I44" i="145" s="1"/>
  <c r="G45" i="145"/>
  <c r="I45" i="145" s="1"/>
  <c r="G46" i="145"/>
  <c r="I45" i="112"/>
  <c r="I44" i="112"/>
  <c r="G46" i="151"/>
  <c r="J513" i="160"/>
  <c r="J497" i="160"/>
  <c r="J484" i="160"/>
  <c r="I39" i="131" s="1"/>
  <c r="J39" i="131" s="1"/>
  <c r="J469" i="160"/>
  <c r="J455" i="160"/>
  <c r="I36" i="131" s="1"/>
  <c r="J36" i="131" s="1"/>
  <c r="J440" i="160"/>
  <c r="J422" i="160"/>
  <c r="J408" i="160"/>
  <c r="I32" i="131" s="1"/>
  <c r="J32" i="131" s="1"/>
  <c r="J391" i="160"/>
  <c r="I30" i="131" s="1"/>
  <c r="J30" i="131" s="1"/>
  <c r="J377" i="160"/>
  <c r="I29" i="131" s="1"/>
  <c r="J29" i="131" s="1"/>
  <c r="J363" i="160"/>
  <c r="I28" i="131" s="1"/>
  <c r="J28" i="131" s="1"/>
  <c r="J348" i="160"/>
  <c r="I27" i="131" s="1"/>
  <c r="J27" i="131" s="1"/>
  <c r="J333" i="160"/>
  <c r="I26" i="131" s="1"/>
  <c r="J26" i="131" s="1"/>
  <c r="J318" i="160"/>
  <c r="I25" i="131" s="1"/>
  <c r="J25" i="131" s="1"/>
  <c r="J303" i="160"/>
  <c r="I24" i="131" s="1"/>
  <c r="J24" i="131" s="1"/>
  <c r="J289" i="160"/>
  <c r="I23" i="131" s="1"/>
  <c r="J23" i="131" s="1"/>
  <c r="J275" i="160"/>
  <c r="I22" i="131" s="1"/>
  <c r="J22" i="131" s="1"/>
  <c r="J261" i="160"/>
  <c r="I21" i="131" s="1"/>
  <c r="J21" i="131" s="1"/>
  <c r="J247" i="160"/>
  <c r="I20" i="131" s="1"/>
  <c r="J20" i="131" s="1"/>
  <c r="J233" i="160"/>
  <c r="I19" i="131" s="1"/>
  <c r="J19" i="131" s="1"/>
  <c r="J219" i="160"/>
  <c r="I18" i="131" s="1"/>
  <c r="J18" i="131" s="1"/>
  <c r="J205" i="160"/>
  <c r="I17" i="131" s="1"/>
  <c r="J17" i="131" s="1"/>
  <c r="J191" i="160"/>
  <c r="I16" i="131" s="1"/>
  <c r="J16" i="131" s="1"/>
  <c r="J176" i="160"/>
  <c r="J161" i="160"/>
  <c r="J146" i="160"/>
  <c r="J131" i="160"/>
  <c r="J113" i="160"/>
  <c r="J95" i="160"/>
  <c r="J77" i="160"/>
  <c r="J59" i="160"/>
  <c r="J41" i="160"/>
  <c r="J23" i="160"/>
  <c r="J5" i="160"/>
  <c r="J209" i="157"/>
  <c r="J188" i="157" s="1"/>
  <c r="G91" i="156"/>
  <c r="G90" i="156"/>
  <c r="G88" i="156"/>
  <c r="G86" i="156"/>
  <c r="G85" i="156"/>
  <c r="G82" i="156"/>
  <c r="G81" i="156"/>
  <c r="G80" i="156"/>
  <c r="G79" i="156"/>
  <c r="G78" i="156"/>
  <c r="G77" i="156"/>
  <c r="G76" i="156"/>
  <c r="G75" i="156"/>
  <c r="G74" i="156"/>
  <c r="G73" i="156"/>
  <c r="G72" i="156"/>
  <c r="G67" i="156"/>
  <c r="I67" i="156" s="1"/>
  <c r="G62" i="156"/>
  <c r="I62" i="156" s="1"/>
  <c r="G57" i="156"/>
  <c r="I57" i="156" s="1"/>
  <c r="G56" i="156"/>
  <c r="I56" i="156" s="1"/>
  <c r="G55" i="156"/>
  <c r="I55" i="156" s="1"/>
  <c r="G54" i="156"/>
  <c r="I54" i="156" s="1"/>
  <c r="G53" i="156"/>
  <c r="I53" i="156" s="1"/>
  <c r="G51" i="156"/>
  <c r="I51" i="156" s="1"/>
  <c r="G50" i="156"/>
  <c r="I50" i="156" s="1"/>
  <c r="G49" i="156"/>
  <c r="I49" i="156" s="1"/>
  <c r="G48" i="156"/>
  <c r="I48" i="156" s="1"/>
  <c r="G47" i="156"/>
  <c r="I47" i="156" s="1"/>
  <c r="G44" i="156"/>
  <c r="I44" i="156" s="1"/>
  <c r="G39" i="156"/>
  <c r="I39" i="156" s="1"/>
  <c r="G38" i="156"/>
  <c r="I38" i="156" s="1"/>
  <c r="G37" i="156"/>
  <c r="I37" i="156" s="1"/>
  <c r="G33" i="156"/>
  <c r="I33" i="156" s="1"/>
  <c r="G32" i="156"/>
  <c r="I32" i="156" s="1"/>
  <c r="G31" i="156"/>
  <c r="I31" i="156" s="1"/>
  <c r="G28" i="156"/>
  <c r="I28" i="156" s="1"/>
  <c r="G26" i="156"/>
  <c r="I26" i="156" s="1"/>
  <c r="G25" i="156"/>
  <c r="I25" i="156" s="1"/>
  <c r="G24" i="156"/>
  <c r="I24" i="156" s="1"/>
  <c r="G23" i="156"/>
  <c r="I23" i="156" s="1"/>
  <c r="G22" i="156"/>
  <c r="I22" i="156" s="1"/>
  <c r="G21" i="156"/>
  <c r="I21" i="156" s="1"/>
  <c r="G19" i="156"/>
  <c r="I19" i="156" s="1"/>
  <c r="G18" i="156"/>
  <c r="G16" i="156"/>
  <c r="I16" i="156" s="1"/>
  <c r="G10" i="156"/>
  <c r="I10" i="156" s="1"/>
  <c r="G9" i="156"/>
  <c r="I9" i="156" s="1"/>
  <c r="G7" i="156"/>
  <c r="I7" i="156" s="1"/>
  <c r="G6" i="156"/>
  <c r="I6" i="156" s="1"/>
  <c r="G8" i="156"/>
  <c r="I8" i="156" s="1"/>
  <c r="E41" i="156"/>
  <c r="G41" i="156" s="1"/>
  <c r="I41" i="156" s="1"/>
  <c r="G13" i="156"/>
  <c r="I13" i="156" s="1"/>
  <c r="E42" i="156"/>
  <c r="G42" i="156" s="1"/>
  <c r="I42" i="156" s="1"/>
  <c r="G14" i="156"/>
  <c r="I14" i="156" s="1"/>
  <c r="G29" i="156"/>
  <c r="I29" i="156" s="1"/>
  <c r="G30" i="156"/>
  <c r="I30" i="156" s="1"/>
  <c r="G35" i="156"/>
  <c r="I35" i="156" s="1"/>
  <c r="G36" i="156"/>
  <c r="I36" i="156" s="1"/>
  <c r="G52" i="156"/>
  <c r="I52" i="156" s="1"/>
  <c r="G59" i="156"/>
  <c r="I59" i="156" s="1"/>
  <c r="G60" i="156"/>
  <c r="I60" i="156" s="1"/>
  <c r="G61" i="156"/>
  <c r="I61" i="156" s="1"/>
  <c r="G64" i="156"/>
  <c r="I64" i="156" s="1"/>
  <c r="G65" i="156"/>
  <c r="I65" i="156" s="1"/>
  <c r="G66" i="156"/>
  <c r="I66" i="156" s="1"/>
  <c r="G91" i="155"/>
  <c r="G90" i="155"/>
  <c r="G88" i="155"/>
  <c r="G86" i="155"/>
  <c r="G85" i="155"/>
  <c r="G82" i="155"/>
  <c r="G81" i="155"/>
  <c r="G80" i="155"/>
  <c r="G79" i="155"/>
  <c r="G78" i="155"/>
  <c r="G77" i="155"/>
  <c r="G76" i="155"/>
  <c r="G75" i="155"/>
  <c r="G74" i="155"/>
  <c r="G73" i="155"/>
  <c r="G72" i="155"/>
  <c r="G67" i="155"/>
  <c r="I67" i="155" s="1"/>
  <c r="G66" i="155"/>
  <c r="I66" i="155" s="1"/>
  <c r="G62" i="155"/>
  <c r="I62" i="155" s="1"/>
  <c r="G57" i="155"/>
  <c r="I57" i="155" s="1"/>
  <c r="G56" i="155"/>
  <c r="I56" i="155" s="1"/>
  <c r="G55" i="155"/>
  <c r="I55" i="155" s="1"/>
  <c r="G54" i="155"/>
  <c r="I54" i="155" s="1"/>
  <c r="G53" i="155"/>
  <c r="I53" i="155" s="1"/>
  <c r="G51" i="155"/>
  <c r="I51" i="155" s="1"/>
  <c r="G50" i="155"/>
  <c r="I50" i="155" s="1"/>
  <c r="G49" i="155"/>
  <c r="I49" i="155" s="1"/>
  <c r="G48" i="155"/>
  <c r="I48" i="155" s="1"/>
  <c r="G47" i="155"/>
  <c r="I47" i="155" s="1"/>
  <c r="G44" i="155"/>
  <c r="I44" i="155" s="1"/>
  <c r="G41" i="155"/>
  <c r="I41" i="155" s="1"/>
  <c r="G39" i="155"/>
  <c r="I39" i="155" s="1"/>
  <c r="G38" i="155"/>
  <c r="I38" i="155" s="1"/>
  <c r="G36" i="155"/>
  <c r="I36" i="155" s="1"/>
  <c r="G35" i="155"/>
  <c r="I35" i="155" s="1"/>
  <c r="G33" i="155"/>
  <c r="I33" i="155" s="1"/>
  <c r="G32" i="155"/>
  <c r="I32" i="155" s="1"/>
  <c r="G31" i="155"/>
  <c r="I31" i="155" s="1"/>
  <c r="G28" i="155"/>
  <c r="I28" i="155" s="1"/>
  <c r="G26" i="155"/>
  <c r="I26" i="155" s="1"/>
  <c r="G25" i="155"/>
  <c r="I25" i="155" s="1"/>
  <c r="G24" i="155"/>
  <c r="I24" i="155" s="1"/>
  <c r="G23" i="155"/>
  <c r="I23" i="155" s="1"/>
  <c r="G19" i="155"/>
  <c r="I19" i="155" s="1"/>
  <c r="G18" i="155"/>
  <c r="G16" i="155"/>
  <c r="I16" i="155" s="1"/>
  <c r="G13" i="155"/>
  <c r="I13" i="155" s="1"/>
  <c r="G10" i="155"/>
  <c r="I10" i="155" s="1"/>
  <c r="G9" i="155"/>
  <c r="I9" i="155" s="1"/>
  <c r="G7" i="155"/>
  <c r="I7" i="155" s="1"/>
  <c r="G6" i="155"/>
  <c r="I6" i="155" s="1"/>
  <c r="G8" i="155"/>
  <c r="I8" i="155" s="1"/>
  <c r="E42" i="155"/>
  <c r="G42" i="155" s="1"/>
  <c r="I42" i="155" s="1"/>
  <c r="G14" i="155"/>
  <c r="I14" i="155" s="1"/>
  <c r="G21" i="155"/>
  <c r="I21" i="155" s="1"/>
  <c r="G22" i="155"/>
  <c r="I22" i="155" s="1"/>
  <c r="G29" i="155"/>
  <c r="I29" i="155" s="1"/>
  <c r="G30" i="155"/>
  <c r="I30" i="155" s="1"/>
  <c r="G37" i="155"/>
  <c r="I37" i="155" s="1"/>
  <c r="G52" i="155"/>
  <c r="I52" i="155" s="1"/>
  <c r="G59" i="155"/>
  <c r="I59" i="155" s="1"/>
  <c r="G60" i="155"/>
  <c r="I60" i="155" s="1"/>
  <c r="G61" i="155"/>
  <c r="I61" i="155" s="1"/>
  <c r="G64" i="155"/>
  <c r="I64" i="155" s="1"/>
  <c r="G65" i="155"/>
  <c r="I65" i="155" s="1"/>
  <c r="G91" i="154"/>
  <c r="G90" i="154"/>
  <c r="G88" i="154"/>
  <c r="G86" i="154"/>
  <c r="G85" i="154"/>
  <c r="G82" i="154"/>
  <c r="G81" i="154"/>
  <c r="G80" i="154"/>
  <c r="G79" i="154"/>
  <c r="G78" i="154"/>
  <c r="G77" i="154"/>
  <c r="G76" i="154"/>
  <c r="G75" i="154"/>
  <c r="G74" i="154"/>
  <c r="G73" i="154"/>
  <c r="G72" i="154"/>
  <c r="G67" i="154"/>
  <c r="I67" i="154" s="1"/>
  <c r="G66" i="154"/>
  <c r="I66" i="154" s="1"/>
  <c r="G57" i="154"/>
  <c r="I57" i="154" s="1"/>
  <c r="G56" i="154"/>
  <c r="I56" i="154" s="1"/>
  <c r="G55" i="154"/>
  <c r="I55" i="154" s="1"/>
  <c r="G54" i="154"/>
  <c r="I54" i="154" s="1"/>
  <c r="G53" i="154"/>
  <c r="I53" i="154" s="1"/>
  <c r="G51" i="154"/>
  <c r="I51" i="154" s="1"/>
  <c r="G50" i="154"/>
  <c r="I50" i="154" s="1"/>
  <c r="G49" i="154"/>
  <c r="I49" i="154" s="1"/>
  <c r="G48" i="154"/>
  <c r="I48" i="154" s="1"/>
  <c r="G47" i="154"/>
  <c r="I47" i="154" s="1"/>
  <c r="I44" i="154"/>
  <c r="G39" i="154"/>
  <c r="I39" i="154" s="1"/>
  <c r="G38" i="154"/>
  <c r="I38" i="154" s="1"/>
  <c r="G37" i="154"/>
  <c r="I37" i="154" s="1"/>
  <c r="G33" i="154"/>
  <c r="I33" i="154" s="1"/>
  <c r="G32" i="154"/>
  <c r="I32" i="154" s="1"/>
  <c r="G30" i="154"/>
  <c r="I30" i="154" s="1"/>
  <c r="G28" i="154"/>
  <c r="I28" i="154" s="1"/>
  <c r="G26" i="154"/>
  <c r="I26" i="154" s="1"/>
  <c r="G25" i="154"/>
  <c r="I25" i="154" s="1"/>
  <c r="G24" i="154"/>
  <c r="I24" i="154" s="1"/>
  <c r="G23" i="154"/>
  <c r="I23" i="154" s="1"/>
  <c r="G22" i="154"/>
  <c r="I22" i="154" s="1"/>
  <c r="G21" i="154"/>
  <c r="I21" i="154" s="1"/>
  <c r="G19" i="154"/>
  <c r="I19" i="154" s="1"/>
  <c r="G18" i="154"/>
  <c r="G16" i="154"/>
  <c r="I16" i="154" s="1"/>
  <c r="G10" i="154"/>
  <c r="I10" i="154" s="1"/>
  <c r="G9" i="154"/>
  <c r="I9" i="154" s="1"/>
  <c r="G8" i="154"/>
  <c r="I8" i="154" s="1"/>
  <c r="G6" i="154"/>
  <c r="I6" i="154" s="1"/>
  <c r="G7" i="154"/>
  <c r="I7" i="154" s="1"/>
  <c r="E41" i="154"/>
  <c r="G41" i="154" s="1"/>
  <c r="I41" i="154" s="1"/>
  <c r="G13" i="154"/>
  <c r="I13" i="154" s="1"/>
  <c r="E42" i="154"/>
  <c r="G42" i="154" s="1"/>
  <c r="I42" i="154" s="1"/>
  <c r="G14" i="154"/>
  <c r="I14" i="154" s="1"/>
  <c r="G29" i="154"/>
  <c r="I29" i="154" s="1"/>
  <c r="G31" i="154"/>
  <c r="I31" i="154" s="1"/>
  <c r="G35" i="154"/>
  <c r="I35" i="154" s="1"/>
  <c r="G36" i="154"/>
  <c r="I36" i="154" s="1"/>
  <c r="G52" i="154"/>
  <c r="I52" i="154" s="1"/>
  <c r="G59" i="154"/>
  <c r="I59" i="154" s="1"/>
  <c r="G60" i="154"/>
  <c r="I60" i="154" s="1"/>
  <c r="G61" i="154"/>
  <c r="I61" i="154" s="1"/>
  <c r="G62" i="154"/>
  <c r="I62" i="154" s="1"/>
  <c r="G64" i="154"/>
  <c r="I64" i="154" s="1"/>
  <c r="G65" i="154"/>
  <c r="I65" i="154" s="1"/>
  <c r="G67" i="153"/>
  <c r="I67" i="153" s="1"/>
  <c r="G66" i="153"/>
  <c r="I66" i="153" s="1"/>
  <c r="G65" i="153"/>
  <c r="I65" i="153" s="1"/>
  <c r="G64" i="153"/>
  <c r="I64" i="153" s="1"/>
  <c r="G63" i="153"/>
  <c r="I63" i="153" s="1"/>
  <c r="G62" i="153"/>
  <c r="I62" i="153" s="1"/>
  <c r="G61" i="153"/>
  <c r="I61" i="153" s="1"/>
  <c r="G60" i="153"/>
  <c r="I60" i="153" s="1"/>
  <c r="G59" i="153"/>
  <c r="I59" i="153" s="1"/>
  <c r="G58" i="153"/>
  <c r="I58" i="153" s="1"/>
  <c r="G57" i="153"/>
  <c r="I57" i="153" s="1"/>
  <c r="G56" i="153"/>
  <c r="I56" i="153" s="1"/>
  <c r="G55" i="153"/>
  <c r="I55" i="153" s="1"/>
  <c r="G54" i="153"/>
  <c r="I54" i="153" s="1"/>
  <c r="G53" i="153"/>
  <c r="I53" i="153" s="1"/>
  <c r="G52" i="153"/>
  <c r="I52" i="153" s="1"/>
  <c r="G51" i="153"/>
  <c r="I51" i="153" s="1"/>
  <c r="G50" i="153"/>
  <c r="I50" i="153" s="1"/>
  <c r="G49" i="153"/>
  <c r="I49" i="153" s="1"/>
  <c r="G48" i="153"/>
  <c r="I48" i="153" s="1"/>
  <c r="G47" i="153"/>
  <c r="I47" i="153" s="1"/>
  <c r="G44" i="153"/>
  <c r="I44" i="153" s="1"/>
  <c r="G43" i="153"/>
  <c r="G42" i="153"/>
  <c r="I42" i="153" s="1"/>
  <c r="G41" i="153"/>
  <c r="I41" i="153" s="1"/>
  <c r="G40" i="153"/>
  <c r="G39" i="153"/>
  <c r="I39" i="153" s="1"/>
  <c r="G38" i="153"/>
  <c r="I38" i="153" s="1"/>
  <c r="G37" i="153"/>
  <c r="I37" i="153" s="1"/>
  <c r="G36" i="153"/>
  <c r="I36" i="153" s="1"/>
  <c r="G35" i="153"/>
  <c r="I35" i="153" s="1"/>
  <c r="G34" i="153"/>
  <c r="G33" i="153"/>
  <c r="I33" i="153" s="1"/>
  <c r="G32" i="153"/>
  <c r="I32" i="153" s="1"/>
  <c r="G31" i="153"/>
  <c r="I31" i="153" s="1"/>
  <c r="G30" i="153"/>
  <c r="I30" i="153" s="1"/>
  <c r="G29" i="153"/>
  <c r="I29" i="153" s="1"/>
  <c r="G28" i="153"/>
  <c r="I28" i="153" s="1"/>
  <c r="G26" i="153"/>
  <c r="I26" i="153" s="1"/>
  <c r="G25" i="153"/>
  <c r="I25" i="153" s="1"/>
  <c r="G24" i="153"/>
  <c r="I24" i="153" s="1"/>
  <c r="G23" i="153"/>
  <c r="I23" i="153" s="1"/>
  <c r="G22" i="153"/>
  <c r="I22" i="153" s="1"/>
  <c r="G21" i="153"/>
  <c r="I21" i="153" s="1"/>
  <c r="G19" i="153"/>
  <c r="I19" i="153" s="1"/>
  <c r="G18" i="153"/>
  <c r="G16" i="153"/>
  <c r="I16" i="153" s="1"/>
  <c r="G14" i="153"/>
  <c r="I14" i="153" s="1"/>
  <c r="G13" i="153"/>
  <c r="I13" i="153" s="1"/>
  <c r="G10" i="153"/>
  <c r="I10" i="153" s="1"/>
  <c r="G9" i="153"/>
  <c r="I9" i="153" s="1"/>
  <c r="G8" i="153"/>
  <c r="I8" i="153" s="1"/>
  <c r="G7" i="153"/>
  <c r="I7" i="153" s="1"/>
  <c r="G6" i="153"/>
  <c r="I6" i="153" s="1"/>
  <c r="G67" i="152"/>
  <c r="I67" i="152" s="1"/>
  <c r="G66" i="152"/>
  <c r="I66" i="152" s="1"/>
  <c r="G62" i="152"/>
  <c r="I62" i="152" s="1"/>
  <c r="G51" i="152"/>
  <c r="I51" i="152" s="1"/>
  <c r="G50" i="152"/>
  <c r="I50" i="152" s="1"/>
  <c r="G47" i="152"/>
  <c r="I47" i="152" s="1"/>
  <c r="G41" i="152"/>
  <c r="I41" i="152" s="1"/>
  <c r="G39" i="152"/>
  <c r="I39" i="152" s="1"/>
  <c r="G38" i="152"/>
  <c r="I38" i="152" s="1"/>
  <c r="G37" i="152"/>
  <c r="I37" i="152" s="1"/>
  <c r="G35" i="152"/>
  <c r="I35" i="152" s="1"/>
  <c r="G32" i="152"/>
  <c r="I32" i="152" s="1"/>
  <c r="G31" i="152"/>
  <c r="I31" i="152" s="1"/>
  <c r="G30" i="152"/>
  <c r="I30" i="152" s="1"/>
  <c r="G28" i="152"/>
  <c r="I28" i="152" s="1"/>
  <c r="G26" i="152"/>
  <c r="I26" i="152" s="1"/>
  <c r="G25" i="152"/>
  <c r="I25" i="152" s="1"/>
  <c r="G24" i="152"/>
  <c r="I24" i="152" s="1"/>
  <c r="G23" i="152"/>
  <c r="I23" i="152" s="1"/>
  <c r="G22" i="152"/>
  <c r="I22" i="152" s="1"/>
  <c r="G21" i="152"/>
  <c r="I21" i="152" s="1"/>
  <c r="G19" i="152"/>
  <c r="I19" i="152" s="1"/>
  <c r="G18" i="152"/>
  <c r="G13" i="152"/>
  <c r="I13" i="152" s="1"/>
  <c r="G10" i="152"/>
  <c r="I10" i="152" s="1"/>
  <c r="G9" i="152"/>
  <c r="I9" i="152" s="1"/>
  <c r="G8" i="152"/>
  <c r="I8" i="152" s="1"/>
  <c r="G6" i="152"/>
  <c r="I6" i="152" s="1"/>
  <c r="G7" i="152"/>
  <c r="I7" i="152" s="1"/>
  <c r="E42" i="152"/>
  <c r="G42" i="152" s="1"/>
  <c r="I42" i="152" s="1"/>
  <c r="G14" i="152"/>
  <c r="I14" i="152" s="1"/>
  <c r="G16" i="152"/>
  <c r="I16" i="152" s="1"/>
  <c r="G29" i="152"/>
  <c r="I29" i="152" s="1"/>
  <c r="G33" i="152"/>
  <c r="I33" i="152" s="1"/>
  <c r="G36" i="152"/>
  <c r="I36" i="152" s="1"/>
  <c r="G46" i="152"/>
  <c r="G48" i="152"/>
  <c r="I48" i="152" s="1"/>
  <c r="G49" i="152"/>
  <c r="I49" i="152" s="1"/>
  <c r="G52" i="152"/>
  <c r="I52" i="152" s="1"/>
  <c r="G53" i="152"/>
  <c r="I53" i="152" s="1"/>
  <c r="G54" i="152"/>
  <c r="I54" i="152" s="1"/>
  <c r="G55" i="152"/>
  <c r="I55" i="152" s="1"/>
  <c r="G56" i="152"/>
  <c r="I56" i="152" s="1"/>
  <c r="G57" i="152"/>
  <c r="I57" i="152" s="1"/>
  <c r="G59" i="152"/>
  <c r="I59" i="152" s="1"/>
  <c r="G60" i="152"/>
  <c r="I60" i="152" s="1"/>
  <c r="G61" i="152"/>
  <c r="I61" i="152" s="1"/>
  <c r="G64" i="152"/>
  <c r="I64" i="152" s="1"/>
  <c r="G65" i="152"/>
  <c r="I65" i="152" s="1"/>
  <c r="G67" i="151"/>
  <c r="I67" i="151" s="1"/>
  <c r="G66" i="151"/>
  <c r="I66" i="151" s="1"/>
  <c r="G62" i="151"/>
  <c r="I62" i="151" s="1"/>
  <c r="G51" i="151"/>
  <c r="I51" i="151" s="1"/>
  <c r="G50" i="151"/>
  <c r="I50" i="151" s="1"/>
  <c r="G47" i="151"/>
  <c r="I47" i="151" s="1"/>
  <c r="G39" i="151"/>
  <c r="I39" i="151" s="1"/>
  <c r="G38" i="151"/>
  <c r="I38" i="151" s="1"/>
  <c r="G37" i="151"/>
  <c r="I37" i="151" s="1"/>
  <c r="G32" i="151"/>
  <c r="I32" i="151" s="1"/>
  <c r="G31" i="151"/>
  <c r="I31" i="151" s="1"/>
  <c r="G30" i="151"/>
  <c r="I30" i="151" s="1"/>
  <c r="G28" i="151"/>
  <c r="I28" i="151" s="1"/>
  <c r="G26" i="151"/>
  <c r="I26" i="151" s="1"/>
  <c r="G25" i="151"/>
  <c r="I25" i="151" s="1"/>
  <c r="G24" i="151"/>
  <c r="I24" i="151" s="1"/>
  <c r="G23" i="151"/>
  <c r="I23" i="151" s="1"/>
  <c r="G22" i="151"/>
  <c r="I22" i="151" s="1"/>
  <c r="G21" i="151"/>
  <c r="I21" i="151" s="1"/>
  <c r="G19" i="151"/>
  <c r="I19" i="151" s="1"/>
  <c r="G18" i="151"/>
  <c r="G13" i="151"/>
  <c r="I13" i="151" s="1"/>
  <c r="G8" i="151"/>
  <c r="I8" i="151" s="1"/>
  <c r="G6" i="151"/>
  <c r="I6" i="151" s="1"/>
  <c r="E16" i="151"/>
  <c r="G16" i="151" s="1"/>
  <c r="I16" i="151" s="1"/>
  <c r="G7" i="151"/>
  <c r="I7" i="151" s="1"/>
  <c r="G9" i="151"/>
  <c r="I9" i="151" s="1"/>
  <c r="G10" i="151"/>
  <c r="I10" i="151" s="1"/>
  <c r="E42" i="151"/>
  <c r="G42" i="151" s="1"/>
  <c r="I42" i="151" s="1"/>
  <c r="G14" i="151"/>
  <c r="I14" i="151" s="1"/>
  <c r="G29" i="151"/>
  <c r="I29" i="151" s="1"/>
  <c r="G33" i="151"/>
  <c r="I33" i="151" s="1"/>
  <c r="G35" i="151"/>
  <c r="I35" i="151" s="1"/>
  <c r="G36" i="151"/>
  <c r="I36" i="151" s="1"/>
  <c r="G41" i="151"/>
  <c r="I41" i="151" s="1"/>
  <c r="G44" i="151"/>
  <c r="I44" i="151" s="1"/>
  <c r="G48" i="151"/>
  <c r="I48" i="151" s="1"/>
  <c r="G49" i="151"/>
  <c r="I49" i="151" s="1"/>
  <c r="G52" i="151"/>
  <c r="I52" i="151" s="1"/>
  <c r="G53" i="151"/>
  <c r="I53" i="151" s="1"/>
  <c r="G54" i="151"/>
  <c r="I54" i="151" s="1"/>
  <c r="G55" i="151"/>
  <c r="I55" i="151" s="1"/>
  <c r="G56" i="151"/>
  <c r="I56" i="151" s="1"/>
  <c r="G57" i="151"/>
  <c r="I57" i="151" s="1"/>
  <c r="G59" i="151"/>
  <c r="I59" i="151" s="1"/>
  <c r="G60" i="151"/>
  <c r="I60" i="151" s="1"/>
  <c r="G61" i="151"/>
  <c r="I61" i="151" s="1"/>
  <c r="G64" i="151"/>
  <c r="I64" i="151" s="1"/>
  <c r="G65" i="151"/>
  <c r="I65" i="151" s="1"/>
  <c r="G67" i="150"/>
  <c r="I67" i="150" s="1"/>
  <c r="G66" i="150"/>
  <c r="I66" i="150" s="1"/>
  <c r="G62" i="150"/>
  <c r="I62" i="150" s="1"/>
  <c r="G51" i="150"/>
  <c r="I51" i="150" s="1"/>
  <c r="G50" i="150"/>
  <c r="I50" i="150" s="1"/>
  <c r="G47" i="150"/>
  <c r="I47" i="150" s="1"/>
  <c r="G39" i="150"/>
  <c r="I39" i="150" s="1"/>
  <c r="G38" i="150"/>
  <c r="I38" i="150" s="1"/>
  <c r="G37" i="150"/>
  <c r="I37" i="150" s="1"/>
  <c r="G32" i="150"/>
  <c r="I32" i="150" s="1"/>
  <c r="G31" i="150"/>
  <c r="I31" i="150" s="1"/>
  <c r="G30" i="150"/>
  <c r="I30" i="150" s="1"/>
  <c r="G28" i="150"/>
  <c r="I28" i="150" s="1"/>
  <c r="G26" i="150"/>
  <c r="I26" i="150" s="1"/>
  <c r="G25" i="150"/>
  <c r="I25" i="150" s="1"/>
  <c r="G24" i="150"/>
  <c r="I24" i="150" s="1"/>
  <c r="G23" i="150"/>
  <c r="I23" i="150" s="1"/>
  <c r="G22" i="150"/>
  <c r="I22" i="150" s="1"/>
  <c r="G21" i="150"/>
  <c r="I21" i="150" s="1"/>
  <c r="G19" i="150"/>
  <c r="I19" i="150" s="1"/>
  <c r="G18" i="150"/>
  <c r="G13" i="150"/>
  <c r="I13" i="150" s="1"/>
  <c r="G8" i="150"/>
  <c r="I8" i="150" s="1"/>
  <c r="G6" i="150"/>
  <c r="I6" i="150" s="1"/>
  <c r="G7" i="150"/>
  <c r="I7" i="150" s="1"/>
  <c r="G9" i="150"/>
  <c r="I9" i="150" s="1"/>
  <c r="G10" i="150"/>
  <c r="I10" i="150" s="1"/>
  <c r="E42" i="150"/>
  <c r="G42" i="150" s="1"/>
  <c r="I42" i="150" s="1"/>
  <c r="G14" i="150"/>
  <c r="I14" i="150" s="1"/>
  <c r="G16" i="150"/>
  <c r="I16" i="150" s="1"/>
  <c r="G29" i="150"/>
  <c r="I29" i="150" s="1"/>
  <c r="G33" i="150"/>
  <c r="I33" i="150" s="1"/>
  <c r="G35" i="150"/>
  <c r="I35" i="150" s="1"/>
  <c r="G36" i="150"/>
  <c r="I36" i="150" s="1"/>
  <c r="G41" i="150"/>
  <c r="I41" i="150" s="1"/>
  <c r="G44" i="150"/>
  <c r="I44" i="150" s="1"/>
  <c r="G48" i="150"/>
  <c r="I48" i="150" s="1"/>
  <c r="G49" i="150"/>
  <c r="I49" i="150" s="1"/>
  <c r="G52" i="150"/>
  <c r="I52" i="150" s="1"/>
  <c r="G53" i="150"/>
  <c r="I53" i="150" s="1"/>
  <c r="G54" i="150"/>
  <c r="I54" i="150" s="1"/>
  <c r="G55" i="150"/>
  <c r="I55" i="150" s="1"/>
  <c r="G56" i="150"/>
  <c r="I56" i="150" s="1"/>
  <c r="G57" i="150"/>
  <c r="I57" i="150" s="1"/>
  <c r="G59" i="150"/>
  <c r="I59" i="150" s="1"/>
  <c r="G60" i="150"/>
  <c r="I60" i="150" s="1"/>
  <c r="G61" i="150"/>
  <c r="I61" i="150" s="1"/>
  <c r="G64" i="150"/>
  <c r="I64" i="150" s="1"/>
  <c r="G65" i="150"/>
  <c r="I65" i="150" s="1"/>
  <c r="G67" i="149"/>
  <c r="I67" i="149" s="1"/>
  <c r="G66" i="149"/>
  <c r="I66" i="149" s="1"/>
  <c r="G62" i="149"/>
  <c r="I62" i="149" s="1"/>
  <c r="G51" i="149"/>
  <c r="I51" i="149" s="1"/>
  <c r="G50" i="149"/>
  <c r="I50" i="149" s="1"/>
  <c r="G47" i="149"/>
  <c r="I47" i="149" s="1"/>
  <c r="G39" i="149"/>
  <c r="I39" i="149" s="1"/>
  <c r="G38" i="149"/>
  <c r="I38" i="149" s="1"/>
  <c r="G37" i="149"/>
  <c r="I37" i="149" s="1"/>
  <c r="G32" i="149"/>
  <c r="I32" i="149" s="1"/>
  <c r="G31" i="149"/>
  <c r="I31" i="149" s="1"/>
  <c r="G30" i="149"/>
  <c r="I30" i="149" s="1"/>
  <c r="G28" i="149"/>
  <c r="I28" i="149" s="1"/>
  <c r="G26" i="149"/>
  <c r="I26" i="149" s="1"/>
  <c r="G25" i="149"/>
  <c r="I25" i="149" s="1"/>
  <c r="G24" i="149"/>
  <c r="I24" i="149" s="1"/>
  <c r="G23" i="149"/>
  <c r="I23" i="149" s="1"/>
  <c r="G22" i="149"/>
  <c r="I22" i="149" s="1"/>
  <c r="G21" i="149"/>
  <c r="I21" i="149" s="1"/>
  <c r="G19" i="149"/>
  <c r="I19" i="149" s="1"/>
  <c r="G18" i="149"/>
  <c r="G13" i="149"/>
  <c r="I13" i="149" s="1"/>
  <c r="G8" i="149"/>
  <c r="I8" i="149" s="1"/>
  <c r="G6" i="149"/>
  <c r="I6" i="149" s="1"/>
  <c r="G7" i="149"/>
  <c r="I7" i="149" s="1"/>
  <c r="G9" i="149"/>
  <c r="I9" i="149" s="1"/>
  <c r="G10" i="149"/>
  <c r="I10" i="149" s="1"/>
  <c r="E42" i="149"/>
  <c r="G42" i="149" s="1"/>
  <c r="I42" i="149" s="1"/>
  <c r="G14" i="149"/>
  <c r="I14" i="149" s="1"/>
  <c r="G16" i="149"/>
  <c r="I16" i="149" s="1"/>
  <c r="G29" i="149"/>
  <c r="I29" i="149" s="1"/>
  <c r="G33" i="149"/>
  <c r="I33" i="149" s="1"/>
  <c r="G35" i="149"/>
  <c r="I35" i="149" s="1"/>
  <c r="G36" i="149"/>
  <c r="I36" i="149" s="1"/>
  <c r="G41" i="149"/>
  <c r="I41" i="149" s="1"/>
  <c r="G44" i="149"/>
  <c r="I44" i="149" s="1"/>
  <c r="G48" i="149"/>
  <c r="I48" i="149" s="1"/>
  <c r="G49" i="149"/>
  <c r="I49" i="149" s="1"/>
  <c r="G52" i="149"/>
  <c r="I52" i="149" s="1"/>
  <c r="G53" i="149"/>
  <c r="I53" i="149" s="1"/>
  <c r="G54" i="149"/>
  <c r="I54" i="149" s="1"/>
  <c r="G55" i="149"/>
  <c r="I55" i="149" s="1"/>
  <c r="G56" i="149"/>
  <c r="I56" i="149" s="1"/>
  <c r="G57" i="149"/>
  <c r="I57" i="149" s="1"/>
  <c r="G59" i="149"/>
  <c r="I59" i="149" s="1"/>
  <c r="G60" i="149"/>
  <c r="I60" i="149" s="1"/>
  <c r="G61" i="149"/>
  <c r="I61" i="149" s="1"/>
  <c r="G64" i="149"/>
  <c r="I64" i="149" s="1"/>
  <c r="G65" i="149"/>
  <c r="I65" i="149" s="1"/>
  <c r="G67" i="148"/>
  <c r="I67" i="148" s="1"/>
  <c r="G66" i="148"/>
  <c r="I66" i="148" s="1"/>
  <c r="G62" i="148"/>
  <c r="I62" i="148" s="1"/>
  <c r="G51" i="148"/>
  <c r="I51" i="148" s="1"/>
  <c r="G50" i="148"/>
  <c r="I50" i="148" s="1"/>
  <c r="G47" i="148"/>
  <c r="I47" i="148" s="1"/>
  <c r="G39" i="148"/>
  <c r="I39" i="148" s="1"/>
  <c r="G38" i="148"/>
  <c r="I38" i="148" s="1"/>
  <c r="G37" i="148"/>
  <c r="I37" i="148" s="1"/>
  <c r="G32" i="148"/>
  <c r="I32" i="148" s="1"/>
  <c r="G31" i="148"/>
  <c r="I31" i="148" s="1"/>
  <c r="G30" i="148"/>
  <c r="I30" i="148" s="1"/>
  <c r="G28" i="148"/>
  <c r="I28" i="148" s="1"/>
  <c r="G26" i="148"/>
  <c r="I26" i="148" s="1"/>
  <c r="G25" i="148"/>
  <c r="I25" i="148" s="1"/>
  <c r="G24" i="148"/>
  <c r="I24" i="148" s="1"/>
  <c r="G23" i="148"/>
  <c r="I23" i="148" s="1"/>
  <c r="G22" i="148"/>
  <c r="I22" i="148" s="1"/>
  <c r="G21" i="148"/>
  <c r="I21" i="148" s="1"/>
  <c r="G19" i="148"/>
  <c r="I19" i="148" s="1"/>
  <c r="G18" i="148"/>
  <c r="G13" i="148"/>
  <c r="I13" i="148" s="1"/>
  <c r="G8" i="148"/>
  <c r="I8" i="148" s="1"/>
  <c r="G6" i="148"/>
  <c r="I6" i="148" s="1"/>
  <c r="G7" i="148"/>
  <c r="I7" i="148" s="1"/>
  <c r="G9" i="148"/>
  <c r="I9" i="148" s="1"/>
  <c r="G10" i="148"/>
  <c r="I10" i="148" s="1"/>
  <c r="E42" i="148"/>
  <c r="G42" i="148" s="1"/>
  <c r="I42" i="148" s="1"/>
  <c r="G14" i="148"/>
  <c r="I14" i="148" s="1"/>
  <c r="G16" i="148"/>
  <c r="I16" i="148" s="1"/>
  <c r="G29" i="148"/>
  <c r="I29" i="148" s="1"/>
  <c r="G33" i="148"/>
  <c r="I33" i="148" s="1"/>
  <c r="G35" i="148"/>
  <c r="I35" i="148" s="1"/>
  <c r="G36" i="148"/>
  <c r="I36" i="148" s="1"/>
  <c r="G41" i="148"/>
  <c r="I41" i="148" s="1"/>
  <c r="G44" i="148"/>
  <c r="I44" i="148" s="1"/>
  <c r="G48" i="148"/>
  <c r="I48" i="148" s="1"/>
  <c r="G49" i="148"/>
  <c r="I49" i="148" s="1"/>
  <c r="G52" i="148"/>
  <c r="I52" i="148" s="1"/>
  <c r="G53" i="148"/>
  <c r="I53" i="148" s="1"/>
  <c r="G54" i="148"/>
  <c r="I54" i="148" s="1"/>
  <c r="G55" i="148"/>
  <c r="I55" i="148" s="1"/>
  <c r="G56" i="148"/>
  <c r="I56" i="148" s="1"/>
  <c r="G57" i="148"/>
  <c r="I57" i="148" s="1"/>
  <c r="G59" i="148"/>
  <c r="I59" i="148" s="1"/>
  <c r="G60" i="148"/>
  <c r="I60" i="148" s="1"/>
  <c r="G61" i="148"/>
  <c r="I61" i="148" s="1"/>
  <c r="G64" i="148"/>
  <c r="I64" i="148" s="1"/>
  <c r="G65" i="148"/>
  <c r="I65" i="148" s="1"/>
  <c r="G67" i="147"/>
  <c r="I67" i="147" s="1"/>
  <c r="G66" i="147"/>
  <c r="I66" i="147" s="1"/>
  <c r="G62" i="147"/>
  <c r="I62" i="147" s="1"/>
  <c r="G51" i="147"/>
  <c r="I51" i="147" s="1"/>
  <c r="G50" i="147"/>
  <c r="I50" i="147" s="1"/>
  <c r="G47" i="147"/>
  <c r="I47" i="147" s="1"/>
  <c r="G39" i="147"/>
  <c r="I39" i="147" s="1"/>
  <c r="G38" i="147"/>
  <c r="I38" i="147" s="1"/>
  <c r="G37" i="147"/>
  <c r="I37" i="147" s="1"/>
  <c r="G32" i="147"/>
  <c r="I32" i="147" s="1"/>
  <c r="G31" i="147"/>
  <c r="I31" i="147" s="1"/>
  <c r="G30" i="147"/>
  <c r="I30" i="147" s="1"/>
  <c r="G28" i="147"/>
  <c r="I28" i="147" s="1"/>
  <c r="G26" i="147"/>
  <c r="I26" i="147" s="1"/>
  <c r="G25" i="147"/>
  <c r="I25" i="147" s="1"/>
  <c r="G24" i="147"/>
  <c r="I24" i="147" s="1"/>
  <c r="G23" i="147"/>
  <c r="I23" i="147" s="1"/>
  <c r="G22" i="147"/>
  <c r="I22" i="147" s="1"/>
  <c r="G21" i="147"/>
  <c r="I21" i="147" s="1"/>
  <c r="G19" i="147"/>
  <c r="I19" i="147" s="1"/>
  <c r="G18" i="147"/>
  <c r="G13" i="147"/>
  <c r="I13" i="147" s="1"/>
  <c r="G8" i="147"/>
  <c r="I8" i="147" s="1"/>
  <c r="G6" i="147"/>
  <c r="I6" i="147" s="1"/>
  <c r="G7" i="147"/>
  <c r="I7" i="147" s="1"/>
  <c r="G9" i="147"/>
  <c r="I9" i="147" s="1"/>
  <c r="G10" i="147"/>
  <c r="I10" i="147" s="1"/>
  <c r="E42" i="147"/>
  <c r="G42" i="147" s="1"/>
  <c r="I42" i="147" s="1"/>
  <c r="G14" i="147"/>
  <c r="I14" i="147" s="1"/>
  <c r="G16" i="147"/>
  <c r="I16" i="147" s="1"/>
  <c r="G29" i="147"/>
  <c r="I29" i="147" s="1"/>
  <c r="G33" i="147"/>
  <c r="I33" i="147" s="1"/>
  <c r="G35" i="147"/>
  <c r="I35" i="147" s="1"/>
  <c r="G36" i="147"/>
  <c r="I36" i="147" s="1"/>
  <c r="G41" i="147"/>
  <c r="I41" i="147" s="1"/>
  <c r="G44" i="147"/>
  <c r="I44" i="147" s="1"/>
  <c r="G48" i="147"/>
  <c r="I48" i="147" s="1"/>
  <c r="G49" i="147"/>
  <c r="I49" i="147" s="1"/>
  <c r="G52" i="147"/>
  <c r="I52" i="147" s="1"/>
  <c r="G53" i="147"/>
  <c r="I53" i="147" s="1"/>
  <c r="G54" i="147"/>
  <c r="I54" i="147" s="1"/>
  <c r="G55" i="147"/>
  <c r="I55" i="147" s="1"/>
  <c r="G56" i="147"/>
  <c r="I56" i="147" s="1"/>
  <c r="G57" i="147"/>
  <c r="I57" i="147" s="1"/>
  <c r="G59" i="147"/>
  <c r="I59" i="147" s="1"/>
  <c r="G60" i="147"/>
  <c r="I60" i="147" s="1"/>
  <c r="G61" i="147"/>
  <c r="I61" i="147" s="1"/>
  <c r="G64" i="147"/>
  <c r="I64" i="147" s="1"/>
  <c r="G65" i="147"/>
  <c r="I65" i="147" s="1"/>
  <c r="G67" i="146"/>
  <c r="I67" i="146" s="1"/>
  <c r="G66" i="146"/>
  <c r="I66" i="146" s="1"/>
  <c r="G62" i="146"/>
  <c r="I62" i="146" s="1"/>
  <c r="G51" i="146"/>
  <c r="I51" i="146" s="1"/>
  <c r="G50" i="146"/>
  <c r="I50" i="146" s="1"/>
  <c r="G47" i="146"/>
  <c r="I47" i="146" s="1"/>
  <c r="G39" i="146"/>
  <c r="I39" i="146" s="1"/>
  <c r="G38" i="146"/>
  <c r="I38" i="146" s="1"/>
  <c r="G37" i="146"/>
  <c r="I37" i="146" s="1"/>
  <c r="G32" i="146"/>
  <c r="I32" i="146" s="1"/>
  <c r="G31" i="146"/>
  <c r="I31" i="146" s="1"/>
  <c r="G30" i="146"/>
  <c r="I30" i="146" s="1"/>
  <c r="G28" i="146"/>
  <c r="I28" i="146" s="1"/>
  <c r="G26" i="146"/>
  <c r="I26" i="146" s="1"/>
  <c r="G25" i="146"/>
  <c r="I25" i="146" s="1"/>
  <c r="G24" i="146"/>
  <c r="I24" i="146" s="1"/>
  <c r="G23" i="146"/>
  <c r="I23" i="146" s="1"/>
  <c r="G22" i="146"/>
  <c r="I22" i="146" s="1"/>
  <c r="G21" i="146"/>
  <c r="I21" i="146" s="1"/>
  <c r="G19" i="146"/>
  <c r="I19" i="146" s="1"/>
  <c r="G18" i="146"/>
  <c r="G13" i="146"/>
  <c r="I13" i="146" s="1"/>
  <c r="G8" i="146"/>
  <c r="I8" i="146" s="1"/>
  <c r="G6" i="146"/>
  <c r="I6" i="146" s="1"/>
  <c r="G7" i="146"/>
  <c r="I7" i="146" s="1"/>
  <c r="G9" i="146"/>
  <c r="I9" i="146" s="1"/>
  <c r="G10" i="146"/>
  <c r="I10" i="146" s="1"/>
  <c r="E42" i="146"/>
  <c r="G42" i="146" s="1"/>
  <c r="I42" i="146" s="1"/>
  <c r="G14" i="146"/>
  <c r="I14" i="146" s="1"/>
  <c r="G16" i="146"/>
  <c r="I16" i="146" s="1"/>
  <c r="G29" i="146"/>
  <c r="I29" i="146" s="1"/>
  <c r="G33" i="146"/>
  <c r="I33" i="146" s="1"/>
  <c r="G35" i="146"/>
  <c r="I35" i="146" s="1"/>
  <c r="G36" i="146"/>
  <c r="I36" i="146" s="1"/>
  <c r="G41" i="146"/>
  <c r="I41" i="146" s="1"/>
  <c r="G44" i="146"/>
  <c r="I44" i="146" s="1"/>
  <c r="G48" i="146"/>
  <c r="I48" i="146" s="1"/>
  <c r="G49" i="146"/>
  <c r="I49" i="146" s="1"/>
  <c r="G52" i="146"/>
  <c r="I52" i="146" s="1"/>
  <c r="G53" i="146"/>
  <c r="I53" i="146" s="1"/>
  <c r="G54" i="146"/>
  <c r="I54" i="146" s="1"/>
  <c r="G55" i="146"/>
  <c r="I55" i="146" s="1"/>
  <c r="G56" i="146"/>
  <c r="I56" i="146" s="1"/>
  <c r="G57" i="146"/>
  <c r="I57" i="146" s="1"/>
  <c r="G59" i="146"/>
  <c r="I59" i="146" s="1"/>
  <c r="G60" i="146"/>
  <c r="I60" i="146" s="1"/>
  <c r="G61" i="146"/>
  <c r="I61" i="146" s="1"/>
  <c r="G64" i="146"/>
  <c r="I64" i="146" s="1"/>
  <c r="G65" i="146"/>
  <c r="I65" i="146" s="1"/>
  <c r="G91" i="145"/>
  <c r="G90" i="145"/>
  <c r="G88" i="145"/>
  <c r="G86" i="145"/>
  <c r="G85" i="145"/>
  <c r="G82" i="145"/>
  <c r="G81" i="145"/>
  <c r="G80" i="145"/>
  <c r="G79" i="145"/>
  <c r="G78" i="145"/>
  <c r="G77" i="145"/>
  <c r="G76" i="145"/>
  <c r="G75" i="145"/>
  <c r="G74" i="145"/>
  <c r="G73" i="145"/>
  <c r="G72" i="145"/>
  <c r="G62" i="145"/>
  <c r="I62" i="145" s="1"/>
  <c r="G57" i="145"/>
  <c r="I57" i="145" s="1"/>
  <c r="G56" i="145"/>
  <c r="I56" i="145" s="1"/>
  <c r="G51" i="145"/>
  <c r="I51" i="145" s="1"/>
  <c r="G50" i="145"/>
  <c r="I50" i="145" s="1"/>
  <c r="G49" i="145"/>
  <c r="I49" i="145" s="1"/>
  <c r="G47" i="145"/>
  <c r="I47" i="145" s="1"/>
  <c r="G39" i="145"/>
  <c r="I39" i="145" s="1"/>
  <c r="G38" i="145"/>
  <c r="I38" i="145" s="1"/>
  <c r="G37" i="145"/>
  <c r="I37" i="145" s="1"/>
  <c r="G36" i="145"/>
  <c r="I36" i="145" s="1"/>
  <c r="G33" i="145"/>
  <c r="I33" i="145" s="1"/>
  <c r="G32" i="145"/>
  <c r="I32" i="145" s="1"/>
  <c r="G31" i="145"/>
  <c r="I31" i="145" s="1"/>
  <c r="G28" i="145"/>
  <c r="I28" i="145" s="1"/>
  <c r="G26" i="145"/>
  <c r="I26" i="145" s="1"/>
  <c r="G25" i="145"/>
  <c r="I25" i="145" s="1"/>
  <c r="G24" i="145"/>
  <c r="I24" i="145" s="1"/>
  <c r="G23" i="145"/>
  <c r="I23" i="145" s="1"/>
  <c r="G22" i="145"/>
  <c r="I22" i="145" s="1"/>
  <c r="G21" i="145"/>
  <c r="I21" i="145" s="1"/>
  <c r="G19" i="145"/>
  <c r="I19" i="145" s="1"/>
  <c r="G18" i="145"/>
  <c r="G16" i="145"/>
  <c r="I16" i="145" s="1"/>
  <c r="G10" i="145"/>
  <c r="I10" i="145" s="1"/>
  <c r="G9" i="145"/>
  <c r="I9" i="145" s="1"/>
  <c r="G8" i="145"/>
  <c r="I8" i="145" s="1"/>
  <c r="G6" i="145"/>
  <c r="I6" i="145" s="1"/>
  <c r="G7" i="145"/>
  <c r="I7" i="145" s="1"/>
  <c r="G13" i="145"/>
  <c r="I13" i="145" s="1"/>
  <c r="G14" i="145"/>
  <c r="I14" i="145" s="1"/>
  <c r="G29" i="145"/>
  <c r="I29" i="145" s="1"/>
  <c r="G30" i="145"/>
  <c r="I30" i="145" s="1"/>
  <c r="G35" i="145"/>
  <c r="I35" i="145" s="1"/>
  <c r="G41" i="145"/>
  <c r="I41" i="145" s="1"/>
  <c r="G42" i="145"/>
  <c r="I42" i="145" s="1"/>
  <c r="G48" i="145"/>
  <c r="I48" i="145" s="1"/>
  <c r="G52" i="145"/>
  <c r="I52" i="145" s="1"/>
  <c r="G53" i="145"/>
  <c r="I53" i="145" s="1"/>
  <c r="G54" i="145"/>
  <c r="I54" i="145" s="1"/>
  <c r="G55" i="145"/>
  <c r="I55" i="145" s="1"/>
  <c r="G59" i="145"/>
  <c r="I59" i="145" s="1"/>
  <c r="G60" i="145"/>
  <c r="I60" i="145" s="1"/>
  <c r="G61" i="145"/>
  <c r="I61" i="145" s="1"/>
  <c r="G64" i="145"/>
  <c r="I64" i="145" s="1"/>
  <c r="G65" i="145"/>
  <c r="I65" i="145" s="1"/>
  <c r="G66" i="145"/>
  <c r="I66" i="145" s="1"/>
  <c r="G67" i="145"/>
  <c r="I67" i="145" s="1"/>
  <c r="G91" i="144"/>
  <c r="G90" i="144"/>
  <c r="G88" i="144"/>
  <c r="G86" i="144"/>
  <c r="G82" i="144"/>
  <c r="G81" i="144"/>
  <c r="G80" i="144"/>
  <c r="G79" i="144"/>
  <c r="G78" i="144"/>
  <c r="G77" i="144"/>
  <c r="G76" i="144"/>
  <c r="G75" i="144"/>
  <c r="G74" i="144"/>
  <c r="G73" i="144"/>
  <c r="G72" i="144"/>
  <c r="G67" i="144"/>
  <c r="I67" i="144" s="1"/>
  <c r="G66" i="144"/>
  <c r="I66" i="144" s="1"/>
  <c r="G57" i="144"/>
  <c r="I57" i="144" s="1"/>
  <c r="G56" i="144"/>
  <c r="I56" i="144" s="1"/>
  <c r="G55" i="144"/>
  <c r="I55" i="144" s="1"/>
  <c r="G54" i="144"/>
  <c r="I54" i="144" s="1"/>
  <c r="G53" i="144"/>
  <c r="I53" i="144" s="1"/>
  <c r="G51" i="144"/>
  <c r="I51" i="144" s="1"/>
  <c r="G50" i="144"/>
  <c r="I50" i="144" s="1"/>
  <c r="G49" i="144"/>
  <c r="I49" i="144" s="1"/>
  <c r="G48" i="144"/>
  <c r="I48" i="144" s="1"/>
  <c r="G47" i="144"/>
  <c r="I47" i="144" s="1"/>
  <c r="I44" i="144"/>
  <c r="G39" i="144"/>
  <c r="I39" i="144" s="1"/>
  <c r="G38" i="144"/>
  <c r="I38" i="144" s="1"/>
  <c r="G37" i="144"/>
  <c r="I37" i="144" s="1"/>
  <c r="G33" i="144"/>
  <c r="I33" i="144" s="1"/>
  <c r="G32" i="144"/>
  <c r="I32" i="144" s="1"/>
  <c r="G30" i="144"/>
  <c r="I30" i="144" s="1"/>
  <c r="G28" i="144"/>
  <c r="I28" i="144" s="1"/>
  <c r="G26" i="144"/>
  <c r="I26" i="144" s="1"/>
  <c r="G25" i="144"/>
  <c r="I25" i="144" s="1"/>
  <c r="G24" i="144"/>
  <c r="I24" i="144" s="1"/>
  <c r="G23" i="144"/>
  <c r="I23" i="144" s="1"/>
  <c r="G22" i="144"/>
  <c r="I22" i="144" s="1"/>
  <c r="G21" i="144"/>
  <c r="I21" i="144" s="1"/>
  <c r="G19" i="144"/>
  <c r="I19" i="144" s="1"/>
  <c r="G18" i="144"/>
  <c r="G16" i="144"/>
  <c r="I16" i="144" s="1"/>
  <c r="G10" i="144"/>
  <c r="I10" i="144" s="1"/>
  <c r="G9" i="144"/>
  <c r="I9" i="144" s="1"/>
  <c r="G8" i="144"/>
  <c r="I8" i="144" s="1"/>
  <c r="G6" i="144"/>
  <c r="I6" i="144" s="1"/>
  <c r="G7" i="144"/>
  <c r="I7" i="144" s="1"/>
  <c r="E41" i="144"/>
  <c r="G41" i="144" s="1"/>
  <c r="I41" i="144" s="1"/>
  <c r="G13" i="144"/>
  <c r="I13" i="144" s="1"/>
  <c r="E42" i="144"/>
  <c r="G42" i="144" s="1"/>
  <c r="I42" i="144" s="1"/>
  <c r="G14" i="144"/>
  <c r="I14" i="144" s="1"/>
  <c r="G29" i="144"/>
  <c r="I29" i="144" s="1"/>
  <c r="G31" i="144"/>
  <c r="I31" i="144" s="1"/>
  <c r="G35" i="144"/>
  <c r="I35" i="144" s="1"/>
  <c r="G36" i="144"/>
  <c r="I36" i="144" s="1"/>
  <c r="G52" i="144"/>
  <c r="I52" i="144" s="1"/>
  <c r="G59" i="144"/>
  <c r="I59" i="144" s="1"/>
  <c r="G60" i="144"/>
  <c r="I60" i="144" s="1"/>
  <c r="G61" i="144"/>
  <c r="I61" i="144" s="1"/>
  <c r="G62" i="144"/>
  <c r="I62" i="144" s="1"/>
  <c r="G64" i="144"/>
  <c r="I64" i="144" s="1"/>
  <c r="G65" i="144"/>
  <c r="I65" i="144" s="1"/>
  <c r="G91" i="143"/>
  <c r="G90" i="143"/>
  <c r="G88" i="143"/>
  <c r="G86" i="143"/>
  <c r="G85" i="143"/>
  <c r="G82" i="143"/>
  <c r="G81" i="143"/>
  <c r="G80" i="143"/>
  <c r="G79" i="143"/>
  <c r="G78" i="143"/>
  <c r="G77" i="143"/>
  <c r="G76" i="143"/>
  <c r="G75" i="143"/>
  <c r="G74" i="143"/>
  <c r="G73" i="143"/>
  <c r="G72" i="143"/>
  <c r="G67" i="143"/>
  <c r="I67" i="143" s="1"/>
  <c r="G66" i="143"/>
  <c r="I66" i="143" s="1"/>
  <c r="G57" i="143"/>
  <c r="I57" i="143" s="1"/>
  <c r="G56" i="143"/>
  <c r="I56" i="143" s="1"/>
  <c r="G55" i="143"/>
  <c r="I55" i="143" s="1"/>
  <c r="G54" i="143"/>
  <c r="I54" i="143" s="1"/>
  <c r="G53" i="143"/>
  <c r="I53" i="143" s="1"/>
  <c r="G51" i="143"/>
  <c r="I51" i="143" s="1"/>
  <c r="G50" i="143"/>
  <c r="I50" i="143" s="1"/>
  <c r="G49" i="143"/>
  <c r="I49" i="143" s="1"/>
  <c r="G48" i="143"/>
  <c r="I48" i="143" s="1"/>
  <c r="G47" i="143"/>
  <c r="I47" i="143" s="1"/>
  <c r="I44" i="143"/>
  <c r="G39" i="143"/>
  <c r="I39" i="143" s="1"/>
  <c r="G38" i="143"/>
  <c r="I38" i="143" s="1"/>
  <c r="G37" i="143"/>
  <c r="I37" i="143" s="1"/>
  <c r="G33" i="143"/>
  <c r="I33" i="143" s="1"/>
  <c r="G32" i="143"/>
  <c r="I32" i="143" s="1"/>
  <c r="G30" i="143"/>
  <c r="I30" i="143" s="1"/>
  <c r="G28" i="143"/>
  <c r="I28" i="143" s="1"/>
  <c r="G26" i="143"/>
  <c r="I26" i="143" s="1"/>
  <c r="G25" i="143"/>
  <c r="I25" i="143" s="1"/>
  <c r="G24" i="143"/>
  <c r="I24" i="143" s="1"/>
  <c r="G23" i="143"/>
  <c r="I23" i="143" s="1"/>
  <c r="G22" i="143"/>
  <c r="I22" i="143" s="1"/>
  <c r="G21" i="143"/>
  <c r="I21" i="143" s="1"/>
  <c r="G19" i="143"/>
  <c r="I19" i="143" s="1"/>
  <c r="G18" i="143"/>
  <c r="G16" i="143"/>
  <c r="I16" i="143" s="1"/>
  <c r="G10" i="143"/>
  <c r="I10" i="143" s="1"/>
  <c r="G9" i="143"/>
  <c r="I9" i="143" s="1"/>
  <c r="G8" i="143"/>
  <c r="I8" i="143" s="1"/>
  <c r="G6" i="143"/>
  <c r="I6" i="143" s="1"/>
  <c r="G7" i="143"/>
  <c r="I7" i="143" s="1"/>
  <c r="E41" i="143"/>
  <c r="G41" i="143" s="1"/>
  <c r="I41" i="143" s="1"/>
  <c r="G13" i="143"/>
  <c r="I13" i="143" s="1"/>
  <c r="E42" i="143"/>
  <c r="G42" i="143" s="1"/>
  <c r="I42" i="143" s="1"/>
  <c r="G14" i="143"/>
  <c r="I14" i="143" s="1"/>
  <c r="G29" i="143"/>
  <c r="I29" i="143" s="1"/>
  <c r="G31" i="143"/>
  <c r="I31" i="143" s="1"/>
  <c r="G35" i="143"/>
  <c r="I35" i="143" s="1"/>
  <c r="G36" i="143"/>
  <c r="I36" i="143" s="1"/>
  <c r="G52" i="143"/>
  <c r="I52" i="143" s="1"/>
  <c r="G59" i="143"/>
  <c r="I59" i="143" s="1"/>
  <c r="G60" i="143"/>
  <c r="I60" i="143" s="1"/>
  <c r="G61" i="143"/>
  <c r="I61" i="143" s="1"/>
  <c r="G62" i="143"/>
  <c r="I62" i="143" s="1"/>
  <c r="G64" i="143"/>
  <c r="I64" i="143" s="1"/>
  <c r="G65" i="143"/>
  <c r="I65" i="143" s="1"/>
  <c r="G91" i="142"/>
  <c r="G90" i="142"/>
  <c r="G88" i="142"/>
  <c r="G86" i="142"/>
  <c r="G85" i="142"/>
  <c r="G82" i="142"/>
  <c r="G81" i="142"/>
  <c r="G80" i="142"/>
  <c r="G79" i="142"/>
  <c r="G78" i="142"/>
  <c r="G77" i="142"/>
  <c r="G76" i="142"/>
  <c r="G75" i="142"/>
  <c r="G74" i="142"/>
  <c r="G73" i="142"/>
  <c r="G72" i="142"/>
  <c r="G67" i="142"/>
  <c r="I67" i="142" s="1"/>
  <c r="G66" i="142"/>
  <c r="I66" i="142" s="1"/>
  <c r="G57" i="142"/>
  <c r="I57" i="142" s="1"/>
  <c r="G56" i="142"/>
  <c r="I56" i="142" s="1"/>
  <c r="G55" i="142"/>
  <c r="I55" i="142" s="1"/>
  <c r="G54" i="142"/>
  <c r="I54" i="142" s="1"/>
  <c r="G53" i="142"/>
  <c r="I53" i="142" s="1"/>
  <c r="G51" i="142"/>
  <c r="I51" i="142" s="1"/>
  <c r="G50" i="142"/>
  <c r="I50" i="142" s="1"/>
  <c r="G49" i="142"/>
  <c r="I49" i="142" s="1"/>
  <c r="G48" i="142"/>
  <c r="I48" i="142" s="1"/>
  <c r="G47" i="142"/>
  <c r="I47" i="142" s="1"/>
  <c r="I44" i="142"/>
  <c r="G39" i="142"/>
  <c r="I39" i="142" s="1"/>
  <c r="G38" i="142"/>
  <c r="I38" i="142" s="1"/>
  <c r="G37" i="142"/>
  <c r="I37" i="142" s="1"/>
  <c r="G33" i="142"/>
  <c r="I33" i="142" s="1"/>
  <c r="G32" i="142"/>
  <c r="I32" i="142" s="1"/>
  <c r="G30" i="142"/>
  <c r="I30" i="142" s="1"/>
  <c r="G28" i="142"/>
  <c r="I28" i="142" s="1"/>
  <c r="G26" i="142"/>
  <c r="I26" i="142" s="1"/>
  <c r="G25" i="142"/>
  <c r="I25" i="142" s="1"/>
  <c r="G24" i="142"/>
  <c r="I24" i="142" s="1"/>
  <c r="G23" i="142"/>
  <c r="I23" i="142" s="1"/>
  <c r="G22" i="142"/>
  <c r="I22" i="142" s="1"/>
  <c r="G21" i="142"/>
  <c r="I21" i="142" s="1"/>
  <c r="G19" i="142"/>
  <c r="I19" i="142" s="1"/>
  <c r="G18" i="142"/>
  <c r="G16" i="142"/>
  <c r="I16" i="142" s="1"/>
  <c r="G10" i="142"/>
  <c r="I10" i="142" s="1"/>
  <c r="G9" i="142"/>
  <c r="I9" i="142" s="1"/>
  <c r="G8" i="142"/>
  <c r="I8" i="142" s="1"/>
  <c r="G6" i="142"/>
  <c r="I6" i="142" s="1"/>
  <c r="G7" i="142"/>
  <c r="I7" i="142" s="1"/>
  <c r="E41" i="142"/>
  <c r="G41" i="142" s="1"/>
  <c r="I41" i="142" s="1"/>
  <c r="G13" i="142"/>
  <c r="I13" i="142" s="1"/>
  <c r="E42" i="142"/>
  <c r="G42" i="142" s="1"/>
  <c r="I42" i="142" s="1"/>
  <c r="G14" i="142"/>
  <c r="I14" i="142" s="1"/>
  <c r="G29" i="142"/>
  <c r="I29" i="142" s="1"/>
  <c r="G31" i="142"/>
  <c r="I31" i="142" s="1"/>
  <c r="G35" i="142"/>
  <c r="I35" i="142" s="1"/>
  <c r="G36" i="142"/>
  <c r="I36" i="142" s="1"/>
  <c r="G52" i="142"/>
  <c r="I52" i="142" s="1"/>
  <c r="G59" i="142"/>
  <c r="I59" i="142" s="1"/>
  <c r="G60" i="142"/>
  <c r="I60" i="142" s="1"/>
  <c r="G61" i="142"/>
  <c r="I61" i="142" s="1"/>
  <c r="G62" i="142"/>
  <c r="I62" i="142" s="1"/>
  <c r="G64" i="142"/>
  <c r="I64" i="142" s="1"/>
  <c r="G65" i="142"/>
  <c r="I65" i="142" s="1"/>
  <c r="G91" i="141"/>
  <c r="G90" i="141"/>
  <c r="G88" i="141"/>
  <c r="G86" i="141"/>
  <c r="G85" i="141"/>
  <c r="G82" i="141"/>
  <c r="G81" i="141"/>
  <c r="G80" i="141"/>
  <c r="G79" i="141"/>
  <c r="G78" i="141"/>
  <c r="G77" i="141"/>
  <c r="G76" i="141"/>
  <c r="G75" i="141"/>
  <c r="G74" i="141"/>
  <c r="G73" i="141"/>
  <c r="G72" i="141"/>
  <c r="G67" i="141"/>
  <c r="I67" i="141" s="1"/>
  <c r="G66" i="141"/>
  <c r="I66" i="141" s="1"/>
  <c r="G57" i="141"/>
  <c r="I57" i="141" s="1"/>
  <c r="G56" i="141"/>
  <c r="I56" i="141" s="1"/>
  <c r="G55" i="141"/>
  <c r="I55" i="141" s="1"/>
  <c r="G54" i="141"/>
  <c r="I54" i="141" s="1"/>
  <c r="G53" i="141"/>
  <c r="I53" i="141" s="1"/>
  <c r="G51" i="141"/>
  <c r="I51" i="141" s="1"/>
  <c r="G50" i="141"/>
  <c r="I50" i="141" s="1"/>
  <c r="G49" i="141"/>
  <c r="I49" i="141" s="1"/>
  <c r="G48" i="141"/>
  <c r="I48" i="141" s="1"/>
  <c r="G47" i="141"/>
  <c r="I47" i="141" s="1"/>
  <c r="G39" i="141"/>
  <c r="I39" i="141" s="1"/>
  <c r="G38" i="141"/>
  <c r="I38" i="141" s="1"/>
  <c r="G37" i="141"/>
  <c r="I37" i="141" s="1"/>
  <c r="G33" i="141"/>
  <c r="I33" i="141" s="1"/>
  <c r="G32" i="141"/>
  <c r="I32" i="141" s="1"/>
  <c r="G30" i="141"/>
  <c r="I30" i="141" s="1"/>
  <c r="G28" i="141"/>
  <c r="I28" i="141" s="1"/>
  <c r="G26" i="141"/>
  <c r="I26" i="141" s="1"/>
  <c r="G25" i="141"/>
  <c r="I25" i="141" s="1"/>
  <c r="G24" i="141"/>
  <c r="I24" i="141" s="1"/>
  <c r="G23" i="141"/>
  <c r="I23" i="141" s="1"/>
  <c r="G22" i="141"/>
  <c r="I22" i="141" s="1"/>
  <c r="G21" i="141"/>
  <c r="I21" i="141" s="1"/>
  <c r="G19" i="141"/>
  <c r="I19" i="141" s="1"/>
  <c r="G18" i="141"/>
  <c r="G16" i="141"/>
  <c r="I16" i="141" s="1"/>
  <c r="G10" i="141"/>
  <c r="I10" i="141" s="1"/>
  <c r="G9" i="141"/>
  <c r="I9" i="141" s="1"/>
  <c r="G8" i="141"/>
  <c r="I8" i="141" s="1"/>
  <c r="G6" i="141"/>
  <c r="I6" i="141" s="1"/>
  <c r="G7" i="141"/>
  <c r="I7" i="141" s="1"/>
  <c r="E41" i="141"/>
  <c r="G41" i="141" s="1"/>
  <c r="I41" i="141" s="1"/>
  <c r="G13" i="141"/>
  <c r="I13" i="141" s="1"/>
  <c r="E42" i="141"/>
  <c r="G42" i="141" s="1"/>
  <c r="I42" i="141" s="1"/>
  <c r="G14" i="141"/>
  <c r="I14" i="141" s="1"/>
  <c r="G29" i="141"/>
  <c r="I29" i="141" s="1"/>
  <c r="G31" i="141"/>
  <c r="I31" i="141" s="1"/>
  <c r="G35" i="141"/>
  <c r="I35" i="141" s="1"/>
  <c r="G36" i="141"/>
  <c r="I36" i="141" s="1"/>
  <c r="G52" i="141"/>
  <c r="I52" i="141" s="1"/>
  <c r="G59" i="141"/>
  <c r="I59" i="141" s="1"/>
  <c r="G60" i="141"/>
  <c r="I60" i="141" s="1"/>
  <c r="G61" i="141"/>
  <c r="I61" i="141" s="1"/>
  <c r="G62" i="141"/>
  <c r="I62" i="141" s="1"/>
  <c r="G64" i="141"/>
  <c r="I64" i="141" s="1"/>
  <c r="G65" i="141"/>
  <c r="I65" i="141" s="1"/>
  <c r="J63" i="122"/>
  <c r="J62" i="122" s="1"/>
  <c r="K39" i="124"/>
  <c r="K30" i="124"/>
  <c r="K29" i="124" s="1"/>
  <c r="K202" i="129"/>
  <c r="I21" i="123" s="1"/>
  <c r="K314" i="129"/>
  <c r="I29" i="123" s="1"/>
  <c r="J29" i="123" s="1"/>
  <c r="K298" i="129"/>
  <c r="I28" i="123" s="1"/>
  <c r="J28" i="123" s="1"/>
  <c r="K276" i="129"/>
  <c r="I27" i="123" s="1"/>
  <c r="J27" i="123" s="1"/>
  <c r="J26" i="123" s="1"/>
  <c r="J156" i="129"/>
  <c r="K156" i="129" s="1"/>
  <c r="K158" i="129" s="1"/>
  <c r="K139" i="129" s="1"/>
  <c r="I15" i="123"/>
  <c r="J15" i="123" s="1"/>
  <c r="J14" i="123" s="1"/>
  <c r="H24" i="72"/>
  <c r="H17" i="72"/>
  <c r="I50" i="116"/>
  <c r="I50" i="101"/>
  <c r="I50" i="96"/>
  <c r="I50" i="95"/>
  <c r="I50" i="82"/>
  <c r="I50" i="83"/>
  <c r="I50" i="84"/>
  <c r="I50" i="86"/>
  <c r="I50" i="87"/>
  <c r="I50" i="88"/>
  <c r="I50" i="90"/>
  <c r="I50" i="91"/>
  <c r="I50" i="92"/>
  <c r="I50" i="93"/>
  <c r="I50" i="94"/>
  <c r="I50" i="100"/>
  <c r="I50" i="102"/>
  <c r="I50" i="103"/>
  <c r="I50" i="104"/>
  <c r="I50" i="106"/>
  <c r="I50" i="107"/>
  <c r="I50" i="112"/>
  <c r="I50" i="117"/>
  <c r="I47" i="116"/>
  <c r="I47" i="101"/>
  <c r="I47" i="96"/>
  <c r="I47" i="95"/>
  <c r="I47" i="82"/>
  <c r="I47" i="83"/>
  <c r="I47" i="84"/>
  <c r="I47" i="86"/>
  <c r="I47" i="87"/>
  <c r="I47" i="88"/>
  <c r="I47" i="90"/>
  <c r="I47" i="91"/>
  <c r="I47" i="92"/>
  <c r="I47" i="93"/>
  <c r="I47" i="94"/>
  <c r="I47" i="100"/>
  <c r="I47" i="102"/>
  <c r="I47" i="103"/>
  <c r="I47" i="104"/>
  <c r="I47" i="106"/>
  <c r="I47" i="107"/>
  <c r="I47" i="112"/>
  <c r="I47" i="117"/>
  <c r="E74" i="121"/>
  <c r="E73" i="121"/>
  <c r="C87" i="127" s="1"/>
  <c r="E72" i="121"/>
  <c r="I44" i="116"/>
  <c r="I44" i="101"/>
  <c r="I44" i="95"/>
  <c r="I44" i="82"/>
  <c r="I44" i="83"/>
  <c r="I44" i="84"/>
  <c r="I44" i="86"/>
  <c r="I44" i="87"/>
  <c r="I44" i="90"/>
  <c r="I44" i="93"/>
  <c r="I44" i="117"/>
  <c r="G11" i="140"/>
  <c r="G10" i="140"/>
  <c r="G7" i="140"/>
  <c r="G6" i="140"/>
  <c r="H43" i="123" s="1"/>
  <c r="J43" i="123" s="1"/>
  <c r="Y137" i="140"/>
  <c r="Y115" i="140" s="1"/>
  <c r="G12" i="64"/>
  <c r="H49" i="123" s="1"/>
  <c r="H47" i="123"/>
  <c r="H9" i="71"/>
  <c r="H10" i="71"/>
  <c r="H32" i="74"/>
  <c r="H31" i="74"/>
  <c r="H28" i="74"/>
  <c r="H27" i="74"/>
  <c r="H25" i="71"/>
  <c r="H25" i="74"/>
  <c r="H25" i="72"/>
  <c r="L26" i="72" s="1"/>
  <c r="K25" i="62"/>
  <c r="H29" i="71"/>
  <c r="H29" i="74"/>
  <c r="H29" i="72"/>
  <c r="K29" i="62"/>
  <c r="H33" i="71"/>
  <c r="H33" i="74"/>
  <c r="H33" i="72"/>
  <c r="K33" i="62"/>
  <c r="H32" i="71"/>
  <c r="H31" i="71"/>
  <c r="H28" i="71"/>
  <c r="H27" i="71"/>
  <c r="H24" i="71"/>
  <c r="J17" i="72"/>
  <c r="H32" i="72"/>
  <c r="J32" i="72" s="1"/>
  <c r="H31" i="72"/>
  <c r="H28" i="72"/>
  <c r="J28" i="72" s="1"/>
  <c r="H27" i="72"/>
  <c r="H10" i="74"/>
  <c r="H70" i="123"/>
  <c r="H62" i="123"/>
  <c r="Y216" i="64"/>
  <c r="X223" i="64" s="1"/>
  <c r="Y223" i="64" s="1"/>
  <c r="Y224" i="64" s="1"/>
  <c r="Y210" i="64" s="1"/>
  <c r="Y32" i="138"/>
  <c r="Z32" i="138" s="1"/>
  <c r="Z33" i="138" s="1"/>
  <c r="Z25" i="138" s="1"/>
  <c r="I10" i="138" s="1"/>
  <c r="J10" i="138" s="1"/>
  <c r="Z82" i="138"/>
  <c r="Z70" i="138" s="1"/>
  <c r="I13" i="138" s="1"/>
  <c r="J13" i="138" s="1"/>
  <c r="Z166" i="138"/>
  <c r="Y207" i="138"/>
  <c r="Z207" i="138" s="1"/>
  <c r="Z208" i="138" s="1"/>
  <c r="Z195" i="138" s="1"/>
  <c r="I25" i="138" s="1"/>
  <c r="J25" i="138" s="1"/>
  <c r="Z212" i="138"/>
  <c r="I26" i="138" s="1"/>
  <c r="J26" i="138" s="1"/>
  <c r="Y278" i="138"/>
  <c r="Z278" i="138" s="1"/>
  <c r="Z276" i="138"/>
  <c r="Z280" i="138"/>
  <c r="Z50" i="138"/>
  <c r="Z36" i="138" s="1"/>
  <c r="I11" i="138" s="1"/>
  <c r="J11" i="138" s="1"/>
  <c r="Z128" i="138"/>
  <c r="Z109" i="138" s="1"/>
  <c r="I17" i="138" s="1"/>
  <c r="J17" i="138" s="1"/>
  <c r="Z228" i="138"/>
  <c r="I28" i="138" s="1"/>
  <c r="J28" i="138" s="1"/>
  <c r="Z170" i="138"/>
  <c r="Z154" i="138" s="1"/>
  <c r="I21" i="138" s="1"/>
  <c r="J21" i="138" s="1"/>
  <c r="Z9" i="138"/>
  <c r="I9" i="138" s="1"/>
  <c r="J9" i="138" s="1"/>
  <c r="F72" i="121"/>
  <c r="F73" i="121"/>
  <c r="J27" i="125"/>
  <c r="F74" i="121"/>
  <c r="F75" i="121"/>
  <c r="H11" i="71"/>
  <c r="H12" i="71"/>
  <c r="H13" i="71"/>
  <c r="H14" i="71"/>
  <c r="H15" i="71"/>
  <c r="H17" i="71"/>
  <c r="J17" i="71" s="1"/>
  <c r="H19" i="71"/>
  <c r="J19" i="71" s="1"/>
  <c r="H21" i="71"/>
  <c r="J21" i="71" s="1"/>
  <c r="J24" i="71"/>
  <c r="J25" i="71"/>
  <c r="J27" i="71"/>
  <c r="J28" i="71"/>
  <c r="J29" i="71"/>
  <c r="J31" i="71"/>
  <c r="J32" i="71"/>
  <c r="J33" i="71"/>
  <c r="H11" i="74"/>
  <c r="H12" i="74"/>
  <c r="H13" i="74"/>
  <c r="H14" i="74"/>
  <c r="H15" i="74"/>
  <c r="J17" i="74"/>
  <c r="H19" i="74"/>
  <c r="H21" i="74"/>
  <c r="H24" i="74"/>
  <c r="H24" i="123" s="1"/>
  <c r="J19" i="74"/>
  <c r="J21" i="74"/>
  <c r="K552" i="135"/>
  <c r="J226" i="135"/>
  <c r="K226" i="135" s="1"/>
  <c r="K227" i="135" s="1"/>
  <c r="K224" i="135"/>
  <c r="K220" i="135" s="1"/>
  <c r="J237" i="135"/>
  <c r="K237" i="135" s="1"/>
  <c r="K230" i="135"/>
  <c r="AF18" i="121"/>
  <c r="AG18" i="121" s="1"/>
  <c r="AG19" i="121" s="1"/>
  <c r="AG6" i="121"/>
  <c r="U8" i="121" s="1"/>
  <c r="AG52" i="121"/>
  <c r="AG53" i="121" s="1"/>
  <c r="AG39" i="121" s="1"/>
  <c r="U10" i="121" s="1"/>
  <c r="AF697" i="121"/>
  <c r="AG697" i="121" s="1"/>
  <c r="AG698" i="121" s="1"/>
  <c r="AG681" i="121"/>
  <c r="U441" i="121" s="1"/>
  <c r="J45" i="122"/>
  <c r="J46" i="122"/>
  <c r="J48" i="122"/>
  <c r="J47" i="122" s="1"/>
  <c r="J44" i="122"/>
  <c r="J43" i="122" s="1"/>
  <c r="AG440" i="121"/>
  <c r="AG429" i="121"/>
  <c r="AG28" i="121"/>
  <c r="AF35" i="121" s="1"/>
  <c r="K1143" i="129"/>
  <c r="K1127" i="129"/>
  <c r="E48" i="121"/>
  <c r="V283" i="121"/>
  <c r="AG80" i="121"/>
  <c r="AF82" i="121"/>
  <c r="J104" i="123"/>
  <c r="J103" i="123" s="1"/>
  <c r="I76" i="123"/>
  <c r="I80" i="123"/>
  <c r="W1333" i="129"/>
  <c r="J1320" i="129" s="1"/>
  <c r="K1320" i="129" s="1"/>
  <c r="W1316" i="129"/>
  <c r="J1319" i="129" s="1"/>
  <c r="W1351" i="129"/>
  <c r="W1367" i="129"/>
  <c r="J1328" i="129" s="1"/>
  <c r="K1328" i="129" s="1"/>
  <c r="W1384" i="129"/>
  <c r="J1329" i="129" s="1"/>
  <c r="K1329" i="129" s="1"/>
  <c r="W1405" i="129"/>
  <c r="W1421" i="129"/>
  <c r="J1338" i="129" s="1"/>
  <c r="K1338" i="129" s="1"/>
  <c r="W1437" i="129"/>
  <c r="J1339" i="129" s="1"/>
  <c r="K1339" i="129" s="1"/>
  <c r="W1459" i="129"/>
  <c r="V443" i="121"/>
  <c r="E90" i="121"/>
  <c r="V442" i="121"/>
  <c r="E89" i="121"/>
  <c r="V441" i="121"/>
  <c r="E88" i="121"/>
  <c r="V439" i="121"/>
  <c r="E86" i="121"/>
  <c r="J76" i="123"/>
  <c r="J80" i="123"/>
  <c r="K1227" i="129"/>
  <c r="I98" i="123" s="1"/>
  <c r="K1246" i="129"/>
  <c r="I99" i="123" s="1"/>
  <c r="K1275" i="129"/>
  <c r="I101" i="123" s="1"/>
  <c r="I91" i="123"/>
  <c r="K1146" i="129"/>
  <c r="I92" i="123" s="1"/>
  <c r="K1013" i="129"/>
  <c r="I82" i="123" s="1"/>
  <c r="K899" i="129"/>
  <c r="I73" i="123" s="1"/>
  <c r="J73" i="123" s="1"/>
  <c r="K918" i="129"/>
  <c r="K937" i="129"/>
  <c r="K963" i="129"/>
  <c r="K976" i="129"/>
  <c r="K991" i="129"/>
  <c r="D87" i="121"/>
  <c r="D88" i="121"/>
  <c r="H59" i="122" s="1"/>
  <c r="D86" i="121"/>
  <c r="D89" i="121"/>
  <c r="H60" i="122" s="1"/>
  <c r="D85" i="121"/>
  <c r="D90" i="121"/>
  <c r="H61" i="122" s="1"/>
  <c r="D84" i="121"/>
  <c r="D83" i="121"/>
  <c r="D82" i="121"/>
  <c r="D81" i="121"/>
  <c r="D79" i="121"/>
  <c r="D78" i="121"/>
  <c r="D77" i="121"/>
  <c r="F66" i="121"/>
  <c r="G68" i="121"/>
  <c r="E65" i="121"/>
  <c r="E60" i="121"/>
  <c r="I10" i="101"/>
  <c r="I9" i="101"/>
  <c r="I8" i="101"/>
  <c r="I7" i="101"/>
  <c r="M2" i="118"/>
  <c r="H71" i="119"/>
  <c r="I65" i="124" s="1"/>
  <c r="K65" i="124" s="1"/>
  <c r="H70" i="119"/>
  <c r="I64" i="124" s="1"/>
  <c r="K64" i="124" s="1"/>
  <c r="H69" i="119"/>
  <c r="I63" i="124" s="1"/>
  <c r="K63" i="124" s="1"/>
  <c r="H68" i="119"/>
  <c r="I62" i="124" s="1"/>
  <c r="K62" i="124" s="1"/>
  <c r="K61" i="124" s="1"/>
  <c r="H58" i="119"/>
  <c r="I11" i="124"/>
  <c r="K11" i="124" s="1"/>
  <c r="H83" i="119"/>
  <c r="I77" i="124" s="1"/>
  <c r="H82" i="119"/>
  <c r="I76" i="124" s="1"/>
  <c r="H80" i="119"/>
  <c r="I74" i="124" s="1"/>
  <c r="H79" i="119"/>
  <c r="I73" i="124" s="1"/>
  <c r="H78" i="119"/>
  <c r="I72" i="124" s="1"/>
  <c r="H77" i="119"/>
  <c r="I71" i="124" s="1"/>
  <c r="H76" i="119"/>
  <c r="I70" i="124" s="1"/>
  <c r="H75" i="119"/>
  <c r="I69" i="124" s="1"/>
  <c r="H74" i="119"/>
  <c r="I68" i="124" s="1"/>
  <c r="H10" i="119"/>
  <c r="H64" i="119"/>
  <c r="I58" i="124" s="1"/>
  <c r="K58" i="124" s="1"/>
  <c r="H63" i="119"/>
  <c r="I57" i="124" s="1"/>
  <c r="K57" i="124" s="1"/>
  <c r="K56" i="124" s="1"/>
  <c r="H61" i="119"/>
  <c r="I55" i="124" s="1"/>
  <c r="K55" i="124" s="1"/>
  <c r="H60" i="119"/>
  <c r="I54" i="124" s="1"/>
  <c r="K54" i="124" s="1"/>
  <c r="H56" i="119"/>
  <c r="I50" i="124" s="1"/>
  <c r="K50" i="124" s="1"/>
  <c r="H55" i="119"/>
  <c r="I49" i="124" s="1"/>
  <c r="K49" i="124" s="1"/>
  <c r="K47" i="124" s="1"/>
  <c r="H21" i="119"/>
  <c r="H19" i="119"/>
  <c r="G6" i="118"/>
  <c r="G47" i="118"/>
  <c r="G44" i="118"/>
  <c r="G86" i="118"/>
  <c r="G91" i="118"/>
  <c r="G90" i="118"/>
  <c r="G88" i="118"/>
  <c r="G85" i="118"/>
  <c r="G73" i="118"/>
  <c r="G74" i="118"/>
  <c r="G75" i="118"/>
  <c r="G76" i="118"/>
  <c r="G77" i="118"/>
  <c r="G78" i="118"/>
  <c r="G79" i="118"/>
  <c r="G80" i="118"/>
  <c r="G81" i="118"/>
  <c r="G82" i="118"/>
  <c r="G72" i="118"/>
  <c r="G72" i="80"/>
  <c r="G91" i="80"/>
  <c r="G90" i="80"/>
  <c r="G88" i="80"/>
  <c r="G86" i="80"/>
  <c r="G85" i="80"/>
  <c r="G82" i="80"/>
  <c r="G81" i="80"/>
  <c r="G80" i="80"/>
  <c r="G79" i="80"/>
  <c r="G78" i="80"/>
  <c r="G77" i="80"/>
  <c r="G76" i="80"/>
  <c r="G75" i="80"/>
  <c r="G74" i="80"/>
  <c r="G73" i="80"/>
  <c r="G8" i="80"/>
  <c r="G64" i="80"/>
  <c r="G62" i="80"/>
  <c r="G47" i="80"/>
  <c r="I47" i="80" s="1"/>
  <c r="G48" i="80"/>
  <c r="G49" i="80"/>
  <c r="G50" i="80"/>
  <c r="G51" i="80"/>
  <c r="G52" i="80"/>
  <c r="G53" i="80"/>
  <c r="G54" i="80"/>
  <c r="G55" i="80"/>
  <c r="G56" i="80"/>
  <c r="G57" i="80"/>
  <c r="G37" i="80"/>
  <c r="I37" i="80" s="1"/>
  <c r="G38" i="80"/>
  <c r="G39" i="80"/>
  <c r="I39" i="80" s="1"/>
  <c r="G32" i="80"/>
  <c r="I32" i="80" s="1"/>
  <c r="G31" i="80"/>
  <c r="I31" i="80" s="1"/>
  <c r="G28" i="80"/>
  <c r="I28" i="80" s="1"/>
  <c r="G23" i="80"/>
  <c r="I23" i="80" s="1"/>
  <c r="G24" i="80"/>
  <c r="I24" i="80" s="1"/>
  <c r="G25" i="80"/>
  <c r="I25" i="80" s="1"/>
  <c r="G26" i="80"/>
  <c r="I26" i="80" s="1"/>
  <c r="G9" i="80"/>
  <c r="G10" i="80"/>
  <c r="G91" i="82"/>
  <c r="G90" i="82"/>
  <c r="G88" i="82"/>
  <c r="G86" i="82"/>
  <c r="G85" i="82"/>
  <c r="G82" i="82"/>
  <c r="G81" i="82"/>
  <c r="G80" i="82"/>
  <c r="G79" i="82"/>
  <c r="G78" i="82"/>
  <c r="G77" i="82"/>
  <c r="G76" i="82"/>
  <c r="G75" i="82"/>
  <c r="G74" i="82"/>
  <c r="G73" i="82"/>
  <c r="G72" i="82"/>
  <c r="G91" i="83"/>
  <c r="G90" i="83"/>
  <c r="G88" i="83"/>
  <c r="G86" i="83"/>
  <c r="G85" i="83"/>
  <c r="G82" i="83"/>
  <c r="G81" i="83"/>
  <c r="G80" i="83"/>
  <c r="G79" i="83"/>
  <c r="G78" i="83"/>
  <c r="G77" i="83"/>
  <c r="G76" i="83"/>
  <c r="G75" i="83"/>
  <c r="G74" i="83"/>
  <c r="G73" i="83"/>
  <c r="G72" i="83"/>
  <c r="G91" i="84"/>
  <c r="G90" i="84"/>
  <c r="G88" i="84"/>
  <c r="G86" i="84"/>
  <c r="G85" i="84"/>
  <c r="G82" i="84"/>
  <c r="G81" i="84"/>
  <c r="G80" i="84"/>
  <c r="G79" i="84"/>
  <c r="G78" i="84"/>
  <c r="G77" i="84"/>
  <c r="G76" i="84"/>
  <c r="G75" i="84"/>
  <c r="G74" i="84"/>
  <c r="G73" i="84"/>
  <c r="G72" i="84"/>
  <c r="G91" i="86"/>
  <c r="G90" i="86"/>
  <c r="G88" i="86"/>
  <c r="G86" i="86"/>
  <c r="G85" i="86"/>
  <c r="G82" i="86"/>
  <c r="G81" i="86"/>
  <c r="G80" i="86"/>
  <c r="G79" i="86"/>
  <c r="G78" i="86"/>
  <c r="G77" i="86"/>
  <c r="G76" i="86"/>
  <c r="G75" i="86"/>
  <c r="G74" i="86"/>
  <c r="G73" i="86"/>
  <c r="G72" i="86"/>
  <c r="G91" i="87"/>
  <c r="G90" i="87"/>
  <c r="G88" i="87"/>
  <c r="G86" i="87"/>
  <c r="G85" i="87"/>
  <c r="G82" i="87"/>
  <c r="G81" i="87"/>
  <c r="G80" i="87"/>
  <c r="G79" i="87"/>
  <c r="G78" i="87"/>
  <c r="G77" i="87"/>
  <c r="G76" i="87"/>
  <c r="G75" i="87"/>
  <c r="G74" i="87"/>
  <c r="G73" i="87"/>
  <c r="G72" i="87"/>
  <c r="G91" i="88"/>
  <c r="G90" i="88"/>
  <c r="G88" i="88"/>
  <c r="G86" i="88"/>
  <c r="G85" i="88"/>
  <c r="G82" i="88"/>
  <c r="G81" i="88"/>
  <c r="G80" i="88"/>
  <c r="G79" i="88"/>
  <c r="G78" i="88"/>
  <c r="G77" i="88"/>
  <c r="G76" i="88"/>
  <c r="G75" i="88"/>
  <c r="G74" i="88"/>
  <c r="G73" i="88"/>
  <c r="G72" i="88"/>
  <c r="G91" i="90"/>
  <c r="G90" i="90"/>
  <c r="G88" i="90"/>
  <c r="G86" i="90"/>
  <c r="G85" i="90"/>
  <c r="G82" i="90"/>
  <c r="G81" i="90"/>
  <c r="G80" i="90"/>
  <c r="G79" i="90"/>
  <c r="G78" i="90"/>
  <c r="G77" i="90"/>
  <c r="G76" i="90"/>
  <c r="G75" i="90"/>
  <c r="G74" i="90"/>
  <c r="G73" i="90"/>
  <c r="G72" i="90"/>
  <c r="G91" i="91"/>
  <c r="G90" i="91"/>
  <c r="G88" i="91"/>
  <c r="G86" i="91"/>
  <c r="G85" i="91"/>
  <c r="G82" i="91"/>
  <c r="G81" i="91"/>
  <c r="G80" i="91"/>
  <c r="G79" i="91"/>
  <c r="G78" i="91"/>
  <c r="G77" i="91"/>
  <c r="G76" i="91"/>
  <c r="G75" i="91"/>
  <c r="G74" i="91"/>
  <c r="G73" i="91"/>
  <c r="G72" i="91"/>
  <c r="G91" i="92"/>
  <c r="G90" i="92"/>
  <c r="G88" i="92"/>
  <c r="G86" i="92"/>
  <c r="G85" i="92"/>
  <c r="G82" i="92"/>
  <c r="G81" i="92"/>
  <c r="G80" i="92"/>
  <c r="G79" i="92"/>
  <c r="G78" i="92"/>
  <c r="G77" i="92"/>
  <c r="G76" i="92"/>
  <c r="G75" i="92"/>
  <c r="G74" i="92"/>
  <c r="G73" i="92"/>
  <c r="G72" i="92"/>
  <c r="G91" i="93"/>
  <c r="G90" i="93"/>
  <c r="G88" i="93"/>
  <c r="G86" i="93"/>
  <c r="G85" i="93"/>
  <c r="G82" i="93"/>
  <c r="G81" i="93"/>
  <c r="G80" i="93"/>
  <c r="G79" i="93"/>
  <c r="G78" i="93"/>
  <c r="G77" i="93"/>
  <c r="G76" i="93"/>
  <c r="G75" i="93"/>
  <c r="G74" i="93"/>
  <c r="G73" i="93"/>
  <c r="G72" i="93"/>
  <c r="G91" i="94"/>
  <c r="G90" i="94"/>
  <c r="G88" i="94"/>
  <c r="G86" i="94"/>
  <c r="G85" i="94"/>
  <c r="G82" i="94"/>
  <c r="G81" i="94"/>
  <c r="G80" i="94"/>
  <c r="G79" i="94"/>
  <c r="G78" i="94"/>
  <c r="G77" i="94"/>
  <c r="G76" i="94"/>
  <c r="G75" i="94"/>
  <c r="G74" i="94"/>
  <c r="G73" i="94"/>
  <c r="G72" i="94"/>
  <c r="G91" i="117"/>
  <c r="G90" i="117"/>
  <c r="G88" i="117"/>
  <c r="G86" i="117"/>
  <c r="G85" i="117"/>
  <c r="G82" i="117"/>
  <c r="G81" i="117"/>
  <c r="G80" i="117"/>
  <c r="G79" i="117"/>
  <c r="G78" i="117"/>
  <c r="G77" i="117"/>
  <c r="G76" i="117"/>
  <c r="G75" i="117"/>
  <c r="G74" i="117"/>
  <c r="G73" i="117"/>
  <c r="G72" i="117"/>
  <c r="G91" i="116"/>
  <c r="G90" i="116"/>
  <c r="G88" i="116"/>
  <c r="G86" i="116"/>
  <c r="G85" i="116"/>
  <c r="G82" i="116"/>
  <c r="G81" i="116"/>
  <c r="G80" i="116"/>
  <c r="G79" i="116"/>
  <c r="G78" i="116"/>
  <c r="G77" i="116"/>
  <c r="G76" i="116"/>
  <c r="G75" i="116"/>
  <c r="G74" i="116"/>
  <c r="G73" i="116"/>
  <c r="G72" i="116"/>
  <c r="D11" i="65"/>
  <c r="J60" i="123"/>
  <c r="Z26" i="62"/>
  <c r="J24" i="74"/>
  <c r="J27" i="74"/>
  <c r="J28" i="74"/>
  <c r="J31" i="74"/>
  <c r="J32" i="74"/>
  <c r="K841" i="129"/>
  <c r="I68" i="123" s="1"/>
  <c r="J68" i="123" s="1"/>
  <c r="K865" i="129"/>
  <c r="I69" i="123" s="1"/>
  <c r="J69" i="123" s="1"/>
  <c r="K882" i="129"/>
  <c r="I70" i="123" s="1"/>
  <c r="J70" i="123" s="1"/>
  <c r="K787" i="129"/>
  <c r="I64" i="123" s="1"/>
  <c r="K808" i="129"/>
  <c r="I65" i="123" s="1"/>
  <c r="K825" i="129"/>
  <c r="I66" i="123" s="1"/>
  <c r="K754" i="129"/>
  <c r="I61" i="123" s="1"/>
  <c r="J61" i="123" s="1"/>
  <c r="K771" i="129"/>
  <c r="I62" i="123" s="1"/>
  <c r="J62" i="123" s="1"/>
  <c r="K439" i="129"/>
  <c r="I39" i="123" s="1"/>
  <c r="K460" i="129"/>
  <c r="I40" i="123" s="1"/>
  <c r="K477" i="129"/>
  <c r="I41" i="123" s="1"/>
  <c r="K547" i="129"/>
  <c r="I47" i="123" s="1"/>
  <c r="J47" i="123" s="1"/>
  <c r="K569" i="129"/>
  <c r="I48" i="123" s="1"/>
  <c r="K585" i="129"/>
  <c r="I49" i="123" s="1"/>
  <c r="K655" i="129"/>
  <c r="I55" i="123" s="1"/>
  <c r="K680" i="129"/>
  <c r="I56" i="123" s="1"/>
  <c r="K697" i="129"/>
  <c r="I57" i="123" s="1"/>
  <c r="J725" i="129"/>
  <c r="K725" i="129" s="1"/>
  <c r="K726" i="129" s="1"/>
  <c r="K713" i="129"/>
  <c r="I58" i="123" s="1"/>
  <c r="K221" i="129"/>
  <c r="I24" i="123" s="1"/>
  <c r="K243" i="129"/>
  <c r="K260" i="129"/>
  <c r="I25" i="123" s="1"/>
  <c r="K330" i="129"/>
  <c r="I31" i="123" s="1"/>
  <c r="K352" i="129"/>
  <c r="I32" i="123" s="1"/>
  <c r="K374" i="129"/>
  <c r="K386" i="129"/>
  <c r="I35" i="123" s="1"/>
  <c r="K407" i="129"/>
  <c r="I36" i="123" s="1"/>
  <c r="K423" i="129"/>
  <c r="I37" i="123" s="1"/>
  <c r="J71" i="129"/>
  <c r="K71" i="129" s="1"/>
  <c r="K75" i="129" s="1"/>
  <c r="K69" i="129"/>
  <c r="K63" i="129" s="1"/>
  <c r="I8" i="123" s="1"/>
  <c r="Y35" i="65"/>
  <c r="AA35" i="65" s="1"/>
  <c r="Y31" i="65"/>
  <c r="AA31" i="65" s="1"/>
  <c r="Y30" i="65"/>
  <c r="AA30" i="65" s="1"/>
  <c r="AA29" i="65"/>
  <c r="AA32" i="65" s="1"/>
  <c r="Y46" i="65"/>
  <c r="AA46" i="65" s="1"/>
  <c r="Y45" i="65"/>
  <c r="AA45" i="65" s="1"/>
  <c r="AA47" i="65" s="1"/>
  <c r="Y66" i="65"/>
  <c r="AA66" i="65" s="1"/>
  <c r="Y58" i="65"/>
  <c r="AA58" i="65" s="1"/>
  <c r="Y57" i="65"/>
  <c r="AA57" i="65" s="1"/>
  <c r="Y56" i="65"/>
  <c r="AA56" i="65" s="1"/>
  <c r="AA59" i="65" s="1"/>
  <c r="Y83" i="65"/>
  <c r="AA83" i="65" s="1"/>
  <c r="Y82" i="65"/>
  <c r="AA82" i="65" s="1"/>
  <c r="Y75" i="65"/>
  <c r="AA75" i="65" s="1"/>
  <c r="Y74" i="65"/>
  <c r="AA74" i="65" s="1"/>
  <c r="Y73" i="65"/>
  <c r="AA73" i="65" s="1"/>
  <c r="AA76" i="65" s="1"/>
  <c r="D59" i="121"/>
  <c r="D60" i="121"/>
  <c r="H54" i="122" s="1"/>
  <c r="D61" i="121"/>
  <c r="D62" i="121"/>
  <c r="D63" i="121"/>
  <c r="D64" i="121"/>
  <c r="D65" i="121"/>
  <c r="E49" i="121"/>
  <c r="D45" i="121"/>
  <c r="D46" i="121"/>
  <c r="D47" i="121"/>
  <c r="H91" i="123" s="1"/>
  <c r="J91" i="123" s="1"/>
  <c r="D48" i="121"/>
  <c r="D49" i="121"/>
  <c r="D50" i="121"/>
  <c r="H94" i="123" s="1"/>
  <c r="D51" i="121"/>
  <c r="D52" i="121"/>
  <c r="H95" i="123" s="1"/>
  <c r="D53" i="121"/>
  <c r="H96" i="123" s="1"/>
  <c r="D27" i="121"/>
  <c r="H11" i="123" s="1"/>
  <c r="D28" i="121"/>
  <c r="H12" i="123" s="1"/>
  <c r="J12" i="123" s="1"/>
  <c r="D29" i="121"/>
  <c r="H82" i="123" s="1"/>
  <c r="D30" i="121"/>
  <c r="H83" i="123" s="1"/>
  <c r="D31" i="121"/>
  <c r="H84" i="123" s="1"/>
  <c r="D32" i="121"/>
  <c r="H85" i="123" s="1"/>
  <c r="J85" i="123" s="1"/>
  <c r="D33" i="121"/>
  <c r="H86" i="123" s="1"/>
  <c r="D34" i="121"/>
  <c r="H87" i="123" s="1"/>
  <c r="D35" i="121"/>
  <c r="H88" i="123" s="1"/>
  <c r="D36" i="121"/>
  <c r="H89" i="123" s="1"/>
  <c r="J89" i="123" s="1"/>
  <c r="D37" i="121"/>
  <c r="AG367" i="121"/>
  <c r="U336" i="121" s="1"/>
  <c r="V336" i="121" s="1"/>
  <c r="AG351" i="121"/>
  <c r="U334" i="121" s="1"/>
  <c r="V334" i="121" s="1"/>
  <c r="U281" i="121"/>
  <c r="V281" i="121" s="1"/>
  <c r="U331" i="121"/>
  <c r="V331" i="121" s="1"/>
  <c r="AG141" i="121"/>
  <c r="AG125" i="121" s="1"/>
  <c r="U64" i="121" s="1"/>
  <c r="E30" i="121" s="1"/>
  <c r="AG319" i="121"/>
  <c r="AF290" i="121"/>
  <c r="AG290" i="121" s="1"/>
  <c r="AG292" i="121" s="1"/>
  <c r="AG276" i="121" s="1"/>
  <c r="U282" i="121"/>
  <c r="U69" i="121"/>
  <c r="V69" i="121" s="1"/>
  <c r="U288" i="121"/>
  <c r="V288" i="121" s="1"/>
  <c r="V243" i="121"/>
  <c r="E40" i="121" s="1"/>
  <c r="G40" i="121" s="1"/>
  <c r="E19" i="121"/>
  <c r="E35" i="121"/>
  <c r="E16" i="121"/>
  <c r="E32" i="121"/>
  <c r="E20" i="121"/>
  <c r="E36" i="121"/>
  <c r="F36" i="121"/>
  <c r="F35" i="121"/>
  <c r="F32" i="121"/>
  <c r="F31" i="121"/>
  <c r="F30" i="121"/>
  <c r="F29" i="121"/>
  <c r="F28" i="121"/>
  <c r="H20" i="64"/>
  <c r="Y227" i="64"/>
  <c r="H21" i="64" s="1"/>
  <c r="G59" i="101"/>
  <c r="I59" i="101" s="1"/>
  <c r="G6" i="101"/>
  <c r="I6" i="101" s="1"/>
  <c r="M2" i="89"/>
  <c r="M2" i="97"/>
  <c r="M2" i="98"/>
  <c r="M2" i="99"/>
  <c r="M2" i="110"/>
  <c r="M2" i="113"/>
  <c r="M2" i="108"/>
  <c r="F20" i="121"/>
  <c r="F19" i="121"/>
  <c r="F16" i="121"/>
  <c r="V62" i="121"/>
  <c r="E12" i="121"/>
  <c r="F12" i="121" s="1"/>
  <c r="V63" i="121"/>
  <c r="E13" i="121"/>
  <c r="F13" i="121" s="1"/>
  <c r="V64" i="121"/>
  <c r="E14" i="121"/>
  <c r="F14" i="121" s="1"/>
  <c r="V65" i="121"/>
  <c r="E15" i="121"/>
  <c r="F15" i="121" s="1"/>
  <c r="V8" i="121"/>
  <c r="E5" i="121"/>
  <c r="F5" i="121" s="1"/>
  <c r="V10" i="121"/>
  <c r="E7" i="121"/>
  <c r="F7" i="121" s="1"/>
  <c r="AF63" i="121"/>
  <c r="AG63" i="121" s="1"/>
  <c r="AG64" i="121" s="1"/>
  <c r="AG56" i="121" s="1"/>
  <c r="AS641" i="121"/>
  <c r="AG522" i="121" s="1"/>
  <c r="AS619" i="121"/>
  <c r="AF521" i="121" s="1"/>
  <c r="AG521" i="121" s="1"/>
  <c r="AS603" i="121"/>
  <c r="AF520" i="121" s="1"/>
  <c r="AS587" i="121"/>
  <c r="AG512" i="121" s="1"/>
  <c r="AS566" i="121"/>
  <c r="AF511" i="121" s="1"/>
  <c r="AG511" i="121" s="1"/>
  <c r="AS549" i="121"/>
  <c r="AF510" i="121" s="1"/>
  <c r="AS533" i="121"/>
  <c r="AS526" i="121"/>
  <c r="AS498" i="121"/>
  <c r="AF501" i="121" s="1"/>
  <c r="AG501" i="121" s="1"/>
  <c r="AF232" i="121"/>
  <c r="AG232" i="121" s="1"/>
  <c r="AG233" i="121" s="1"/>
  <c r="AG220" i="121" s="1"/>
  <c r="AG485" i="121"/>
  <c r="U435" i="121" s="1"/>
  <c r="AG474" i="121"/>
  <c r="U434" i="121" s="1"/>
  <c r="AG471" i="121"/>
  <c r="AG457" i="121" s="1"/>
  <c r="U433" i="121"/>
  <c r="U432" i="121"/>
  <c r="U431" i="121"/>
  <c r="Z489" i="119"/>
  <c r="Z464" i="119"/>
  <c r="I54" i="119" s="1"/>
  <c r="Z664" i="119"/>
  <c r="Y669" i="119" s="1"/>
  <c r="Z669" i="119" s="1"/>
  <c r="Z671" i="119" s="1"/>
  <c r="Z659" i="119"/>
  <c r="I71" i="119" s="1"/>
  <c r="J71" i="119" s="1"/>
  <c r="Z653" i="119"/>
  <c r="Y704" i="119"/>
  <c r="Z704" i="119" s="1"/>
  <c r="Z705" i="119" s="1"/>
  <c r="Z696" i="119"/>
  <c r="Z629" i="119"/>
  <c r="I69" i="119" s="1"/>
  <c r="J69" i="119" s="1"/>
  <c r="Z617" i="119"/>
  <c r="I68" i="119" s="1"/>
  <c r="J68" i="119" s="1"/>
  <c r="Z601" i="119"/>
  <c r="I66" i="119" s="1"/>
  <c r="J66" i="119" s="1"/>
  <c r="Z586" i="119"/>
  <c r="I64" i="119" s="1"/>
  <c r="J64" i="119" s="1"/>
  <c r="Z850" i="119"/>
  <c r="Z551" i="119"/>
  <c r="Z539" i="119" s="1"/>
  <c r="I60" i="119" s="1"/>
  <c r="J60" i="119" s="1"/>
  <c r="Y898" i="119"/>
  <c r="Z898" i="119" s="1"/>
  <c r="Z899" i="119" s="1"/>
  <c r="Z891" i="119"/>
  <c r="Z526" i="119"/>
  <c r="Y909" i="119"/>
  <c r="Z909" i="119" s="1"/>
  <c r="Z910" i="119" s="1"/>
  <c r="Z902" i="119"/>
  <c r="Z454" i="119"/>
  <c r="Z442" i="119"/>
  <c r="Z407" i="119"/>
  <c r="Z415" i="119"/>
  <c r="Z399" i="119"/>
  <c r="Z387" i="119"/>
  <c r="I40" i="119" s="1"/>
  <c r="Z378" i="119"/>
  <c r="Y1141" i="119"/>
  <c r="Z1141" i="119" s="1"/>
  <c r="Z364" i="119"/>
  <c r="Z1145" i="119"/>
  <c r="Z1129" i="119" s="1"/>
  <c r="Z352" i="119"/>
  <c r="Z321" i="119"/>
  <c r="Z302" i="119"/>
  <c r="Z190" i="119"/>
  <c r="I16" i="119" s="1"/>
  <c r="Z255" i="119"/>
  <c r="J27" i="119" s="1"/>
  <c r="Z149" i="119"/>
  <c r="Z133" i="119"/>
  <c r="Y272" i="119"/>
  <c r="Z272" i="119" s="1"/>
  <c r="Z273" i="119" s="1"/>
  <c r="Z269" i="119"/>
  <c r="Y304" i="119"/>
  <c r="Z304" i="119" s="1"/>
  <c r="Z307" i="119" s="1"/>
  <c r="Z290" i="119"/>
  <c r="Z310" i="119"/>
  <c r="G41" i="117"/>
  <c r="I41" i="117" s="1"/>
  <c r="G13" i="117"/>
  <c r="I13" i="117" s="1"/>
  <c r="G42" i="117"/>
  <c r="I42" i="117" s="1"/>
  <c r="G14" i="117"/>
  <c r="I14" i="117" s="1"/>
  <c r="G41" i="112"/>
  <c r="I41" i="112" s="1"/>
  <c r="G13" i="112"/>
  <c r="I13" i="112" s="1"/>
  <c r="G13" i="106"/>
  <c r="I13" i="106" s="1"/>
  <c r="G6" i="106"/>
  <c r="I6" i="106" s="1"/>
  <c r="G41" i="104"/>
  <c r="I41" i="104" s="1"/>
  <c r="G13" i="104"/>
  <c r="I13" i="104" s="1"/>
  <c r="G41" i="103"/>
  <c r="I41" i="103" s="1"/>
  <c r="G13" i="103"/>
  <c r="I13" i="103" s="1"/>
  <c r="G42" i="102"/>
  <c r="I42" i="102" s="1"/>
  <c r="G14" i="102"/>
  <c r="I14" i="102" s="1"/>
  <c r="G42" i="100"/>
  <c r="I42" i="100" s="1"/>
  <c r="G14" i="100"/>
  <c r="I14" i="100" s="1"/>
  <c r="G6" i="94"/>
  <c r="I6" i="94" s="1"/>
  <c r="G42" i="94"/>
  <c r="I42" i="94" s="1"/>
  <c r="G14" i="94"/>
  <c r="I14" i="94" s="1"/>
  <c r="G41" i="93"/>
  <c r="I41" i="93" s="1"/>
  <c r="G13" i="93"/>
  <c r="I13" i="93" s="1"/>
  <c r="G42" i="93"/>
  <c r="I42" i="93" s="1"/>
  <c r="G14" i="93"/>
  <c r="I14" i="93" s="1"/>
  <c r="E41" i="92"/>
  <c r="G41" i="92"/>
  <c r="I41" i="92" s="1"/>
  <c r="G13" i="92"/>
  <c r="I13" i="92" s="1"/>
  <c r="G42" i="92"/>
  <c r="I42" i="92" s="1"/>
  <c r="G14" i="92"/>
  <c r="I14" i="92" s="1"/>
  <c r="E41" i="91"/>
  <c r="G41" i="91" s="1"/>
  <c r="I41" i="91" s="1"/>
  <c r="G41" i="90"/>
  <c r="I41" i="90" s="1"/>
  <c r="G13" i="90"/>
  <c r="I13" i="90" s="1"/>
  <c r="G42" i="90"/>
  <c r="I42" i="90" s="1"/>
  <c r="G14" i="90"/>
  <c r="I14" i="90" s="1"/>
  <c r="E41" i="89"/>
  <c r="G41" i="89"/>
  <c r="I41" i="89" s="1"/>
  <c r="G13" i="89"/>
  <c r="I13" i="89" s="1"/>
  <c r="G42" i="89"/>
  <c r="I42" i="89" s="1"/>
  <c r="G14" i="89"/>
  <c r="I14" i="89" s="1"/>
  <c r="E41" i="88"/>
  <c r="G41" i="88"/>
  <c r="I41" i="88" s="1"/>
  <c r="G13" i="88"/>
  <c r="I13" i="88" s="1"/>
  <c r="G42" i="88"/>
  <c r="I42" i="88" s="1"/>
  <c r="G14" i="88"/>
  <c r="I14" i="88" s="1"/>
  <c r="G41" i="87"/>
  <c r="I41" i="87" s="1"/>
  <c r="G13" i="87"/>
  <c r="I13" i="87" s="1"/>
  <c r="G42" i="87"/>
  <c r="I42" i="87" s="1"/>
  <c r="G14" i="87"/>
  <c r="I14" i="87" s="1"/>
  <c r="G42" i="86"/>
  <c r="I42" i="86" s="1"/>
  <c r="G14" i="86"/>
  <c r="I14" i="86" s="1"/>
  <c r="G41" i="84"/>
  <c r="I41" i="84" s="1"/>
  <c r="G13" i="84"/>
  <c r="I13" i="84" s="1"/>
  <c r="G42" i="84"/>
  <c r="I42" i="84" s="1"/>
  <c r="G14" i="84"/>
  <c r="I14" i="84" s="1"/>
  <c r="G41" i="83"/>
  <c r="G13" i="83"/>
  <c r="G42" i="83"/>
  <c r="G14" i="83"/>
  <c r="I13" i="80"/>
  <c r="I14" i="80"/>
  <c r="I21" i="80"/>
  <c r="I22" i="80"/>
  <c r="I29" i="80"/>
  <c r="I30" i="80"/>
  <c r="I33" i="80"/>
  <c r="I35" i="80"/>
  <c r="I36" i="80"/>
  <c r="I41" i="80"/>
  <c r="I42" i="80"/>
  <c r="I44" i="80"/>
  <c r="I59" i="80"/>
  <c r="I60" i="80"/>
  <c r="I61" i="80"/>
  <c r="I66" i="80"/>
  <c r="I65" i="80"/>
  <c r="I67" i="80"/>
  <c r="I7" i="80"/>
  <c r="X21" i="74"/>
  <c r="Z21" i="74" s="1"/>
  <c r="X12" i="74"/>
  <c r="Z12" i="74" s="1"/>
  <c r="X11" i="74"/>
  <c r="Z11" i="74" s="1"/>
  <c r="X10" i="74"/>
  <c r="Z10" i="74" s="1"/>
  <c r="Z13" i="74" s="1"/>
  <c r="X35" i="74"/>
  <c r="Z35" i="74" s="1"/>
  <c r="X31" i="74"/>
  <c r="Z31" i="74" s="1"/>
  <c r="X30" i="74"/>
  <c r="Z30" i="74" s="1"/>
  <c r="X29" i="74"/>
  <c r="Z29" i="74" s="1"/>
  <c r="Z32" i="74" s="1"/>
  <c r="X46" i="74"/>
  <c r="Z46" i="74" s="1"/>
  <c r="X45" i="74"/>
  <c r="Z45" i="74" s="1"/>
  <c r="Z47" i="74" s="1"/>
  <c r="X66" i="74"/>
  <c r="Z66" i="74" s="1"/>
  <c r="X58" i="74"/>
  <c r="Z58" i="74" s="1"/>
  <c r="X57" i="74"/>
  <c r="Z57" i="74" s="1"/>
  <c r="X56" i="74"/>
  <c r="Z56" i="74" s="1"/>
  <c r="Z59" i="74" s="1"/>
  <c r="X83" i="74"/>
  <c r="Z83" i="74" s="1"/>
  <c r="X82" i="74"/>
  <c r="Z82" i="74" s="1"/>
  <c r="X75" i="74"/>
  <c r="Z75" i="74" s="1"/>
  <c r="X74" i="74"/>
  <c r="Z74" i="74" s="1"/>
  <c r="X73" i="74"/>
  <c r="Z73" i="74" s="1"/>
  <c r="Z76" i="74" s="1"/>
  <c r="Y95" i="74"/>
  <c r="Z95" i="74" s="1"/>
  <c r="Z99" i="74" s="1"/>
  <c r="Z93" i="74"/>
  <c r="Z87" i="74" s="1"/>
  <c r="I13" i="74" s="1"/>
  <c r="J13" i="74" s="1"/>
  <c r="X109" i="74"/>
  <c r="Z109" i="74" s="1"/>
  <c r="X105" i="74"/>
  <c r="Z105" i="74" s="1"/>
  <c r="Z106" i="74" s="1"/>
  <c r="X122" i="74"/>
  <c r="Z122" i="74" s="1"/>
  <c r="X121" i="74"/>
  <c r="Z121" i="74" s="1"/>
  <c r="X117" i="74"/>
  <c r="Z117" i="74" s="1"/>
  <c r="X116" i="74"/>
  <c r="Z116" i="74" s="1"/>
  <c r="Z118" i="74" s="1"/>
  <c r="X21" i="72"/>
  <c r="Z21" i="72" s="1"/>
  <c r="X12" i="72"/>
  <c r="Z12" i="72" s="1"/>
  <c r="X11" i="72"/>
  <c r="Z11" i="72" s="1"/>
  <c r="X10" i="72"/>
  <c r="Z10" i="72" s="1"/>
  <c r="Z13" i="72" s="1"/>
  <c r="X35" i="72"/>
  <c r="Z35" i="72" s="1"/>
  <c r="X31" i="72"/>
  <c r="Z31" i="72" s="1"/>
  <c r="X30" i="72"/>
  <c r="Z30" i="72" s="1"/>
  <c r="X29" i="72"/>
  <c r="Z29" i="72" s="1"/>
  <c r="Z32" i="72" s="1"/>
  <c r="X46" i="72"/>
  <c r="Z46" i="72" s="1"/>
  <c r="X45" i="72"/>
  <c r="Z45" i="72" s="1"/>
  <c r="Z47" i="72" s="1"/>
  <c r="X66" i="72"/>
  <c r="Z66" i="72" s="1"/>
  <c r="X58" i="72"/>
  <c r="Z58" i="72" s="1"/>
  <c r="X57" i="72"/>
  <c r="Z57" i="72" s="1"/>
  <c r="X56" i="72"/>
  <c r="Z56" i="72" s="1"/>
  <c r="Z59" i="72" s="1"/>
  <c r="X83" i="72"/>
  <c r="Z83" i="72" s="1"/>
  <c r="X82" i="72"/>
  <c r="Z82" i="72" s="1"/>
  <c r="X75" i="72"/>
  <c r="Z75" i="72" s="1"/>
  <c r="X74" i="72"/>
  <c r="Z74" i="72" s="1"/>
  <c r="X73" i="72"/>
  <c r="Z73" i="72" s="1"/>
  <c r="Z76" i="72" s="1"/>
  <c r="Y95" i="72"/>
  <c r="Z95" i="72" s="1"/>
  <c r="Z99" i="72" s="1"/>
  <c r="Z93" i="72"/>
  <c r="Z87" i="72" s="1"/>
  <c r="I13" i="72" s="1"/>
  <c r="J13" i="72" s="1"/>
  <c r="X109" i="72"/>
  <c r="Z109" i="72" s="1"/>
  <c r="X105" i="72"/>
  <c r="Z105" i="72" s="1"/>
  <c r="Z106" i="72" s="1"/>
  <c r="X122" i="72"/>
  <c r="Z122" i="72" s="1"/>
  <c r="X121" i="72"/>
  <c r="Z121" i="72" s="1"/>
  <c r="X117" i="72"/>
  <c r="Z117" i="72" s="1"/>
  <c r="X116" i="72"/>
  <c r="Z116" i="72" s="1"/>
  <c r="Z118" i="72" s="1"/>
  <c r="X21" i="71"/>
  <c r="Z21" i="71" s="1"/>
  <c r="X12" i="71"/>
  <c r="Z12" i="71" s="1"/>
  <c r="X11" i="71"/>
  <c r="Z11" i="71" s="1"/>
  <c r="X10" i="71"/>
  <c r="Z10" i="71" s="1"/>
  <c r="Z13" i="71" s="1"/>
  <c r="X35" i="71"/>
  <c r="Z35" i="71" s="1"/>
  <c r="X31" i="71"/>
  <c r="Z31" i="71" s="1"/>
  <c r="X30" i="71"/>
  <c r="Z30" i="71" s="1"/>
  <c r="X29" i="71"/>
  <c r="Z29" i="71" s="1"/>
  <c r="Z32" i="71" s="1"/>
  <c r="X46" i="71"/>
  <c r="Z46" i="71" s="1"/>
  <c r="X45" i="71"/>
  <c r="Z45" i="71" s="1"/>
  <c r="Z47" i="71" s="1"/>
  <c r="X66" i="71"/>
  <c r="Z66" i="71" s="1"/>
  <c r="X58" i="71"/>
  <c r="Z58" i="71" s="1"/>
  <c r="X57" i="71"/>
  <c r="Z57" i="71" s="1"/>
  <c r="X56" i="71"/>
  <c r="Z56" i="71" s="1"/>
  <c r="Z59" i="71" s="1"/>
  <c r="X83" i="71"/>
  <c r="Z83" i="71" s="1"/>
  <c r="X82" i="71"/>
  <c r="Z82" i="71" s="1"/>
  <c r="X75" i="71"/>
  <c r="Z75" i="71" s="1"/>
  <c r="X74" i="71"/>
  <c r="Z74" i="71" s="1"/>
  <c r="X73" i="71"/>
  <c r="Z73" i="71" s="1"/>
  <c r="Z76" i="71" s="1"/>
  <c r="Y95" i="71"/>
  <c r="Z95" i="71" s="1"/>
  <c r="Z99" i="71" s="1"/>
  <c r="Z93" i="71"/>
  <c r="Z87" i="71" s="1"/>
  <c r="I13" i="71" s="1"/>
  <c r="J13" i="71" s="1"/>
  <c r="X109" i="71"/>
  <c r="Z109" i="71" s="1"/>
  <c r="X105" i="71"/>
  <c r="Z105" i="71" s="1"/>
  <c r="Z106" i="71" s="1"/>
  <c r="X122" i="71"/>
  <c r="Z122" i="71" s="1"/>
  <c r="X121" i="71"/>
  <c r="Z121" i="71" s="1"/>
  <c r="X117" i="71"/>
  <c r="Z117" i="71" s="1"/>
  <c r="X116" i="71"/>
  <c r="Z116" i="71" s="1"/>
  <c r="Z118" i="71" s="1"/>
  <c r="Z96" i="62"/>
  <c r="Z92" i="62"/>
  <c r="Z90" i="62"/>
  <c r="Z93" i="62" s="1"/>
  <c r="Z144" i="62"/>
  <c r="Z133" i="62"/>
  <c r="Z132" i="62"/>
  <c r="Z131" i="62"/>
  <c r="Z130" i="62"/>
  <c r="Z129" i="62"/>
  <c r="Z134" i="62" s="1"/>
  <c r="Y166" i="62"/>
  <c r="Z166" i="62" s="1"/>
  <c r="Z168" i="62" s="1"/>
  <c r="Z152" i="62" s="1"/>
  <c r="I19" i="62" s="1"/>
  <c r="Z70" i="62"/>
  <c r="I12" i="62" s="1"/>
  <c r="Z102" i="62"/>
  <c r="I14" i="62" s="1"/>
  <c r="Z113" i="62"/>
  <c r="I15" i="62" s="1"/>
  <c r="Z7" i="62"/>
  <c r="I9" i="62"/>
  <c r="Z42" i="62"/>
  <c r="I10" i="62" s="1"/>
  <c r="Z53" i="62"/>
  <c r="AA445" i="65"/>
  <c r="AA423" i="65" s="1"/>
  <c r="AA519" i="65"/>
  <c r="AA497" i="65" s="1"/>
  <c r="E15" i="65" s="1"/>
  <c r="F15" i="65" s="1"/>
  <c r="Y137" i="64"/>
  <c r="Y115" i="64" s="1"/>
  <c r="H14" i="64" s="1"/>
  <c r="H18" i="161" l="1"/>
  <c r="H18" i="102"/>
  <c r="I18" i="102" s="1"/>
  <c r="H18" i="103"/>
  <c r="I18" i="103" s="1"/>
  <c r="H18" i="100"/>
  <c r="I18" i="100" s="1"/>
  <c r="H18" i="152"/>
  <c r="I18" i="152" s="1"/>
  <c r="H18" i="104"/>
  <c r="I18" i="104" s="1"/>
  <c r="H18" i="106"/>
  <c r="I18" i="106" s="1"/>
  <c r="H18" i="107"/>
  <c r="I18" i="107" s="1"/>
  <c r="H18" i="99"/>
  <c r="H18" i="110"/>
  <c r="H18" i="150"/>
  <c r="I18" i="150" s="1"/>
  <c r="H18" i="112"/>
  <c r="I18" i="112" s="1"/>
  <c r="H18" i="149"/>
  <c r="I18" i="149" s="1"/>
  <c r="H18" i="148"/>
  <c r="I18" i="148" s="1"/>
  <c r="H18" i="113"/>
  <c r="H18" i="146"/>
  <c r="I18" i="146" s="1"/>
  <c r="H18" i="141"/>
  <c r="I18" i="141" s="1"/>
  <c r="H18" i="147"/>
  <c r="I18" i="147" s="1"/>
  <c r="H18" i="98"/>
  <c r="H18" i="151"/>
  <c r="I18" i="151" s="1"/>
  <c r="H18" i="97"/>
  <c r="H18" i="143"/>
  <c r="I18" i="143" s="1"/>
  <c r="H18" i="142"/>
  <c r="I18" i="142" s="1"/>
  <c r="H18" i="154"/>
  <c r="I18" i="154" s="1"/>
  <c r="H18" i="117"/>
  <c r="I18" i="117" s="1"/>
  <c r="H18" i="144"/>
  <c r="I18" i="144" s="1"/>
  <c r="H18" i="116"/>
  <c r="I18" i="116" s="1"/>
  <c r="H18" i="96"/>
  <c r="I18" i="96" s="1"/>
  <c r="H18" i="111"/>
  <c r="H18" i="95"/>
  <c r="I18" i="95" s="1"/>
  <c r="H18" i="109"/>
  <c r="H18" i="108"/>
  <c r="H18" i="94"/>
  <c r="I18" i="94" s="1"/>
  <c r="H18" i="153"/>
  <c r="I18" i="153" s="1"/>
  <c r="H18" i="105"/>
  <c r="H18" i="101"/>
  <c r="I18" i="101" s="1"/>
  <c r="H18" i="93"/>
  <c r="I18" i="93" s="1"/>
  <c r="H18" i="92"/>
  <c r="I18" i="92" s="1"/>
  <c r="H18" i="91"/>
  <c r="I18" i="91" s="1"/>
  <c r="H18" i="145"/>
  <c r="I18" i="145" s="1"/>
  <c r="H18" i="90"/>
  <c r="I18" i="90" s="1"/>
  <c r="H18" i="156"/>
  <c r="I18" i="156" s="1"/>
  <c r="H18" i="89"/>
  <c r="H18" i="87"/>
  <c r="I18" i="87" s="1"/>
  <c r="H18" i="88"/>
  <c r="I18" i="88" s="1"/>
  <c r="H18" i="86"/>
  <c r="I18" i="86" s="1"/>
  <c r="H18" i="155"/>
  <c r="I18" i="155" s="1"/>
  <c r="H18" i="85"/>
  <c r="H18" i="84"/>
  <c r="I18" i="84" s="1"/>
  <c r="H18" i="83"/>
  <c r="I18" i="83" s="1"/>
  <c r="H18" i="82"/>
  <c r="I18" i="82" s="1"/>
  <c r="H18" i="80"/>
  <c r="I16" i="122"/>
  <c r="H18" i="118"/>
  <c r="I18" i="161"/>
  <c r="H72" i="106"/>
  <c r="H72" i="107"/>
  <c r="H72" i="110"/>
  <c r="H72" i="112"/>
  <c r="H72" i="113"/>
  <c r="H72" i="141"/>
  <c r="I72" i="141" s="1"/>
  <c r="H72" i="143"/>
  <c r="I72" i="143" s="1"/>
  <c r="H72" i="142"/>
  <c r="I72" i="142" s="1"/>
  <c r="H72" i="154"/>
  <c r="I72" i="154" s="1"/>
  <c r="H72" i="117"/>
  <c r="I72" i="117" s="1"/>
  <c r="H72" i="144"/>
  <c r="I72" i="144" s="1"/>
  <c r="H72" i="116"/>
  <c r="I72" i="116" s="1"/>
  <c r="H72" i="94"/>
  <c r="I72" i="94" s="1"/>
  <c r="H72" i="93"/>
  <c r="I72" i="93" s="1"/>
  <c r="H72" i="92"/>
  <c r="I72" i="92" s="1"/>
  <c r="H72" i="91"/>
  <c r="I72" i="91" s="1"/>
  <c r="H72" i="145"/>
  <c r="I72" i="145" s="1"/>
  <c r="H72" i="90"/>
  <c r="I72" i="90" s="1"/>
  <c r="H72" i="156"/>
  <c r="I72" i="156" s="1"/>
  <c r="H72" i="89"/>
  <c r="H72" i="87"/>
  <c r="I72" i="87" s="1"/>
  <c r="H72" i="88"/>
  <c r="I72" i="88" s="1"/>
  <c r="H72" i="86"/>
  <c r="I72" i="86" s="1"/>
  <c r="H72" i="155"/>
  <c r="I72" i="155" s="1"/>
  <c r="H72" i="85"/>
  <c r="H72" i="84"/>
  <c r="I72" i="84" s="1"/>
  <c r="H72" i="83"/>
  <c r="I72" i="83" s="1"/>
  <c r="H72" i="82"/>
  <c r="I72" i="82" s="1"/>
  <c r="H72" i="80"/>
  <c r="H72" i="118"/>
  <c r="I4" i="131"/>
  <c r="H73" i="106"/>
  <c r="H73" i="107"/>
  <c r="H73" i="110"/>
  <c r="H73" i="112"/>
  <c r="H73" i="113"/>
  <c r="H73" i="141"/>
  <c r="I73" i="141" s="1"/>
  <c r="H73" i="143"/>
  <c r="I73" i="143" s="1"/>
  <c r="H73" i="142"/>
  <c r="I73" i="142" s="1"/>
  <c r="H73" i="154"/>
  <c r="I73" i="154" s="1"/>
  <c r="H73" i="117"/>
  <c r="I73" i="117" s="1"/>
  <c r="H73" i="144"/>
  <c r="I73" i="144" s="1"/>
  <c r="H73" i="116"/>
  <c r="I73" i="116" s="1"/>
  <c r="H73" i="94"/>
  <c r="I73" i="94" s="1"/>
  <c r="H73" i="93"/>
  <c r="I73" i="93" s="1"/>
  <c r="H73" i="92"/>
  <c r="I73" i="92" s="1"/>
  <c r="H73" i="91"/>
  <c r="I73" i="91" s="1"/>
  <c r="H73" i="145"/>
  <c r="I73" i="145" s="1"/>
  <c r="H73" i="90"/>
  <c r="I73" i="90" s="1"/>
  <c r="H73" i="156"/>
  <c r="I73" i="156" s="1"/>
  <c r="H73" i="89"/>
  <c r="H73" i="87"/>
  <c r="I73" i="87" s="1"/>
  <c r="H73" i="88"/>
  <c r="I73" i="88" s="1"/>
  <c r="H73" i="86"/>
  <c r="I73" i="86" s="1"/>
  <c r="H73" i="155"/>
  <c r="I73" i="155" s="1"/>
  <c r="H73" i="85"/>
  <c r="H73" i="84"/>
  <c r="I73" i="84" s="1"/>
  <c r="H73" i="83"/>
  <c r="I73" i="83" s="1"/>
  <c r="H73" i="82"/>
  <c r="I73" i="82" s="1"/>
  <c r="H73" i="80"/>
  <c r="H73" i="118"/>
  <c r="I5" i="131"/>
  <c r="H74" i="106"/>
  <c r="H74" i="107"/>
  <c r="H74" i="110"/>
  <c r="H74" i="112"/>
  <c r="H74" i="113"/>
  <c r="H74" i="141"/>
  <c r="I74" i="141" s="1"/>
  <c r="H74" i="143"/>
  <c r="I74" i="143" s="1"/>
  <c r="H74" i="142"/>
  <c r="I74" i="142" s="1"/>
  <c r="H74" i="154"/>
  <c r="I74" i="154" s="1"/>
  <c r="H74" i="117"/>
  <c r="I74" i="117" s="1"/>
  <c r="H74" i="144"/>
  <c r="I74" i="144" s="1"/>
  <c r="H74" i="116"/>
  <c r="I74" i="116" s="1"/>
  <c r="H74" i="94"/>
  <c r="I74" i="94" s="1"/>
  <c r="H74" i="93"/>
  <c r="I74" i="93" s="1"/>
  <c r="H74" i="92"/>
  <c r="I74" i="92" s="1"/>
  <c r="H74" i="91"/>
  <c r="I74" i="91" s="1"/>
  <c r="H74" i="145"/>
  <c r="I74" i="145" s="1"/>
  <c r="H74" i="90"/>
  <c r="I74" i="90" s="1"/>
  <c r="H74" i="156"/>
  <c r="I74" i="156" s="1"/>
  <c r="H74" i="89"/>
  <c r="H74" i="87"/>
  <c r="I74" i="87" s="1"/>
  <c r="H74" i="88"/>
  <c r="I74" i="88" s="1"/>
  <c r="H74" i="86"/>
  <c r="I74" i="86" s="1"/>
  <c r="H74" i="155"/>
  <c r="I74" i="155" s="1"/>
  <c r="H74" i="85"/>
  <c r="H74" i="84"/>
  <c r="I74" i="84" s="1"/>
  <c r="H74" i="83"/>
  <c r="I74" i="83" s="1"/>
  <c r="H74" i="82"/>
  <c r="I74" i="82" s="1"/>
  <c r="H74" i="80"/>
  <c r="H74" i="118"/>
  <c r="I6" i="131"/>
  <c r="H75" i="106"/>
  <c r="H75" i="107"/>
  <c r="H75" i="110"/>
  <c r="H75" i="112"/>
  <c r="H75" i="113"/>
  <c r="H75" i="141"/>
  <c r="I75" i="141" s="1"/>
  <c r="H75" i="143"/>
  <c r="I75" i="143" s="1"/>
  <c r="H75" i="142"/>
  <c r="I75" i="142" s="1"/>
  <c r="H75" i="154"/>
  <c r="I75" i="154" s="1"/>
  <c r="H75" i="117"/>
  <c r="I75" i="117" s="1"/>
  <c r="H75" i="144"/>
  <c r="I75" i="144" s="1"/>
  <c r="H75" i="116"/>
  <c r="I75" i="116" s="1"/>
  <c r="H75" i="94"/>
  <c r="I75" i="94" s="1"/>
  <c r="H75" i="93"/>
  <c r="I75" i="93" s="1"/>
  <c r="H75" i="92"/>
  <c r="I75" i="92" s="1"/>
  <c r="H75" i="91"/>
  <c r="I75" i="91" s="1"/>
  <c r="H75" i="145"/>
  <c r="I75" i="145" s="1"/>
  <c r="H75" i="90"/>
  <c r="I75" i="90" s="1"/>
  <c r="H75" i="156"/>
  <c r="I75" i="156" s="1"/>
  <c r="H75" i="89"/>
  <c r="H75" i="87"/>
  <c r="I75" i="87" s="1"/>
  <c r="H75" i="88"/>
  <c r="I75" i="88" s="1"/>
  <c r="H75" i="86"/>
  <c r="I75" i="86" s="1"/>
  <c r="H75" i="155"/>
  <c r="I75" i="155" s="1"/>
  <c r="H75" i="85"/>
  <c r="H75" i="84"/>
  <c r="I75" i="84" s="1"/>
  <c r="H75" i="83"/>
  <c r="I75" i="83" s="1"/>
  <c r="H75" i="82"/>
  <c r="I75" i="82" s="1"/>
  <c r="H75" i="80"/>
  <c r="H75" i="118"/>
  <c r="I75" i="118" s="1"/>
  <c r="I7" i="131"/>
  <c r="H76" i="106"/>
  <c r="H76" i="107"/>
  <c r="H76" i="110"/>
  <c r="H76" i="112"/>
  <c r="H76" i="113"/>
  <c r="H76" i="141"/>
  <c r="I76" i="141" s="1"/>
  <c r="H76" i="143"/>
  <c r="I76" i="143" s="1"/>
  <c r="H76" i="142"/>
  <c r="I76" i="142" s="1"/>
  <c r="H76" i="154"/>
  <c r="I76" i="154" s="1"/>
  <c r="H76" i="117"/>
  <c r="I76" i="117" s="1"/>
  <c r="H76" i="144"/>
  <c r="I76" i="144" s="1"/>
  <c r="H76" i="116"/>
  <c r="I76" i="116" s="1"/>
  <c r="H76" i="94"/>
  <c r="I76" i="94" s="1"/>
  <c r="H76" i="93"/>
  <c r="I76" i="93" s="1"/>
  <c r="H76" i="92"/>
  <c r="I76" i="92" s="1"/>
  <c r="H76" i="91"/>
  <c r="I76" i="91" s="1"/>
  <c r="H76" i="145"/>
  <c r="I76" i="145" s="1"/>
  <c r="H76" i="90"/>
  <c r="I76" i="90" s="1"/>
  <c r="H76" i="156"/>
  <c r="I76" i="156" s="1"/>
  <c r="H76" i="89"/>
  <c r="H76" i="87"/>
  <c r="I76" i="87" s="1"/>
  <c r="H76" i="88"/>
  <c r="I76" i="88" s="1"/>
  <c r="H76" i="86"/>
  <c r="I76" i="86" s="1"/>
  <c r="H76" i="155"/>
  <c r="I76" i="155" s="1"/>
  <c r="H76" i="85"/>
  <c r="H76" i="84"/>
  <c r="I76" i="84" s="1"/>
  <c r="H76" i="83"/>
  <c r="I76" i="83" s="1"/>
  <c r="H76" i="82"/>
  <c r="I76" i="82" s="1"/>
  <c r="H76" i="80"/>
  <c r="H76" i="118"/>
  <c r="I76" i="118" s="1"/>
  <c r="I8" i="131"/>
  <c r="H77" i="106"/>
  <c r="H77" i="107"/>
  <c r="H77" i="110"/>
  <c r="H77" i="112"/>
  <c r="H77" i="113"/>
  <c r="H77" i="141"/>
  <c r="I77" i="141" s="1"/>
  <c r="H77" i="143"/>
  <c r="I77" i="143" s="1"/>
  <c r="H77" i="142"/>
  <c r="I77" i="142" s="1"/>
  <c r="H77" i="154"/>
  <c r="I77" i="154" s="1"/>
  <c r="H77" i="117"/>
  <c r="I77" i="117" s="1"/>
  <c r="H77" i="144"/>
  <c r="I77" i="144" s="1"/>
  <c r="H77" i="116"/>
  <c r="I77" i="116" s="1"/>
  <c r="H77" i="94"/>
  <c r="I77" i="94" s="1"/>
  <c r="H77" i="93"/>
  <c r="I77" i="93" s="1"/>
  <c r="H77" i="92"/>
  <c r="I77" i="92" s="1"/>
  <c r="H77" i="91"/>
  <c r="I77" i="91" s="1"/>
  <c r="H77" i="145"/>
  <c r="I77" i="145" s="1"/>
  <c r="H77" i="90"/>
  <c r="I77" i="90" s="1"/>
  <c r="H77" i="156"/>
  <c r="I77" i="156" s="1"/>
  <c r="H77" i="89"/>
  <c r="H77" i="87"/>
  <c r="I77" i="87" s="1"/>
  <c r="H77" i="88"/>
  <c r="I77" i="88" s="1"/>
  <c r="H77" i="86"/>
  <c r="I77" i="86" s="1"/>
  <c r="H77" i="155"/>
  <c r="I77" i="155" s="1"/>
  <c r="H77" i="85"/>
  <c r="H77" i="84"/>
  <c r="I77" i="84" s="1"/>
  <c r="H77" i="83"/>
  <c r="I77" i="83" s="1"/>
  <c r="H77" i="82"/>
  <c r="I77" i="82" s="1"/>
  <c r="H77" i="80"/>
  <c r="H77" i="118"/>
  <c r="I77" i="118" s="1"/>
  <c r="I9" i="131"/>
  <c r="H78" i="106"/>
  <c r="H78" i="107"/>
  <c r="H78" i="110"/>
  <c r="H78" i="112"/>
  <c r="H78" i="113"/>
  <c r="H78" i="141"/>
  <c r="I78" i="141" s="1"/>
  <c r="H78" i="143"/>
  <c r="I78" i="143" s="1"/>
  <c r="H78" i="142"/>
  <c r="I78" i="142" s="1"/>
  <c r="H78" i="154"/>
  <c r="I78" i="154" s="1"/>
  <c r="H78" i="117"/>
  <c r="I78" i="117" s="1"/>
  <c r="H78" i="144"/>
  <c r="I78" i="144" s="1"/>
  <c r="H78" i="116"/>
  <c r="I78" i="116" s="1"/>
  <c r="H78" i="94"/>
  <c r="I78" i="94" s="1"/>
  <c r="H78" i="93"/>
  <c r="I78" i="93" s="1"/>
  <c r="H78" i="92"/>
  <c r="I78" i="92" s="1"/>
  <c r="H78" i="91"/>
  <c r="I78" i="91" s="1"/>
  <c r="H78" i="145"/>
  <c r="I78" i="145" s="1"/>
  <c r="H78" i="90"/>
  <c r="I78" i="90" s="1"/>
  <c r="H78" i="156"/>
  <c r="I78" i="156" s="1"/>
  <c r="H78" i="89"/>
  <c r="H78" i="87"/>
  <c r="I78" i="87" s="1"/>
  <c r="H78" i="88"/>
  <c r="I78" i="88" s="1"/>
  <c r="H78" i="86"/>
  <c r="I78" i="86" s="1"/>
  <c r="H78" i="155"/>
  <c r="I78" i="155" s="1"/>
  <c r="H78" i="85"/>
  <c r="H78" i="84"/>
  <c r="I78" i="84" s="1"/>
  <c r="H78" i="83"/>
  <c r="I78" i="83" s="1"/>
  <c r="H78" i="82"/>
  <c r="I78" i="82" s="1"/>
  <c r="H78" i="80"/>
  <c r="I10" i="131"/>
  <c r="H78" i="118"/>
  <c r="I78" i="118" s="1"/>
  <c r="H79" i="106"/>
  <c r="H79" i="107"/>
  <c r="H79" i="110"/>
  <c r="H79" i="112"/>
  <c r="H79" i="113"/>
  <c r="H79" i="141"/>
  <c r="I79" i="141" s="1"/>
  <c r="H79" i="143"/>
  <c r="I79" i="143" s="1"/>
  <c r="H79" i="142"/>
  <c r="I79" i="142" s="1"/>
  <c r="H79" i="154"/>
  <c r="I79" i="154" s="1"/>
  <c r="H79" i="117"/>
  <c r="I79" i="117" s="1"/>
  <c r="H79" i="144"/>
  <c r="I79" i="144" s="1"/>
  <c r="H79" i="116"/>
  <c r="I79" i="116" s="1"/>
  <c r="H79" i="94"/>
  <c r="I79" i="94" s="1"/>
  <c r="H79" i="93"/>
  <c r="I79" i="93" s="1"/>
  <c r="H79" i="92"/>
  <c r="I79" i="92" s="1"/>
  <c r="H79" i="91"/>
  <c r="I79" i="91" s="1"/>
  <c r="H79" i="145"/>
  <c r="I79" i="145" s="1"/>
  <c r="H79" i="90"/>
  <c r="I79" i="90" s="1"/>
  <c r="H79" i="156"/>
  <c r="I79" i="156" s="1"/>
  <c r="H79" i="89"/>
  <c r="H79" i="87"/>
  <c r="I79" i="87" s="1"/>
  <c r="H79" i="88"/>
  <c r="I79" i="88" s="1"/>
  <c r="H79" i="86"/>
  <c r="I79" i="86" s="1"/>
  <c r="H79" i="155"/>
  <c r="I79" i="155" s="1"/>
  <c r="H79" i="85"/>
  <c r="H79" i="84"/>
  <c r="I79" i="84" s="1"/>
  <c r="H79" i="83"/>
  <c r="I79" i="83" s="1"/>
  <c r="H79" i="82"/>
  <c r="I79" i="82" s="1"/>
  <c r="H79" i="80"/>
  <c r="I11" i="131"/>
  <c r="H79" i="118"/>
  <c r="H80" i="106"/>
  <c r="H80" i="107"/>
  <c r="H80" i="110"/>
  <c r="H80" i="112"/>
  <c r="H80" i="113"/>
  <c r="H80" i="141"/>
  <c r="I80" i="141" s="1"/>
  <c r="H80" i="143"/>
  <c r="I80" i="143" s="1"/>
  <c r="H80" i="142"/>
  <c r="I80" i="142" s="1"/>
  <c r="H80" i="154"/>
  <c r="I80" i="154" s="1"/>
  <c r="H80" i="117"/>
  <c r="I80" i="117" s="1"/>
  <c r="H80" i="144"/>
  <c r="I80" i="144" s="1"/>
  <c r="H80" i="116"/>
  <c r="I80" i="116" s="1"/>
  <c r="H80" i="94"/>
  <c r="I80" i="94" s="1"/>
  <c r="H80" i="93"/>
  <c r="I80" i="93" s="1"/>
  <c r="H80" i="92"/>
  <c r="I80" i="92" s="1"/>
  <c r="H80" i="91"/>
  <c r="I80" i="91" s="1"/>
  <c r="H80" i="145"/>
  <c r="I80" i="145" s="1"/>
  <c r="H80" i="90"/>
  <c r="I80" i="90" s="1"/>
  <c r="H80" i="156"/>
  <c r="I80" i="156" s="1"/>
  <c r="H80" i="89"/>
  <c r="H80" i="87"/>
  <c r="I80" i="87" s="1"/>
  <c r="H80" i="88"/>
  <c r="I80" i="88" s="1"/>
  <c r="H80" i="86"/>
  <c r="I80" i="86" s="1"/>
  <c r="H80" i="155"/>
  <c r="I80" i="155" s="1"/>
  <c r="H80" i="85"/>
  <c r="H80" i="84"/>
  <c r="I80" i="84" s="1"/>
  <c r="H80" i="83"/>
  <c r="I80" i="83" s="1"/>
  <c r="H80" i="82"/>
  <c r="I80" i="82" s="1"/>
  <c r="H80" i="80"/>
  <c r="I12" i="131"/>
  <c r="H80" i="118"/>
  <c r="H81" i="106"/>
  <c r="H81" i="107"/>
  <c r="H81" i="110"/>
  <c r="H81" i="112"/>
  <c r="H81" i="113"/>
  <c r="H81" i="141"/>
  <c r="I81" i="141" s="1"/>
  <c r="H81" i="143"/>
  <c r="I81" i="143" s="1"/>
  <c r="H81" i="142"/>
  <c r="I81" i="142" s="1"/>
  <c r="H81" i="154"/>
  <c r="I81" i="154" s="1"/>
  <c r="H81" i="117"/>
  <c r="I81" i="117" s="1"/>
  <c r="H81" i="144"/>
  <c r="I81" i="144" s="1"/>
  <c r="H81" i="116"/>
  <c r="I81" i="116" s="1"/>
  <c r="H81" i="94"/>
  <c r="I81" i="94" s="1"/>
  <c r="H81" i="93"/>
  <c r="I81" i="93" s="1"/>
  <c r="H81" i="92"/>
  <c r="I81" i="92" s="1"/>
  <c r="H81" i="91"/>
  <c r="I81" i="91" s="1"/>
  <c r="H81" i="145"/>
  <c r="I81" i="145" s="1"/>
  <c r="H81" i="90"/>
  <c r="I81" i="90" s="1"/>
  <c r="H81" i="156"/>
  <c r="I81" i="156" s="1"/>
  <c r="H81" i="89"/>
  <c r="H81" i="87"/>
  <c r="I81" i="87" s="1"/>
  <c r="H81" i="88"/>
  <c r="I81" i="88" s="1"/>
  <c r="H81" i="86"/>
  <c r="I81" i="86" s="1"/>
  <c r="H81" i="155"/>
  <c r="I81" i="155" s="1"/>
  <c r="H81" i="85"/>
  <c r="H81" i="84"/>
  <c r="I81" i="84" s="1"/>
  <c r="H81" i="83"/>
  <c r="I81" i="83" s="1"/>
  <c r="H81" i="82"/>
  <c r="I81" i="82" s="1"/>
  <c r="H81" i="80"/>
  <c r="I13" i="131"/>
  <c r="H81" i="118"/>
  <c r="H82" i="106"/>
  <c r="H82" i="107"/>
  <c r="H82" i="110"/>
  <c r="H82" i="112"/>
  <c r="H82" i="113"/>
  <c r="H82" i="141"/>
  <c r="I82" i="141" s="1"/>
  <c r="H82" i="143"/>
  <c r="I82" i="143" s="1"/>
  <c r="H82" i="142"/>
  <c r="I82" i="142" s="1"/>
  <c r="H82" i="154"/>
  <c r="I82" i="154" s="1"/>
  <c r="H82" i="117"/>
  <c r="I82" i="117" s="1"/>
  <c r="H82" i="144"/>
  <c r="I82" i="144" s="1"/>
  <c r="H82" i="116"/>
  <c r="I82" i="116" s="1"/>
  <c r="H82" i="94"/>
  <c r="I82" i="94" s="1"/>
  <c r="H82" i="93"/>
  <c r="I82" i="93" s="1"/>
  <c r="H82" i="92"/>
  <c r="I82" i="92" s="1"/>
  <c r="H82" i="91"/>
  <c r="I82" i="91" s="1"/>
  <c r="H82" i="145"/>
  <c r="I82" i="145" s="1"/>
  <c r="H82" i="90"/>
  <c r="I82" i="90" s="1"/>
  <c r="H82" i="156"/>
  <c r="I82" i="156" s="1"/>
  <c r="H82" i="89"/>
  <c r="H82" i="87"/>
  <c r="I82" i="87" s="1"/>
  <c r="H82" i="88"/>
  <c r="I82" i="88" s="1"/>
  <c r="H82" i="86"/>
  <c r="I82" i="86" s="1"/>
  <c r="H82" i="155"/>
  <c r="I82" i="155" s="1"/>
  <c r="H82" i="85"/>
  <c r="H82" i="84"/>
  <c r="I82" i="84" s="1"/>
  <c r="H82" i="83"/>
  <c r="I82" i="83" s="1"/>
  <c r="H82" i="82"/>
  <c r="I82" i="82" s="1"/>
  <c r="H82" i="80"/>
  <c r="I14" i="131"/>
  <c r="H82" i="118"/>
  <c r="I82" i="118" s="1"/>
  <c r="H85" i="106"/>
  <c r="H85" i="107"/>
  <c r="H85" i="110"/>
  <c r="H85" i="112"/>
  <c r="H85" i="113"/>
  <c r="H85" i="141"/>
  <c r="I85" i="141" s="1"/>
  <c r="H85" i="143"/>
  <c r="I85" i="143" s="1"/>
  <c r="H85" i="142"/>
  <c r="I85" i="142" s="1"/>
  <c r="H85" i="154"/>
  <c r="I85" i="154" s="1"/>
  <c r="H85" i="117"/>
  <c r="H85" i="144"/>
  <c r="I85" i="144" s="1"/>
  <c r="H85" i="116"/>
  <c r="H85" i="94"/>
  <c r="H85" i="93"/>
  <c r="H85" i="92"/>
  <c r="H85" i="91"/>
  <c r="H85" i="145"/>
  <c r="I85" i="145" s="1"/>
  <c r="H85" i="90"/>
  <c r="H85" i="156"/>
  <c r="I85" i="156" s="1"/>
  <c r="H85" i="89"/>
  <c r="H85" i="87"/>
  <c r="H85" i="88"/>
  <c r="H85" i="86"/>
  <c r="H85" i="155"/>
  <c r="I85" i="155" s="1"/>
  <c r="H85" i="85"/>
  <c r="H85" i="84"/>
  <c r="H85" i="83"/>
  <c r="H85" i="82"/>
  <c r="H85" i="80"/>
  <c r="I33" i="131"/>
  <c r="H85" i="118"/>
  <c r="H86" i="106"/>
  <c r="H86" i="107"/>
  <c r="H86" i="110"/>
  <c r="H86" i="112"/>
  <c r="H86" i="113"/>
  <c r="H86" i="141"/>
  <c r="I86" i="141" s="1"/>
  <c r="H86" i="143"/>
  <c r="I86" i="143" s="1"/>
  <c r="H86" i="142"/>
  <c r="I86" i="142" s="1"/>
  <c r="H86" i="154"/>
  <c r="I86" i="154" s="1"/>
  <c r="H86" i="117"/>
  <c r="H86" i="144"/>
  <c r="I86" i="144" s="1"/>
  <c r="H86" i="116"/>
  <c r="H86" i="94"/>
  <c r="H86" i="93"/>
  <c r="H86" i="92"/>
  <c r="H86" i="91"/>
  <c r="H86" i="145"/>
  <c r="I86" i="145" s="1"/>
  <c r="H86" i="90"/>
  <c r="H86" i="156"/>
  <c r="I86" i="156" s="1"/>
  <c r="H86" i="89"/>
  <c r="H86" i="87"/>
  <c r="H86" i="88"/>
  <c r="H86" i="86"/>
  <c r="H86" i="155"/>
  <c r="I86" i="155" s="1"/>
  <c r="H86" i="85"/>
  <c r="H86" i="84"/>
  <c r="H86" i="83"/>
  <c r="H86" i="82"/>
  <c r="H86" i="80"/>
  <c r="I34" i="131"/>
  <c r="H86" i="118"/>
  <c r="H88" i="106"/>
  <c r="H88" i="107"/>
  <c r="H88" i="110"/>
  <c r="H88" i="112"/>
  <c r="H88" i="113"/>
  <c r="H88" i="141"/>
  <c r="I88" i="141" s="1"/>
  <c r="H88" i="143"/>
  <c r="I88" i="143" s="1"/>
  <c r="H88" i="142"/>
  <c r="I88" i="142" s="1"/>
  <c r="H88" i="154"/>
  <c r="I88" i="154" s="1"/>
  <c r="H88" i="117"/>
  <c r="H88" i="144"/>
  <c r="I88" i="144" s="1"/>
  <c r="H88" i="116"/>
  <c r="H88" i="94"/>
  <c r="H88" i="93"/>
  <c r="H88" i="92"/>
  <c r="H88" i="91"/>
  <c r="H88" i="145"/>
  <c r="I88" i="145" s="1"/>
  <c r="H88" i="90"/>
  <c r="H88" i="156"/>
  <c r="I88" i="156" s="1"/>
  <c r="H88" i="89"/>
  <c r="H88" i="87"/>
  <c r="H88" i="88"/>
  <c r="H88" i="86"/>
  <c r="H88" i="155"/>
  <c r="I88" i="155" s="1"/>
  <c r="H88" i="85"/>
  <c r="H88" i="84"/>
  <c r="H88" i="83"/>
  <c r="H88" i="82"/>
  <c r="H88" i="80"/>
  <c r="I37" i="131"/>
  <c r="H88" i="118"/>
  <c r="H90" i="106"/>
  <c r="H90" i="107"/>
  <c r="H90" i="110"/>
  <c r="H90" i="112"/>
  <c r="H90" i="113"/>
  <c r="H90" i="141"/>
  <c r="I90" i="141" s="1"/>
  <c r="H90" i="143"/>
  <c r="I90" i="143" s="1"/>
  <c r="H90" i="142"/>
  <c r="I90" i="142" s="1"/>
  <c r="H90" i="154"/>
  <c r="I90" i="154" s="1"/>
  <c r="H90" i="117"/>
  <c r="I90" i="117" s="1"/>
  <c r="H90" i="144"/>
  <c r="I90" i="144" s="1"/>
  <c r="H90" i="116"/>
  <c r="I90" i="116" s="1"/>
  <c r="H90" i="94"/>
  <c r="I90" i="94" s="1"/>
  <c r="H90" i="93"/>
  <c r="I90" i="93" s="1"/>
  <c r="H90" i="92"/>
  <c r="I90" i="92" s="1"/>
  <c r="H90" i="91"/>
  <c r="I90" i="91" s="1"/>
  <c r="H90" i="145"/>
  <c r="I90" i="145" s="1"/>
  <c r="H90" i="90"/>
  <c r="I90" i="90" s="1"/>
  <c r="H90" i="156"/>
  <c r="I90" i="156" s="1"/>
  <c r="H90" i="89"/>
  <c r="H90" i="87"/>
  <c r="I90" i="87" s="1"/>
  <c r="H90" i="88"/>
  <c r="I90" i="88" s="1"/>
  <c r="H90" i="86"/>
  <c r="I90" i="86" s="1"/>
  <c r="H90" i="155"/>
  <c r="I90" i="155" s="1"/>
  <c r="H90" i="85"/>
  <c r="H90" i="84"/>
  <c r="I90" i="84" s="1"/>
  <c r="H90" i="83"/>
  <c r="I90" i="83" s="1"/>
  <c r="H90" i="82"/>
  <c r="I90" i="82" s="1"/>
  <c r="H90" i="80"/>
  <c r="I40" i="131"/>
  <c r="H90" i="118"/>
  <c r="H91" i="106"/>
  <c r="H91" i="107"/>
  <c r="H91" i="110"/>
  <c r="H91" i="112"/>
  <c r="H91" i="113"/>
  <c r="H91" i="141"/>
  <c r="I91" i="141" s="1"/>
  <c r="H91" i="143"/>
  <c r="I91" i="143" s="1"/>
  <c r="H91" i="142"/>
  <c r="I91" i="142" s="1"/>
  <c r="H91" i="154"/>
  <c r="I91" i="154" s="1"/>
  <c r="H91" i="117"/>
  <c r="I91" i="117" s="1"/>
  <c r="H91" i="144"/>
  <c r="I91" i="144" s="1"/>
  <c r="H91" i="116"/>
  <c r="I91" i="116" s="1"/>
  <c r="H91" i="94"/>
  <c r="I91" i="94" s="1"/>
  <c r="H91" i="93"/>
  <c r="H91" i="92"/>
  <c r="I91" i="92" s="1"/>
  <c r="H91" i="91"/>
  <c r="I91" i="91" s="1"/>
  <c r="H91" i="145"/>
  <c r="I91" i="145" s="1"/>
  <c r="H91" i="90"/>
  <c r="I91" i="90" s="1"/>
  <c r="H91" i="156"/>
  <c r="I91" i="156" s="1"/>
  <c r="H91" i="89"/>
  <c r="H91" i="87"/>
  <c r="I91" i="87" s="1"/>
  <c r="H91" i="88"/>
  <c r="I91" i="88" s="1"/>
  <c r="H91" i="86"/>
  <c r="I91" i="86" s="1"/>
  <c r="H91" i="155"/>
  <c r="I91" i="155" s="1"/>
  <c r="H91" i="85"/>
  <c r="H91" i="84"/>
  <c r="I91" i="84" s="1"/>
  <c r="H91" i="83"/>
  <c r="I91" i="83" s="1"/>
  <c r="H91" i="82"/>
  <c r="I91" i="82" s="1"/>
  <c r="H91" i="80"/>
  <c r="I41" i="131"/>
  <c r="H91" i="118"/>
  <c r="J269" i="135"/>
  <c r="K269" i="135" s="1"/>
  <c r="K272" i="135" s="1"/>
  <c r="K255" i="135" s="1"/>
  <c r="J27" i="124" s="1"/>
  <c r="K27" i="124" s="1"/>
  <c r="K26" i="124" s="1"/>
  <c r="G44" i="108"/>
  <c r="I44" i="108" s="1"/>
  <c r="G45" i="108"/>
  <c r="I45" i="108" s="1"/>
  <c r="G46" i="108"/>
  <c r="G46" i="113"/>
  <c r="G45" i="113"/>
  <c r="I45" i="113" s="1"/>
  <c r="G44" i="113"/>
  <c r="I44" i="113" s="1"/>
  <c r="G45" i="110"/>
  <c r="I45" i="110" s="1"/>
  <c r="G46" i="110"/>
  <c r="G45" i="99"/>
  <c r="I45" i="99" s="1"/>
  <c r="G46" i="99"/>
  <c r="G45" i="98"/>
  <c r="I45" i="98" s="1"/>
  <c r="G46" i="98"/>
  <c r="G45" i="97"/>
  <c r="I45" i="97" s="1"/>
  <c r="G46" i="97"/>
  <c r="G46" i="89"/>
  <c r="G45" i="89"/>
  <c r="I45" i="89" s="1"/>
  <c r="G44" i="89"/>
  <c r="I44" i="89" s="1"/>
  <c r="H50" i="122"/>
  <c r="J50" i="122" s="1"/>
  <c r="J49" i="122" s="1"/>
  <c r="H52" i="122"/>
  <c r="J52" i="122" s="1"/>
  <c r="J51" i="122" s="1"/>
  <c r="G45" i="118"/>
  <c r="G46" i="118"/>
  <c r="H58" i="122"/>
  <c r="J58" i="122" s="1"/>
  <c r="J57" i="122" s="1"/>
  <c r="H33" i="123"/>
  <c r="H31" i="123"/>
  <c r="H32" i="123"/>
  <c r="J67" i="123"/>
  <c r="J59" i="123"/>
  <c r="I7" i="140"/>
  <c r="H44" i="123"/>
  <c r="J44" i="123" s="1"/>
  <c r="G12" i="140"/>
  <c r="H53" i="123" s="1"/>
  <c r="J53" i="123" s="1"/>
  <c r="H51" i="123"/>
  <c r="J51" i="123" s="1"/>
  <c r="I11" i="140"/>
  <c r="H52" i="123"/>
  <c r="J52" i="123" s="1"/>
  <c r="G8" i="140"/>
  <c r="H45" i="123" s="1"/>
  <c r="J45" i="123" s="1"/>
  <c r="I6" i="140"/>
  <c r="I85" i="116"/>
  <c r="I85" i="117"/>
  <c r="I85" i="94"/>
  <c r="I85" i="93"/>
  <c r="I85" i="92"/>
  <c r="I85" i="91"/>
  <c r="I85" i="90"/>
  <c r="I85" i="88"/>
  <c r="I85" i="87"/>
  <c r="I85" i="86"/>
  <c r="I85" i="84"/>
  <c r="I85" i="83"/>
  <c r="I85" i="82"/>
  <c r="I88" i="116"/>
  <c r="I88" i="117"/>
  <c r="I88" i="94"/>
  <c r="I88" i="93"/>
  <c r="I88" i="92"/>
  <c r="I88" i="91"/>
  <c r="I88" i="90"/>
  <c r="I88" i="88"/>
  <c r="I88" i="87"/>
  <c r="I88" i="86"/>
  <c r="I88" i="84"/>
  <c r="I88" i="83"/>
  <c r="I88" i="82"/>
  <c r="I86" i="116"/>
  <c r="I86" i="117"/>
  <c r="I86" i="94"/>
  <c r="I86" i="93"/>
  <c r="I86" i="92"/>
  <c r="I86" i="91"/>
  <c r="I86" i="90"/>
  <c r="I86" i="88"/>
  <c r="I86" i="87"/>
  <c r="I86" i="86"/>
  <c r="I86" i="84"/>
  <c r="I86" i="83"/>
  <c r="I86" i="82"/>
  <c r="J4" i="82" s="1"/>
  <c r="M4" i="82" s="1"/>
  <c r="J28" i="125"/>
  <c r="C88" i="127"/>
  <c r="J26" i="125"/>
  <c r="J25" i="125" s="1"/>
  <c r="C86" i="127"/>
  <c r="I10" i="140"/>
  <c r="J25" i="72"/>
  <c r="J24" i="72"/>
  <c r="J29" i="72"/>
  <c r="J27" i="72"/>
  <c r="J33" i="72"/>
  <c r="J31" i="72"/>
  <c r="K25" i="74"/>
  <c r="F11" i="65"/>
  <c r="J25" i="74"/>
  <c r="L25" i="74"/>
  <c r="Z266" i="138"/>
  <c r="I30" i="138" s="1"/>
  <c r="J30" i="138" s="1"/>
  <c r="K4" i="138" s="1"/>
  <c r="N4" i="138"/>
  <c r="J557" i="135"/>
  <c r="K557" i="135" s="1"/>
  <c r="K559" i="135" s="1"/>
  <c r="K547" i="135" s="1"/>
  <c r="J16" i="119"/>
  <c r="K13" i="124"/>
  <c r="J19" i="119"/>
  <c r="I16" i="124"/>
  <c r="K16" i="124" s="1"/>
  <c r="J21" i="119"/>
  <c r="I18" i="124"/>
  <c r="K18" i="124" s="1"/>
  <c r="J10" i="119"/>
  <c r="I7" i="124"/>
  <c r="K7" i="124" s="1"/>
  <c r="K5" i="124" s="1"/>
  <c r="J74" i="119"/>
  <c r="K68" i="124"/>
  <c r="J75" i="119"/>
  <c r="K69" i="124"/>
  <c r="J76" i="119"/>
  <c r="K70" i="124"/>
  <c r="J77" i="119"/>
  <c r="K71" i="124"/>
  <c r="J78" i="119"/>
  <c r="K72" i="124"/>
  <c r="J79" i="119"/>
  <c r="K73" i="124"/>
  <c r="J80" i="119"/>
  <c r="K74" i="124"/>
  <c r="J82" i="119"/>
  <c r="K76" i="124"/>
  <c r="J83" i="119"/>
  <c r="K77" i="124"/>
  <c r="J58" i="119"/>
  <c r="I52" i="124"/>
  <c r="K52" i="124" s="1"/>
  <c r="K51" i="124" s="1"/>
  <c r="K46" i="124" s="1"/>
  <c r="K38" i="124" s="1"/>
  <c r="AG510" i="121"/>
  <c r="AG513" i="121" s="1"/>
  <c r="AG507" i="121" s="1"/>
  <c r="U437" i="121" s="1"/>
  <c r="AG520" i="121"/>
  <c r="AG523" i="121" s="1"/>
  <c r="AG517" i="121" s="1"/>
  <c r="U438" i="121" s="1"/>
  <c r="F60" i="121"/>
  <c r="J54" i="122"/>
  <c r="J53" i="122" s="1"/>
  <c r="J42" i="122" s="1"/>
  <c r="F90" i="121"/>
  <c r="J61" i="122"/>
  <c r="F89" i="121"/>
  <c r="J60" i="122"/>
  <c r="F88" i="121"/>
  <c r="J59" i="122"/>
  <c r="AG35" i="121"/>
  <c r="AG36" i="121" s="1"/>
  <c r="AG22" i="121" s="1"/>
  <c r="U9" i="121" s="1"/>
  <c r="K1319" i="129"/>
  <c r="K1322" i="129" s="1"/>
  <c r="K1316" i="129" s="1"/>
  <c r="I106" i="123" s="1"/>
  <c r="E47" i="121"/>
  <c r="V282" i="121"/>
  <c r="AG82" i="121"/>
  <c r="AG86" i="121" s="1"/>
  <c r="AG74" i="121" s="1"/>
  <c r="I79" i="123"/>
  <c r="J79" i="123" s="1"/>
  <c r="J96" i="123"/>
  <c r="J88" i="123"/>
  <c r="I78" i="123"/>
  <c r="J78" i="123" s="1"/>
  <c r="J95" i="123"/>
  <c r="J87" i="123"/>
  <c r="I77" i="123"/>
  <c r="J77" i="123" s="1"/>
  <c r="J94" i="123"/>
  <c r="J86" i="123"/>
  <c r="I75" i="123"/>
  <c r="J75" i="123" s="1"/>
  <c r="J84" i="123"/>
  <c r="I74" i="123"/>
  <c r="J74" i="123" s="1"/>
  <c r="J72" i="123" s="1"/>
  <c r="J83" i="123"/>
  <c r="K1341" i="129"/>
  <c r="K1335" i="129" s="1"/>
  <c r="I108" i="123" s="1"/>
  <c r="K1331" i="129"/>
  <c r="K1325" i="129" s="1"/>
  <c r="I107" i="123" s="1"/>
  <c r="V431" i="121"/>
  <c r="E78" i="121"/>
  <c r="V432" i="121"/>
  <c r="E79" i="121"/>
  <c r="V433" i="121"/>
  <c r="E80" i="121"/>
  <c r="F80" i="121" s="1"/>
  <c r="V434" i="121"/>
  <c r="E81" i="121"/>
  <c r="V435" i="121"/>
  <c r="E82" i="121"/>
  <c r="V437" i="121"/>
  <c r="E84" i="121"/>
  <c r="V438" i="121"/>
  <c r="E85" i="121"/>
  <c r="F49" i="121"/>
  <c r="H93" i="123"/>
  <c r="J93" i="123" s="1"/>
  <c r="F48" i="121"/>
  <c r="H92" i="123"/>
  <c r="J92" i="123" s="1"/>
  <c r="J90" i="123" s="1"/>
  <c r="F78" i="121"/>
  <c r="F79" i="121"/>
  <c r="F81" i="121"/>
  <c r="F82" i="121"/>
  <c r="H106" i="123"/>
  <c r="J106" i="123" s="1"/>
  <c r="F84" i="121"/>
  <c r="H107" i="123"/>
  <c r="F85" i="121"/>
  <c r="H108" i="123"/>
  <c r="F86" i="121"/>
  <c r="H109" i="123"/>
  <c r="J109" i="123" s="1"/>
  <c r="J82" i="123"/>
  <c r="J81" i="123" s="1"/>
  <c r="E59" i="121"/>
  <c r="E62" i="121"/>
  <c r="E64" i="121"/>
  <c r="F65" i="121"/>
  <c r="H102" i="123"/>
  <c r="J102" i="123" s="1"/>
  <c r="F64" i="121"/>
  <c r="H101" i="123"/>
  <c r="J101" i="123" s="1"/>
  <c r="H100" i="123"/>
  <c r="J100" i="123" s="1"/>
  <c r="F62" i="121"/>
  <c r="H99" i="123"/>
  <c r="J99" i="123" s="1"/>
  <c r="H98" i="123"/>
  <c r="J98" i="123" s="1"/>
  <c r="J97" i="123" s="1"/>
  <c r="F59" i="121"/>
  <c r="I91" i="93"/>
  <c r="I38" i="80"/>
  <c r="M2" i="85"/>
  <c r="G7" i="118"/>
  <c r="G8" i="118"/>
  <c r="G9" i="118"/>
  <c r="G10" i="118"/>
  <c r="G13" i="118"/>
  <c r="G14" i="118"/>
  <c r="G16" i="118"/>
  <c r="G18" i="118"/>
  <c r="G19" i="118"/>
  <c r="G21" i="118"/>
  <c r="G22" i="118"/>
  <c r="G23" i="118"/>
  <c r="G24" i="118"/>
  <c r="G25" i="118"/>
  <c r="G26" i="118"/>
  <c r="G28" i="118"/>
  <c r="G29" i="118"/>
  <c r="G30" i="118"/>
  <c r="G31" i="118"/>
  <c r="G32" i="118"/>
  <c r="G33" i="118"/>
  <c r="G35" i="118"/>
  <c r="G36" i="118"/>
  <c r="G37" i="118"/>
  <c r="G38" i="118"/>
  <c r="G39" i="118"/>
  <c r="G41" i="118"/>
  <c r="G42" i="118"/>
  <c r="G48" i="118"/>
  <c r="G49" i="118"/>
  <c r="G50" i="118"/>
  <c r="G51" i="118"/>
  <c r="G52" i="118"/>
  <c r="G53" i="118"/>
  <c r="G54" i="118"/>
  <c r="G55" i="118"/>
  <c r="G56" i="118"/>
  <c r="G57" i="118"/>
  <c r="G59" i="118"/>
  <c r="G60" i="118"/>
  <c r="G61" i="118"/>
  <c r="G62" i="118"/>
  <c r="G64" i="118"/>
  <c r="G65" i="118"/>
  <c r="G66" i="118"/>
  <c r="G67" i="118"/>
  <c r="G91" i="113"/>
  <c r="G90" i="113"/>
  <c r="G88" i="113"/>
  <c r="G86" i="113"/>
  <c r="G85" i="113"/>
  <c r="G82" i="113"/>
  <c r="G81" i="113"/>
  <c r="G80" i="113"/>
  <c r="G79" i="113"/>
  <c r="G78" i="113"/>
  <c r="G77" i="113"/>
  <c r="G76" i="113"/>
  <c r="G75" i="113"/>
  <c r="G74" i="113"/>
  <c r="G73" i="113"/>
  <c r="G72" i="113"/>
  <c r="G91" i="89"/>
  <c r="G90" i="89"/>
  <c r="G88" i="89"/>
  <c r="G86" i="89"/>
  <c r="G85" i="89"/>
  <c r="G82" i="89"/>
  <c r="G81" i="89"/>
  <c r="G80" i="89"/>
  <c r="G79" i="89"/>
  <c r="G78" i="89"/>
  <c r="G77" i="89"/>
  <c r="G76" i="89"/>
  <c r="G75" i="89"/>
  <c r="G74" i="89"/>
  <c r="G73" i="89"/>
  <c r="G72" i="89"/>
  <c r="G91" i="85"/>
  <c r="H41" i="131" s="1"/>
  <c r="G90" i="85"/>
  <c r="H40" i="131" s="1"/>
  <c r="G88" i="85"/>
  <c r="H37" i="131" s="1"/>
  <c r="G86" i="85"/>
  <c r="H34" i="131" s="1"/>
  <c r="G85" i="85"/>
  <c r="G82" i="85"/>
  <c r="H14" i="131" s="1"/>
  <c r="G81" i="85"/>
  <c r="H13" i="131" s="1"/>
  <c r="G80" i="85"/>
  <c r="H12" i="131" s="1"/>
  <c r="G79" i="85"/>
  <c r="H11" i="131" s="1"/>
  <c r="G78" i="85"/>
  <c r="H10" i="131" s="1"/>
  <c r="G77" i="85"/>
  <c r="H9" i="131" s="1"/>
  <c r="G76" i="85"/>
  <c r="H8" i="131" s="1"/>
  <c r="G75" i="85"/>
  <c r="H7" i="131" s="1"/>
  <c r="G74" i="85"/>
  <c r="H6" i="131" s="1"/>
  <c r="G73" i="85"/>
  <c r="G72" i="85"/>
  <c r="H4" i="131" s="1"/>
  <c r="I57" i="80"/>
  <c r="I56" i="80"/>
  <c r="I55" i="80"/>
  <c r="I54" i="80"/>
  <c r="I53" i="80"/>
  <c r="I52" i="80"/>
  <c r="I51" i="80"/>
  <c r="I50" i="80"/>
  <c r="I49" i="80"/>
  <c r="I48" i="80"/>
  <c r="I62" i="80"/>
  <c r="I64" i="80"/>
  <c r="J4" i="131"/>
  <c r="I72" i="118"/>
  <c r="I81" i="118"/>
  <c r="I80" i="118"/>
  <c r="I79" i="118"/>
  <c r="I74" i="118"/>
  <c r="I73" i="118"/>
  <c r="I85" i="118"/>
  <c r="I88" i="118"/>
  <c r="I90" i="118"/>
  <c r="I91" i="118"/>
  <c r="I86" i="118"/>
  <c r="I44" i="118"/>
  <c r="I47" i="118"/>
  <c r="I6" i="118"/>
  <c r="I14" i="83"/>
  <c r="I42" i="83"/>
  <c r="I13" i="83"/>
  <c r="I41" i="83"/>
  <c r="J380" i="129"/>
  <c r="K380" i="129" s="1"/>
  <c r="K382" i="129" s="1"/>
  <c r="K368" i="129"/>
  <c r="I33" i="123" s="1"/>
  <c r="Z81" i="65"/>
  <c r="AA81" i="65" s="1"/>
  <c r="AA84" i="65" s="1"/>
  <c r="AA70" i="65"/>
  <c r="Z65" i="65"/>
  <c r="AA65" i="65" s="1"/>
  <c r="AA67" i="65" s="1"/>
  <c r="AA53" i="65"/>
  <c r="Z49" i="65"/>
  <c r="AA49" i="65" s="1"/>
  <c r="AA50" i="65" s="1"/>
  <c r="AA42" i="65"/>
  <c r="Z34" i="65"/>
  <c r="AA34" i="65" s="1"/>
  <c r="AA36" i="65" s="1"/>
  <c r="AA26" i="65"/>
  <c r="E53" i="121"/>
  <c r="E46" i="121"/>
  <c r="F53" i="121"/>
  <c r="F47" i="121"/>
  <c r="F46" i="121"/>
  <c r="U71" i="121"/>
  <c r="E37" i="121" s="1"/>
  <c r="AF321" i="121"/>
  <c r="AG321" i="121" s="1"/>
  <c r="AG322" i="121" s="1"/>
  <c r="AG314" i="121" s="1"/>
  <c r="U286" i="121" s="1"/>
  <c r="U61" i="121"/>
  <c r="E27" i="121" s="1"/>
  <c r="U280" i="121"/>
  <c r="F27" i="121"/>
  <c r="F37" i="121"/>
  <c r="I91" i="113"/>
  <c r="I90" i="113"/>
  <c r="I88" i="113"/>
  <c r="I86" i="113"/>
  <c r="I85" i="113"/>
  <c r="I82" i="113"/>
  <c r="I81" i="113"/>
  <c r="I80" i="113"/>
  <c r="I79" i="113"/>
  <c r="I78" i="113"/>
  <c r="I77" i="113"/>
  <c r="I76" i="113"/>
  <c r="I75" i="113"/>
  <c r="I74" i="113"/>
  <c r="I73" i="113"/>
  <c r="I72" i="113"/>
  <c r="G67" i="113"/>
  <c r="I67" i="113" s="1"/>
  <c r="G66" i="113"/>
  <c r="I66" i="113" s="1"/>
  <c r="G65" i="113"/>
  <c r="I65" i="113" s="1"/>
  <c r="G64" i="113"/>
  <c r="I64" i="113" s="1"/>
  <c r="G62" i="113"/>
  <c r="I62" i="113" s="1"/>
  <c r="G61" i="113"/>
  <c r="I61" i="113" s="1"/>
  <c r="G60" i="113"/>
  <c r="I60" i="113" s="1"/>
  <c r="G59" i="113"/>
  <c r="I59" i="113" s="1"/>
  <c r="G57" i="113"/>
  <c r="I57" i="113" s="1"/>
  <c r="G56" i="113"/>
  <c r="I56" i="113" s="1"/>
  <c r="G55" i="113"/>
  <c r="I55" i="113" s="1"/>
  <c r="G54" i="113"/>
  <c r="I54" i="113" s="1"/>
  <c r="G53" i="113"/>
  <c r="I53" i="113" s="1"/>
  <c r="G52" i="113"/>
  <c r="I52" i="113" s="1"/>
  <c r="G51" i="113"/>
  <c r="I51" i="113" s="1"/>
  <c r="G50" i="113"/>
  <c r="I50" i="113" s="1"/>
  <c r="G49" i="113"/>
  <c r="I49" i="113" s="1"/>
  <c r="G48" i="113"/>
  <c r="I48" i="113" s="1"/>
  <c r="G47" i="113"/>
  <c r="I47" i="113" s="1"/>
  <c r="G42" i="113"/>
  <c r="I42" i="113" s="1"/>
  <c r="G41" i="113"/>
  <c r="I41" i="113" s="1"/>
  <c r="G39" i="113"/>
  <c r="I39" i="113" s="1"/>
  <c r="G38" i="113"/>
  <c r="I38" i="113" s="1"/>
  <c r="G37" i="113"/>
  <c r="I37" i="113" s="1"/>
  <c r="G36" i="113"/>
  <c r="I36" i="113" s="1"/>
  <c r="G35" i="113"/>
  <c r="I35" i="113" s="1"/>
  <c r="G33" i="113"/>
  <c r="I33" i="113" s="1"/>
  <c r="G32" i="113"/>
  <c r="I32" i="113" s="1"/>
  <c r="G31" i="113"/>
  <c r="I31" i="113" s="1"/>
  <c r="G30" i="113"/>
  <c r="I30" i="113" s="1"/>
  <c r="G29" i="113"/>
  <c r="I29" i="113" s="1"/>
  <c r="G28" i="113"/>
  <c r="I28" i="113" s="1"/>
  <c r="G26" i="113"/>
  <c r="I26" i="113" s="1"/>
  <c r="G25" i="113"/>
  <c r="I25" i="113" s="1"/>
  <c r="G24" i="113"/>
  <c r="I24" i="113" s="1"/>
  <c r="G23" i="113"/>
  <c r="I23" i="113" s="1"/>
  <c r="G22" i="113"/>
  <c r="I22" i="113" s="1"/>
  <c r="G21" i="113"/>
  <c r="I21" i="113" s="1"/>
  <c r="G19" i="113"/>
  <c r="I19" i="113" s="1"/>
  <c r="G18" i="113"/>
  <c r="I18" i="113" s="1"/>
  <c r="G16" i="113"/>
  <c r="I16" i="113" s="1"/>
  <c r="G14" i="113"/>
  <c r="I14" i="113" s="1"/>
  <c r="G13" i="113"/>
  <c r="I13" i="113" s="1"/>
  <c r="G10" i="113"/>
  <c r="I10" i="113" s="1"/>
  <c r="G9" i="113"/>
  <c r="I9" i="113" s="1"/>
  <c r="G8" i="113"/>
  <c r="I8" i="113" s="1"/>
  <c r="G7" i="113"/>
  <c r="I7" i="113" s="1"/>
  <c r="G6" i="113"/>
  <c r="I6" i="113" s="1"/>
  <c r="G67" i="110"/>
  <c r="I67" i="110" s="1"/>
  <c r="G66" i="110"/>
  <c r="I66" i="110" s="1"/>
  <c r="G65" i="110"/>
  <c r="I65" i="110" s="1"/>
  <c r="G64" i="110"/>
  <c r="I64" i="110" s="1"/>
  <c r="G62" i="110"/>
  <c r="I62" i="110" s="1"/>
  <c r="G61" i="110"/>
  <c r="I61" i="110" s="1"/>
  <c r="G60" i="110"/>
  <c r="I60" i="110" s="1"/>
  <c r="G59" i="110"/>
  <c r="I59" i="110" s="1"/>
  <c r="G57" i="110"/>
  <c r="I57" i="110" s="1"/>
  <c r="G56" i="110"/>
  <c r="I56" i="110" s="1"/>
  <c r="G55" i="110"/>
  <c r="I55" i="110" s="1"/>
  <c r="G54" i="110"/>
  <c r="I54" i="110" s="1"/>
  <c r="G53" i="110"/>
  <c r="I53" i="110" s="1"/>
  <c r="G52" i="110"/>
  <c r="I52" i="110" s="1"/>
  <c r="G51" i="110"/>
  <c r="I51" i="110" s="1"/>
  <c r="G50" i="110"/>
  <c r="I50" i="110" s="1"/>
  <c r="G49" i="110"/>
  <c r="I49" i="110" s="1"/>
  <c r="G48" i="110"/>
  <c r="I48" i="110" s="1"/>
  <c r="G47" i="110"/>
  <c r="I47" i="110" s="1"/>
  <c r="G44" i="110"/>
  <c r="I44" i="110" s="1"/>
  <c r="G42" i="110"/>
  <c r="I42" i="110" s="1"/>
  <c r="G41" i="110"/>
  <c r="I41" i="110" s="1"/>
  <c r="G39" i="110"/>
  <c r="I39" i="110" s="1"/>
  <c r="G38" i="110"/>
  <c r="I38" i="110" s="1"/>
  <c r="G37" i="110"/>
  <c r="I37" i="110" s="1"/>
  <c r="G36" i="110"/>
  <c r="I36" i="110" s="1"/>
  <c r="G35" i="110"/>
  <c r="I35" i="110" s="1"/>
  <c r="G33" i="110"/>
  <c r="I33" i="110" s="1"/>
  <c r="G32" i="110"/>
  <c r="I32" i="110" s="1"/>
  <c r="G31" i="110"/>
  <c r="I31" i="110" s="1"/>
  <c r="G30" i="110"/>
  <c r="I30" i="110" s="1"/>
  <c r="G29" i="110"/>
  <c r="I29" i="110" s="1"/>
  <c r="G28" i="110"/>
  <c r="I28" i="110" s="1"/>
  <c r="G26" i="110"/>
  <c r="I26" i="110" s="1"/>
  <c r="G25" i="110"/>
  <c r="I25" i="110" s="1"/>
  <c r="G24" i="110"/>
  <c r="I24" i="110" s="1"/>
  <c r="G23" i="110"/>
  <c r="I23" i="110" s="1"/>
  <c r="G22" i="110"/>
  <c r="I22" i="110" s="1"/>
  <c r="G21" i="110"/>
  <c r="I21" i="110" s="1"/>
  <c r="G19" i="110"/>
  <c r="I19" i="110" s="1"/>
  <c r="G18" i="110"/>
  <c r="I18" i="110" s="1"/>
  <c r="G16" i="110"/>
  <c r="I16" i="110" s="1"/>
  <c r="G14" i="110"/>
  <c r="I14" i="110" s="1"/>
  <c r="G13" i="110"/>
  <c r="I13" i="110" s="1"/>
  <c r="G10" i="110"/>
  <c r="I10" i="110" s="1"/>
  <c r="G9" i="110"/>
  <c r="I9" i="110" s="1"/>
  <c r="G8" i="110"/>
  <c r="I8" i="110" s="1"/>
  <c r="G7" i="110"/>
  <c r="I7" i="110" s="1"/>
  <c r="G6" i="110"/>
  <c r="I6" i="110" s="1"/>
  <c r="G6" i="99"/>
  <c r="I6" i="99" s="1"/>
  <c r="G7" i="99"/>
  <c r="I7" i="99" s="1"/>
  <c r="G8" i="99"/>
  <c r="I8" i="99" s="1"/>
  <c r="G9" i="99"/>
  <c r="I9" i="99" s="1"/>
  <c r="G10" i="99"/>
  <c r="I10" i="99" s="1"/>
  <c r="G13" i="99"/>
  <c r="I13" i="99" s="1"/>
  <c r="G14" i="99"/>
  <c r="I14" i="99" s="1"/>
  <c r="G16" i="99"/>
  <c r="I16" i="99" s="1"/>
  <c r="G18" i="99"/>
  <c r="I18" i="99" s="1"/>
  <c r="G19" i="99"/>
  <c r="I19" i="99" s="1"/>
  <c r="G21" i="99"/>
  <c r="I21" i="99" s="1"/>
  <c r="G22" i="99"/>
  <c r="I22" i="99" s="1"/>
  <c r="G23" i="99"/>
  <c r="I23" i="99" s="1"/>
  <c r="G24" i="99"/>
  <c r="I24" i="99" s="1"/>
  <c r="G25" i="99"/>
  <c r="I25" i="99" s="1"/>
  <c r="G26" i="99"/>
  <c r="I26" i="99" s="1"/>
  <c r="G28" i="99"/>
  <c r="I28" i="99" s="1"/>
  <c r="G29" i="99"/>
  <c r="I29" i="99" s="1"/>
  <c r="G30" i="99"/>
  <c r="I30" i="99" s="1"/>
  <c r="G31" i="99"/>
  <c r="I31" i="99" s="1"/>
  <c r="G32" i="99"/>
  <c r="I32" i="99" s="1"/>
  <c r="G33" i="99"/>
  <c r="I33" i="99" s="1"/>
  <c r="G35" i="99"/>
  <c r="I35" i="99" s="1"/>
  <c r="G36" i="99"/>
  <c r="I36" i="99" s="1"/>
  <c r="G37" i="99"/>
  <c r="I37" i="99" s="1"/>
  <c r="G38" i="99"/>
  <c r="I38" i="99" s="1"/>
  <c r="G39" i="99"/>
  <c r="I39" i="99" s="1"/>
  <c r="G41" i="99"/>
  <c r="I41" i="99" s="1"/>
  <c r="G42" i="99"/>
  <c r="I42" i="99" s="1"/>
  <c r="G44" i="99"/>
  <c r="I44" i="99" s="1"/>
  <c r="G47" i="99"/>
  <c r="I47" i="99" s="1"/>
  <c r="G48" i="99"/>
  <c r="I48" i="99" s="1"/>
  <c r="G49" i="99"/>
  <c r="I49" i="99" s="1"/>
  <c r="G50" i="99"/>
  <c r="I50" i="99" s="1"/>
  <c r="G51" i="99"/>
  <c r="I51" i="99" s="1"/>
  <c r="G52" i="99"/>
  <c r="I52" i="99" s="1"/>
  <c r="G53" i="99"/>
  <c r="I53" i="99" s="1"/>
  <c r="G54" i="99"/>
  <c r="I54" i="99" s="1"/>
  <c r="G55" i="99"/>
  <c r="I55" i="99" s="1"/>
  <c r="G56" i="99"/>
  <c r="I56" i="99" s="1"/>
  <c r="G57" i="99"/>
  <c r="I57" i="99" s="1"/>
  <c r="G59" i="99"/>
  <c r="I59" i="99" s="1"/>
  <c r="G60" i="99"/>
  <c r="I60" i="99" s="1"/>
  <c r="G61" i="99"/>
  <c r="I61" i="99" s="1"/>
  <c r="G62" i="99"/>
  <c r="I62" i="99" s="1"/>
  <c r="G64" i="99"/>
  <c r="I64" i="99" s="1"/>
  <c r="G65" i="99"/>
  <c r="I65" i="99" s="1"/>
  <c r="G66" i="99"/>
  <c r="I66" i="99" s="1"/>
  <c r="G67" i="99"/>
  <c r="I67" i="99" s="1"/>
  <c r="G13" i="98"/>
  <c r="I13" i="98" s="1"/>
  <c r="G6" i="98"/>
  <c r="I6" i="98" s="1"/>
  <c r="G7" i="98"/>
  <c r="I7" i="98" s="1"/>
  <c r="G8" i="98"/>
  <c r="I8" i="98" s="1"/>
  <c r="G9" i="98"/>
  <c r="I9" i="98" s="1"/>
  <c r="G10" i="98"/>
  <c r="I10" i="98" s="1"/>
  <c r="G14" i="98"/>
  <c r="I14" i="98" s="1"/>
  <c r="G16" i="98"/>
  <c r="I16" i="98" s="1"/>
  <c r="G18" i="98"/>
  <c r="I18" i="98" s="1"/>
  <c r="G19" i="98"/>
  <c r="I19" i="98" s="1"/>
  <c r="G21" i="98"/>
  <c r="I21" i="98" s="1"/>
  <c r="G22" i="98"/>
  <c r="I22" i="98" s="1"/>
  <c r="G23" i="98"/>
  <c r="I23" i="98" s="1"/>
  <c r="G24" i="98"/>
  <c r="I24" i="98" s="1"/>
  <c r="G25" i="98"/>
  <c r="I25" i="98" s="1"/>
  <c r="G26" i="98"/>
  <c r="I26" i="98" s="1"/>
  <c r="G28" i="98"/>
  <c r="I28" i="98" s="1"/>
  <c r="G29" i="98"/>
  <c r="I29" i="98" s="1"/>
  <c r="G30" i="98"/>
  <c r="I30" i="98" s="1"/>
  <c r="G31" i="98"/>
  <c r="I31" i="98" s="1"/>
  <c r="G32" i="98"/>
  <c r="I32" i="98" s="1"/>
  <c r="G33" i="98"/>
  <c r="I33" i="98" s="1"/>
  <c r="G35" i="98"/>
  <c r="I35" i="98" s="1"/>
  <c r="G36" i="98"/>
  <c r="I36" i="98" s="1"/>
  <c r="G37" i="98"/>
  <c r="I37" i="98" s="1"/>
  <c r="G38" i="98"/>
  <c r="I38" i="98" s="1"/>
  <c r="G39" i="98"/>
  <c r="I39" i="98" s="1"/>
  <c r="G41" i="98"/>
  <c r="I41" i="98" s="1"/>
  <c r="G42" i="98"/>
  <c r="I42" i="98" s="1"/>
  <c r="G44" i="98"/>
  <c r="I44" i="98" s="1"/>
  <c r="G47" i="98"/>
  <c r="I47" i="98" s="1"/>
  <c r="G48" i="98"/>
  <c r="I48" i="98" s="1"/>
  <c r="G49" i="98"/>
  <c r="I49" i="98" s="1"/>
  <c r="G50" i="98"/>
  <c r="I50" i="98" s="1"/>
  <c r="G51" i="98"/>
  <c r="I51" i="98" s="1"/>
  <c r="G52" i="98"/>
  <c r="I52" i="98" s="1"/>
  <c r="G53" i="98"/>
  <c r="I53" i="98" s="1"/>
  <c r="G54" i="98"/>
  <c r="I54" i="98" s="1"/>
  <c r="G55" i="98"/>
  <c r="I55" i="98" s="1"/>
  <c r="G56" i="98"/>
  <c r="I56" i="98" s="1"/>
  <c r="G57" i="98"/>
  <c r="I57" i="98" s="1"/>
  <c r="G59" i="98"/>
  <c r="I59" i="98" s="1"/>
  <c r="G60" i="98"/>
  <c r="I60" i="98" s="1"/>
  <c r="G61" i="98"/>
  <c r="I61" i="98" s="1"/>
  <c r="G62" i="98"/>
  <c r="I62" i="98" s="1"/>
  <c r="G64" i="98"/>
  <c r="I64" i="98" s="1"/>
  <c r="G65" i="98"/>
  <c r="I65" i="98" s="1"/>
  <c r="G66" i="98"/>
  <c r="I66" i="98" s="1"/>
  <c r="G67" i="98"/>
  <c r="I67" i="98" s="1"/>
  <c r="G6" i="97"/>
  <c r="I6" i="97" s="1"/>
  <c r="G7" i="97"/>
  <c r="I7" i="97" s="1"/>
  <c r="G8" i="97"/>
  <c r="I8" i="97" s="1"/>
  <c r="G9" i="97"/>
  <c r="I9" i="97" s="1"/>
  <c r="G10" i="97"/>
  <c r="I10" i="97" s="1"/>
  <c r="G13" i="97"/>
  <c r="I13" i="97" s="1"/>
  <c r="G14" i="97"/>
  <c r="G16" i="97"/>
  <c r="I16" i="97" s="1"/>
  <c r="G18" i="97"/>
  <c r="I18" i="97" s="1"/>
  <c r="G19" i="97"/>
  <c r="I19" i="97" s="1"/>
  <c r="G21" i="97"/>
  <c r="I21" i="97" s="1"/>
  <c r="G22" i="97"/>
  <c r="I22" i="97" s="1"/>
  <c r="G23" i="97"/>
  <c r="I23" i="97" s="1"/>
  <c r="G24" i="97"/>
  <c r="I24" i="97" s="1"/>
  <c r="G25" i="97"/>
  <c r="I25" i="97" s="1"/>
  <c r="G26" i="97"/>
  <c r="I26" i="97" s="1"/>
  <c r="G28" i="97"/>
  <c r="I28" i="97" s="1"/>
  <c r="G29" i="97"/>
  <c r="I29" i="97" s="1"/>
  <c r="G30" i="97"/>
  <c r="I30" i="97" s="1"/>
  <c r="G31" i="97"/>
  <c r="I31" i="97" s="1"/>
  <c r="G32" i="97"/>
  <c r="I32" i="97" s="1"/>
  <c r="G33" i="97"/>
  <c r="I33" i="97" s="1"/>
  <c r="G35" i="97"/>
  <c r="I35" i="97" s="1"/>
  <c r="G36" i="97"/>
  <c r="I36" i="97" s="1"/>
  <c r="G37" i="97"/>
  <c r="I37" i="97" s="1"/>
  <c r="G38" i="97"/>
  <c r="I38" i="97" s="1"/>
  <c r="G39" i="97"/>
  <c r="I39" i="97" s="1"/>
  <c r="G41" i="97"/>
  <c r="I41" i="97" s="1"/>
  <c r="G42" i="97"/>
  <c r="G44" i="97"/>
  <c r="I44" i="97" s="1"/>
  <c r="G47" i="97"/>
  <c r="I47" i="97" s="1"/>
  <c r="G48" i="97"/>
  <c r="I48" i="97" s="1"/>
  <c r="G49" i="97"/>
  <c r="I49" i="97" s="1"/>
  <c r="G50" i="97"/>
  <c r="I50" i="97" s="1"/>
  <c r="G51" i="97"/>
  <c r="I51" i="97" s="1"/>
  <c r="G52" i="97"/>
  <c r="I52" i="97" s="1"/>
  <c r="G53" i="97"/>
  <c r="I53" i="97" s="1"/>
  <c r="G54" i="97"/>
  <c r="I54" i="97" s="1"/>
  <c r="G55" i="97"/>
  <c r="I55" i="97" s="1"/>
  <c r="G56" i="97"/>
  <c r="I56" i="97" s="1"/>
  <c r="G57" i="97"/>
  <c r="I57" i="97" s="1"/>
  <c r="G59" i="97"/>
  <c r="I59" i="97" s="1"/>
  <c r="G60" i="97"/>
  <c r="I60" i="97" s="1"/>
  <c r="G61" i="97"/>
  <c r="I61" i="97" s="1"/>
  <c r="G62" i="97"/>
  <c r="I62" i="97" s="1"/>
  <c r="G64" i="97"/>
  <c r="I64" i="97" s="1"/>
  <c r="G65" i="97"/>
  <c r="I65" i="97" s="1"/>
  <c r="G66" i="97"/>
  <c r="I66" i="97" s="1"/>
  <c r="G67" i="97"/>
  <c r="I67" i="97" s="1"/>
  <c r="I91" i="89"/>
  <c r="I90" i="89"/>
  <c r="I88" i="89"/>
  <c r="I86" i="89"/>
  <c r="I85" i="89"/>
  <c r="I82" i="89"/>
  <c r="I81" i="89"/>
  <c r="I80" i="89"/>
  <c r="I79" i="89"/>
  <c r="I78" i="89"/>
  <c r="I77" i="89"/>
  <c r="I76" i="89"/>
  <c r="I75" i="89"/>
  <c r="I74" i="89"/>
  <c r="I73" i="89"/>
  <c r="I72" i="89"/>
  <c r="G67" i="89"/>
  <c r="I67" i="89" s="1"/>
  <c r="G66" i="89"/>
  <c r="I66" i="89" s="1"/>
  <c r="G65" i="89"/>
  <c r="I65" i="89" s="1"/>
  <c r="G64" i="89"/>
  <c r="I64" i="89" s="1"/>
  <c r="G62" i="89"/>
  <c r="I62" i="89" s="1"/>
  <c r="G61" i="89"/>
  <c r="I61" i="89" s="1"/>
  <c r="G60" i="89"/>
  <c r="I60" i="89" s="1"/>
  <c r="G59" i="89"/>
  <c r="I59" i="89" s="1"/>
  <c r="G57" i="89"/>
  <c r="I57" i="89" s="1"/>
  <c r="G56" i="89"/>
  <c r="I56" i="89" s="1"/>
  <c r="G55" i="89"/>
  <c r="I55" i="89" s="1"/>
  <c r="G54" i="89"/>
  <c r="I54" i="89" s="1"/>
  <c r="G53" i="89"/>
  <c r="I53" i="89" s="1"/>
  <c r="G52" i="89"/>
  <c r="I52" i="89" s="1"/>
  <c r="G51" i="89"/>
  <c r="I51" i="89" s="1"/>
  <c r="G50" i="89"/>
  <c r="I50" i="89" s="1"/>
  <c r="G49" i="89"/>
  <c r="I49" i="89" s="1"/>
  <c r="G48" i="89"/>
  <c r="I48" i="89" s="1"/>
  <c r="G47" i="89"/>
  <c r="I47" i="89" s="1"/>
  <c r="G39" i="89"/>
  <c r="I39" i="89" s="1"/>
  <c r="G38" i="89"/>
  <c r="I38" i="89" s="1"/>
  <c r="G37" i="89"/>
  <c r="I37" i="89" s="1"/>
  <c r="G36" i="89"/>
  <c r="I36" i="89" s="1"/>
  <c r="G35" i="89"/>
  <c r="I35" i="89" s="1"/>
  <c r="G33" i="89"/>
  <c r="I33" i="89" s="1"/>
  <c r="G32" i="89"/>
  <c r="I32" i="89" s="1"/>
  <c r="G31" i="89"/>
  <c r="I31" i="89" s="1"/>
  <c r="G30" i="89"/>
  <c r="I30" i="89" s="1"/>
  <c r="G29" i="89"/>
  <c r="I29" i="89" s="1"/>
  <c r="G28" i="89"/>
  <c r="I28" i="89" s="1"/>
  <c r="G26" i="89"/>
  <c r="I26" i="89" s="1"/>
  <c r="G25" i="89"/>
  <c r="I25" i="89" s="1"/>
  <c r="G24" i="89"/>
  <c r="I24" i="89" s="1"/>
  <c r="G23" i="89"/>
  <c r="I23" i="89" s="1"/>
  <c r="G22" i="89"/>
  <c r="I22" i="89" s="1"/>
  <c r="G21" i="89"/>
  <c r="I21" i="89" s="1"/>
  <c r="G19" i="89"/>
  <c r="I19" i="89" s="1"/>
  <c r="G18" i="89"/>
  <c r="I18" i="89" s="1"/>
  <c r="G16" i="89"/>
  <c r="I16" i="89" s="1"/>
  <c r="G10" i="89"/>
  <c r="I10" i="89" s="1"/>
  <c r="G9" i="89"/>
  <c r="I9" i="89" s="1"/>
  <c r="G8" i="89"/>
  <c r="I8" i="89" s="1"/>
  <c r="G7" i="89"/>
  <c r="I7" i="89" s="1"/>
  <c r="G6" i="89"/>
  <c r="I6" i="89" s="1"/>
  <c r="I91" i="85"/>
  <c r="I90" i="85"/>
  <c r="I88" i="85"/>
  <c r="I86" i="85"/>
  <c r="I85" i="85"/>
  <c r="I82" i="85"/>
  <c r="I81" i="85"/>
  <c r="I80" i="85"/>
  <c r="I79" i="85"/>
  <c r="I78" i="85"/>
  <c r="I77" i="85"/>
  <c r="I76" i="85"/>
  <c r="I75" i="85"/>
  <c r="I74" i="85"/>
  <c r="I73" i="85"/>
  <c r="I72" i="85"/>
  <c r="G67" i="85"/>
  <c r="G66" i="85"/>
  <c r="G65" i="85"/>
  <c r="G64" i="85"/>
  <c r="G62" i="85"/>
  <c r="G61" i="85"/>
  <c r="G60" i="85"/>
  <c r="G59" i="85"/>
  <c r="G57" i="85"/>
  <c r="G56" i="85"/>
  <c r="G55" i="85"/>
  <c r="G54" i="85"/>
  <c r="G53" i="85"/>
  <c r="G52" i="85"/>
  <c r="G51" i="85"/>
  <c r="G50" i="85"/>
  <c r="G49" i="85"/>
  <c r="G48" i="85"/>
  <c r="G47" i="85"/>
  <c r="G44" i="85"/>
  <c r="G39" i="85"/>
  <c r="G38" i="85"/>
  <c r="G37" i="85"/>
  <c r="G36" i="85"/>
  <c r="G35" i="85"/>
  <c r="G33" i="85"/>
  <c r="G32" i="85"/>
  <c r="G31" i="85"/>
  <c r="G30" i="85"/>
  <c r="G29" i="85"/>
  <c r="G28" i="85"/>
  <c r="G26" i="85"/>
  <c r="G25" i="85"/>
  <c r="G24" i="85"/>
  <c r="G23" i="85"/>
  <c r="G22" i="85"/>
  <c r="G21" i="85"/>
  <c r="G19" i="85"/>
  <c r="G18" i="85"/>
  <c r="G16" i="85"/>
  <c r="G10" i="85"/>
  <c r="G9" i="85"/>
  <c r="G8" i="85"/>
  <c r="G7" i="85"/>
  <c r="G6" i="85"/>
  <c r="V71" i="121"/>
  <c r="E21" i="121"/>
  <c r="F21" i="121" s="1"/>
  <c r="V61" i="121"/>
  <c r="E11" i="121"/>
  <c r="F11" i="121" s="1"/>
  <c r="J54" i="119"/>
  <c r="I59" i="119"/>
  <c r="J59" i="119" s="1"/>
  <c r="Z448" i="119"/>
  <c r="I49" i="119"/>
  <c r="J49" i="119" s="1"/>
  <c r="Y852" i="119"/>
  <c r="Z852" i="119" s="1"/>
  <c r="Z856" i="119" s="1"/>
  <c r="Z844" i="119" s="1"/>
  <c r="Z444" i="119"/>
  <c r="Z445" i="119" s="1"/>
  <c r="Z431" i="119"/>
  <c r="I47" i="119" s="1"/>
  <c r="J47" i="119" s="1"/>
  <c r="Z367" i="119"/>
  <c r="I39" i="119"/>
  <c r="I37" i="119"/>
  <c r="J37" i="119" s="1"/>
  <c r="Z329" i="119"/>
  <c r="I15" i="119"/>
  <c r="J15" i="119" s="1"/>
  <c r="Y169" i="119"/>
  <c r="Z169" i="119" s="1"/>
  <c r="Z170" i="119" s="1"/>
  <c r="Z265" i="119"/>
  <c r="I28" i="119" s="1"/>
  <c r="J28" i="119" s="1"/>
  <c r="Y140" i="119"/>
  <c r="Z140" i="119" s="1"/>
  <c r="Z141" i="119" s="1"/>
  <c r="Z128" i="119" s="1"/>
  <c r="I14" i="119" s="1"/>
  <c r="J14" i="119" s="1"/>
  <c r="I34" i="119"/>
  <c r="J34" i="119" s="1"/>
  <c r="I33" i="119"/>
  <c r="J33" i="119" s="1"/>
  <c r="G13" i="94"/>
  <c r="I18" i="80"/>
  <c r="I6" i="80"/>
  <c r="I85" i="80"/>
  <c r="I86" i="80"/>
  <c r="I88" i="80"/>
  <c r="I90" i="80"/>
  <c r="I91" i="80"/>
  <c r="I82" i="80"/>
  <c r="I81" i="80"/>
  <c r="I80" i="80"/>
  <c r="I79" i="80"/>
  <c r="I78" i="80"/>
  <c r="I77" i="80"/>
  <c r="I76" i="80"/>
  <c r="I75" i="80"/>
  <c r="I74" i="80"/>
  <c r="I73" i="80"/>
  <c r="I72" i="80"/>
  <c r="Y120" i="74"/>
  <c r="Z120" i="74" s="1"/>
  <c r="Z123" i="74" s="1"/>
  <c r="Z113" i="74"/>
  <c r="I15" i="74" s="1"/>
  <c r="J15" i="74" s="1"/>
  <c r="Y108" i="74"/>
  <c r="Z108" i="74" s="1"/>
  <c r="Z110" i="74" s="1"/>
  <c r="Z102" i="74"/>
  <c r="I14" i="74" s="1"/>
  <c r="J14" i="74" s="1"/>
  <c r="Y81" i="74"/>
  <c r="Z81" i="74" s="1"/>
  <c r="Z84" i="74" s="1"/>
  <c r="Z70" i="74"/>
  <c r="I12" i="74" s="1"/>
  <c r="J12" i="74" s="1"/>
  <c r="Y65" i="74"/>
  <c r="Z65" i="74" s="1"/>
  <c r="Z67" i="74" s="1"/>
  <c r="Z53" i="74"/>
  <c r="I11" i="74" s="1"/>
  <c r="J11" i="74" s="1"/>
  <c r="Y49" i="74"/>
  <c r="Z49" i="74" s="1"/>
  <c r="Z50" i="74" s="1"/>
  <c r="Z42" i="74"/>
  <c r="I10" i="74" s="1"/>
  <c r="J10" i="74" s="1"/>
  <c r="Y34" i="74"/>
  <c r="Z34" i="74" s="1"/>
  <c r="Z36" i="74" s="1"/>
  <c r="Z26" i="74" s="1"/>
  <c r="I9" i="74"/>
  <c r="J9" i="74" s="1"/>
  <c r="Y20" i="74"/>
  <c r="Z20" i="74" s="1"/>
  <c r="Z23" i="74" s="1"/>
  <c r="Z7" i="74"/>
  <c r="Y120" i="72"/>
  <c r="Z120" i="72" s="1"/>
  <c r="Z123" i="72" s="1"/>
  <c r="Z113" i="72"/>
  <c r="I15" i="72" s="1"/>
  <c r="J15" i="72" s="1"/>
  <c r="Y108" i="72"/>
  <c r="Z108" i="72" s="1"/>
  <c r="Z110" i="72" s="1"/>
  <c r="Z102" i="72"/>
  <c r="I14" i="72" s="1"/>
  <c r="J14" i="72" s="1"/>
  <c r="Y81" i="72"/>
  <c r="Z81" i="72" s="1"/>
  <c r="Z84" i="72" s="1"/>
  <c r="Z70" i="72"/>
  <c r="I12" i="72" s="1"/>
  <c r="J12" i="72" s="1"/>
  <c r="Y65" i="72"/>
  <c r="Z65" i="72" s="1"/>
  <c r="Z67" i="72" s="1"/>
  <c r="Z53" i="72"/>
  <c r="I11" i="72" s="1"/>
  <c r="J11" i="72" s="1"/>
  <c r="Y49" i="72"/>
  <c r="Z49" i="72" s="1"/>
  <c r="Z50" i="72" s="1"/>
  <c r="Z42" i="72"/>
  <c r="I10" i="72" s="1"/>
  <c r="J10" i="72" s="1"/>
  <c r="Y34" i="72"/>
  <c r="Z34" i="72" s="1"/>
  <c r="Z36" i="72" s="1"/>
  <c r="Z26" i="72" s="1"/>
  <c r="I9" i="72"/>
  <c r="J9" i="72" s="1"/>
  <c r="M9" i="72" s="1"/>
  <c r="Y20" i="72"/>
  <c r="Z20" i="72" s="1"/>
  <c r="Z23" i="72" s="1"/>
  <c r="Z7" i="72"/>
  <c r="K4" i="72" s="1"/>
  <c r="N4" i="72" s="1"/>
  <c r="E6" i="127" s="1"/>
  <c r="Y120" i="71"/>
  <c r="Z120" i="71" s="1"/>
  <c r="Z123" i="71" s="1"/>
  <c r="Z113" i="71"/>
  <c r="I15" i="71" s="1"/>
  <c r="J15" i="71" s="1"/>
  <c r="Y108" i="71"/>
  <c r="Z108" i="71" s="1"/>
  <c r="Z110" i="71" s="1"/>
  <c r="Z102" i="71"/>
  <c r="I14" i="71" s="1"/>
  <c r="J14" i="71" s="1"/>
  <c r="Y81" i="71"/>
  <c r="Z81" i="71" s="1"/>
  <c r="Z84" i="71" s="1"/>
  <c r="Z70" i="71"/>
  <c r="I12" i="71" s="1"/>
  <c r="J12" i="71" s="1"/>
  <c r="Y65" i="71"/>
  <c r="Z65" i="71" s="1"/>
  <c r="Z67" i="71" s="1"/>
  <c r="Z53" i="71"/>
  <c r="I11" i="71" s="1"/>
  <c r="J11" i="71" s="1"/>
  <c r="Y49" i="71"/>
  <c r="Z49" i="71" s="1"/>
  <c r="Z50" i="71" s="1"/>
  <c r="Z42" i="71"/>
  <c r="I10" i="71" s="1"/>
  <c r="J10" i="71" s="1"/>
  <c r="Y34" i="71"/>
  <c r="Z34" i="71" s="1"/>
  <c r="Z36" i="71" s="1"/>
  <c r="Z26" i="71" s="1"/>
  <c r="I9" i="71"/>
  <c r="J9" i="71" s="1"/>
  <c r="K4" i="71" s="1"/>
  <c r="N4" i="71" s="1"/>
  <c r="E7" i="127" s="1"/>
  <c r="Y20" i="71"/>
  <c r="Z20" i="71" s="1"/>
  <c r="Z23" i="71" s="1"/>
  <c r="Z7" i="71"/>
  <c r="F7" i="127" s="1"/>
  <c r="Y95" i="62"/>
  <c r="Z95" i="62" s="1"/>
  <c r="Z99" i="62" s="1"/>
  <c r="Z87" i="62" s="1"/>
  <c r="I13" i="62" s="1"/>
  <c r="Y143" i="62"/>
  <c r="Z143" i="62" s="1"/>
  <c r="Z145" i="62" s="1"/>
  <c r="Z126" i="62"/>
  <c r="I17" i="62" s="1"/>
  <c r="I11" i="62"/>
  <c r="H5" i="131" l="1"/>
  <c r="J5" i="131" s="1"/>
  <c r="H33" i="131"/>
  <c r="J33" i="131" s="1"/>
  <c r="G45" i="85"/>
  <c r="I45" i="85" s="1"/>
  <c r="G46" i="85"/>
  <c r="H6" i="125"/>
  <c r="H5" i="125"/>
  <c r="J5" i="125" s="1"/>
  <c r="I45" i="118"/>
  <c r="J6" i="131"/>
  <c r="J7" i="131"/>
  <c r="J8" i="131"/>
  <c r="J9" i="131"/>
  <c r="J10" i="131"/>
  <c r="J11" i="131"/>
  <c r="J12" i="131"/>
  <c r="J13" i="131"/>
  <c r="J14" i="131"/>
  <c r="J37" i="131"/>
  <c r="I42" i="118"/>
  <c r="I41" i="118"/>
  <c r="I39" i="118"/>
  <c r="I38" i="118"/>
  <c r="I37" i="118"/>
  <c r="I36" i="118"/>
  <c r="I35" i="118"/>
  <c r="I33" i="118"/>
  <c r="I32" i="118"/>
  <c r="I31" i="118"/>
  <c r="I30" i="118"/>
  <c r="I29" i="118"/>
  <c r="I28" i="118"/>
  <c r="I26" i="118"/>
  <c r="I25" i="118"/>
  <c r="I24" i="118"/>
  <c r="I23" i="118"/>
  <c r="I22" i="118"/>
  <c r="I21" i="118"/>
  <c r="I19" i="118"/>
  <c r="I18" i="118"/>
  <c r="I16" i="118"/>
  <c r="I14" i="118"/>
  <c r="I13" i="118"/>
  <c r="I10" i="118"/>
  <c r="I9" i="118"/>
  <c r="I8" i="118"/>
  <c r="I7" i="118"/>
  <c r="J3" i="131"/>
  <c r="J50" i="123"/>
  <c r="J42" i="123"/>
  <c r="K75" i="124"/>
  <c r="K67" i="124"/>
  <c r="K66" i="124" s="1"/>
  <c r="K14" i="124"/>
  <c r="K4" i="124" s="1"/>
  <c r="J12" i="140"/>
  <c r="I12" i="140"/>
  <c r="J8" i="140"/>
  <c r="I8" i="140"/>
  <c r="J33" i="74"/>
  <c r="K33" i="74"/>
  <c r="J29" i="74"/>
  <c r="K29" i="74"/>
  <c r="F6" i="127"/>
  <c r="U330" i="121"/>
  <c r="J11" i="123"/>
  <c r="E45" i="121"/>
  <c r="V280" i="121"/>
  <c r="E51" i="121"/>
  <c r="F51" i="121" s="1"/>
  <c r="V286" i="121"/>
  <c r="V9" i="121"/>
  <c r="V11" i="121" s="1"/>
  <c r="V5" i="121" s="1"/>
  <c r="E6" i="121"/>
  <c r="F6" i="121" s="1"/>
  <c r="G4" i="121" s="1"/>
  <c r="J107" i="123"/>
  <c r="J108" i="123"/>
  <c r="J34" i="131"/>
  <c r="J40" i="131"/>
  <c r="J41" i="131"/>
  <c r="I67" i="118"/>
  <c r="I66" i="118"/>
  <c r="I65" i="118"/>
  <c r="I64" i="118"/>
  <c r="I62" i="118"/>
  <c r="I61" i="118"/>
  <c r="I60" i="118"/>
  <c r="J31" i="131"/>
  <c r="J35" i="131"/>
  <c r="I57" i="118"/>
  <c r="I56" i="118"/>
  <c r="I55" i="118"/>
  <c r="I54" i="118"/>
  <c r="I53" i="118"/>
  <c r="I52" i="118"/>
  <c r="I51" i="118"/>
  <c r="I50" i="118"/>
  <c r="I49" i="118"/>
  <c r="I48" i="118"/>
  <c r="I59" i="118"/>
  <c r="G41" i="85"/>
  <c r="G13" i="85"/>
  <c r="G42" i="85"/>
  <c r="G14" i="85"/>
  <c r="I44" i="85"/>
  <c r="I47" i="85"/>
  <c r="I48" i="85"/>
  <c r="I49" i="85"/>
  <c r="I50" i="85"/>
  <c r="I51" i="85"/>
  <c r="I52" i="85"/>
  <c r="I53" i="85"/>
  <c r="I54" i="85"/>
  <c r="I55" i="85"/>
  <c r="I56" i="85"/>
  <c r="I57" i="85"/>
  <c r="I59" i="85"/>
  <c r="I60" i="85"/>
  <c r="I61" i="85"/>
  <c r="I62" i="85"/>
  <c r="I64" i="85"/>
  <c r="I65" i="85"/>
  <c r="I66" i="85"/>
  <c r="I67" i="85"/>
  <c r="I13" i="94"/>
  <c r="I6" i="85"/>
  <c r="I7" i="85"/>
  <c r="I8" i="85"/>
  <c r="I9" i="85"/>
  <c r="I10" i="85"/>
  <c r="I16" i="85"/>
  <c r="I18" i="85"/>
  <c r="I19" i="85"/>
  <c r="I21" i="85"/>
  <c r="I22" i="85"/>
  <c r="I23" i="85"/>
  <c r="I24" i="85"/>
  <c r="I25" i="85"/>
  <c r="I26" i="85"/>
  <c r="I28" i="85"/>
  <c r="I29" i="85"/>
  <c r="I30" i="85"/>
  <c r="I31" i="85"/>
  <c r="I32" i="85"/>
  <c r="I33" i="85"/>
  <c r="I35" i="85"/>
  <c r="I36" i="85"/>
  <c r="I37" i="85"/>
  <c r="I38" i="85"/>
  <c r="I39" i="85"/>
  <c r="I42" i="97"/>
  <c r="I14" i="97"/>
  <c r="F45" i="121"/>
  <c r="G20" i="64"/>
  <c r="G19" i="64"/>
  <c r="G21" i="64" s="1"/>
  <c r="J21" i="64" s="1"/>
  <c r="G7" i="64"/>
  <c r="I10" i="64"/>
  <c r="G11" i="64"/>
  <c r="H48" i="123" s="1"/>
  <c r="J12" i="64"/>
  <c r="G14" i="64"/>
  <c r="G15" i="64"/>
  <c r="H56" i="123" s="1"/>
  <c r="G17" i="64"/>
  <c r="H58" i="123" s="1"/>
  <c r="G6" i="64"/>
  <c r="G8" i="64" s="1"/>
  <c r="G41" i="94"/>
  <c r="G16" i="94"/>
  <c r="I16" i="80"/>
  <c r="I14" i="85" l="1"/>
  <c r="I42" i="85"/>
  <c r="I13" i="85"/>
  <c r="I41" i="85"/>
  <c r="J15" i="131"/>
  <c r="J38" i="131"/>
  <c r="J105" i="123"/>
  <c r="J71" i="123" s="1"/>
  <c r="K2" i="131"/>
  <c r="J4" i="140"/>
  <c r="M4" i="140" s="1"/>
  <c r="K4" i="74"/>
  <c r="N4" i="74" s="1"/>
  <c r="E5" i="127" s="1"/>
  <c r="G16" i="64"/>
  <c r="H55" i="123"/>
  <c r="J8" i="64"/>
  <c r="H41" i="123"/>
  <c r="J41" i="123" s="1"/>
  <c r="I8" i="64"/>
  <c r="V330" i="121"/>
  <c r="E58" i="121"/>
  <c r="F58" i="121" s="1"/>
  <c r="C96" i="127"/>
  <c r="I16" i="94"/>
  <c r="I41" i="94"/>
  <c r="I12" i="64"/>
  <c r="J49" i="123"/>
  <c r="I11" i="64"/>
  <c r="J48" i="123"/>
  <c r="J46" i="123" s="1"/>
  <c r="I6" i="64"/>
  <c r="H39" i="123"/>
  <c r="J39" i="123" s="1"/>
  <c r="I17" i="64"/>
  <c r="J58" i="123"/>
  <c r="I16" i="64"/>
  <c r="I15" i="64"/>
  <c r="J56" i="123"/>
  <c r="I14" i="64"/>
  <c r="J55" i="123"/>
  <c r="I7" i="64"/>
  <c r="H40" i="123"/>
  <c r="J40" i="123" s="1"/>
  <c r="I19" i="64"/>
  <c r="H64" i="123"/>
  <c r="J64" i="123" s="1"/>
  <c r="I20" i="64"/>
  <c r="H65" i="123"/>
  <c r="J65" i="123" s="1"/>
  <c r="I21" i="64"/>
  <c r="H66" i="123"/>
  <c r="J66" i="123" s="1"/>
  <c r="J4" i="64"/>
  <c r="M4" i="64" s="1"/>
  <c r="J38" i="123" l="1"/>
  <c r="E11" i="127" a="1"/>
  <c r="E11" i="127" s="1"/>
  <c r="F5" i="127"/>
  <c r="J16" i="64"/>
  <c r="H57" i="123"/>
  <c r="J57" i="123" s="1"/>
  <c r="J54" i="123" s="1"/>
  <c r="F11" i="127"/>
  <c r="D96" i="127"/>
  <c r="Z283" i="119"/>
  <c r="Z355" i="119"/>
  <c r="I38" i="119" s="1"/>
  <c r="Z381" i="119"/>
  <c r="Z390" i="119"/>
  <c r="I41" i="119" s="1"/>
  <c r="Z410" i="119"/>
  <c r="I43" i="119" s="1"/>
  <c r="Z402" i="119"/>
  <c r="I42" i="119" s="1"/>
  <c r="Z425" i="119" l="1"/>
  <c r="Z428" i="119"/>
  <c r="Z418" i="119"/>
  <c r="I46" i="119" s="1"/>
  <c r="J46" i="119" s="1"/>
  <c r="Z457" i="119"/>
  <c r="I51" i="119" s="1"/>
  <c r="J51" i="119" s="1"/>
  <c r="Z557" i="119"/>
  <c r="I61" i="119" s="1"/>
  <c r="J61" i="119" s="1"/>
  <c r="Z572" i="119"/>
  <c r="I63" i="119" s="1"/>
  <c r="J63" i="119" s="1"/>
  <c r="Z645" i="119"/>
  <c r="I70" i="119" s="1"/>
  <c r="J70" i="119" s="1"/>
  <c r="Y491" i="119"/>
  <c r="Z491" i="119" s="1"/>
  <c r="Z492" i="119" s="1"/>
  <c r="Z477" i="119"/>
  <c r="I55" i="119" s="1"/>
  <c r="J55" i="119" s="1"/>
  <c r="Z495" i="119"/>
  <c r="I56" i="119"/>
  <c r="J56" i="119" s="1"/>
  <c r="V236" i="121"/>
  <c r="AF179" i="121"/>
  <c r="AG179" i="121"/>
  <c r="AG180" i="121"/>
  <c r="AG170" i="121" s="1"/>
  <c r="U335" i="121" s="1"/>
  <c r="V335" i="121" s="1"/>
  <c r="AF194" i="121"/>
  <c r="AG194" i="121"/>
  <c r="C91" i="127" l="1"/>
  <c r="E63" i="121"/>
  <c r="AG195" i="121"/>
  <c r="AG183" i="121" s="1"/>
  <c r="U68" i="121"/>
  <c r="E34" i="121" s="1"/>
  <c r="F34" i="121" s="1"/>
  <c r="U287" i="121"/>
  <c r="V287" i="121" s="1"/>
  <c r="U67" i="121"/>
  <c r="E33" i="121" s="1"/>
  <c r="F33" i="121" s="1"/>
  <c r="U285" i="121"/>
  <c r="V285" i="121" s="1"/>
  <c r="E22" i="121"/>
  <c r="G22" i="121" s="1"/>
  <c r="E38" i="121"/>
  <c r="V68" i="121"/>
  <c r="E18" i="121"/>
  <c r="F18" i="121" s="1"/>
  <c r="V67" i="121"/>
  <c r="E17" i="121"/>
  <c r="F17" i="121" s="1"/>
  <c r="V72" i="121"/>
  <c r="V56" i="121" s="1"/>
  <c r="AS515" i="121"/>
  <c r="AF502" i="121" s="1"/>
  <c r="AF677" i="121"/>
  <c r="AG677" i="121" s="1"/>
  <c r="AG678" i="121"/>
  <c r="V715" i="121"/>
  <c r="E92" i="121" s="1"/>
  <c r="G24" i="121" l="1"/>
  <c r="G92" i="121"/>
  <c r="AG502" i="121"/>
  <c r="AG504" i="121" s="1"/>
  <c r="AG498" i="121" s="1"/>
  <c r="U436" i="121" s="1"/>
  <c r="AG666" i="121"/>
  <c r="U440" i="121" s="1"/>
  <c r="V440" i="121"/>
  <c r="E87" i="121"/>
  <c r="F87" i="121" s="1"/>
  <c r="V436" i="121"/>
  <c r="E83" i="121"/>
  <c r="F83" i="121" s="1"/>
  <c r="G77" i="121" s="1"/>
  <c r="F63" i="121"/>
  <c r="E50" i="121"/>
  <c r="F50" i="121" s="1"/>
  <c r="E52" i="121"/>
  <c r="F52" i="121" s="1"/>
  <c r="G38" i="121"/>
  <c r="V289" i="121"/>
  <c r="E42" i="121" s="1"/>
  <c r="G8" i="121"/>
  <c r="V444" i="121"/>
  <c r="V428" i="121" s="1"/>
  <c r="E77" i="121" s="1"/>
  <c r="G14" i="111"/>
  <c r="G16" i="111"/>
  <c r="G18" i="111"/>
  <c r="G19" i="111"/>
  <c r="G21" i="111"/>
  <c r="G22" i="111"/>
  <c r="G23" i="111"/>
  <c r="G24" i="111"/>
  <c r="G25" i="111"/>
  <c r="G26" i="111"/>
  <c r="G28" i="111"/>
  <c r="G29" i="111"/>
  <c r="G30" i="111"/>
  <c r="G31" i="111"/>
  <c r="G32" i="111"/>
  <c r="G33" i="111"/>
  <c r="G35" i="111"/>
  <c r="G36" i="111"/>
  <c r="G37" i="111"/>
  <c r="G38" i="111"/>
  <c r="G39" i="111"/>
  <c r="G41" i="111"/>
  <c r="G42" i="111"/>
  <c r="G47" i="111"/>
  <c r="G48" i="111"/>
  <c r="G49" i="111"/>
  <c r="G50" i="111"/>
  <c r="G51" i="111"/>
  <c r="G52" i="111"/>
  <c r="G53" i="111"/>
  <c r="G54" i="111"/>
  <c r="G55" i="111"/>
  <c r="G56" i="111"/>
  <c r="G57" i="111"/>
  <c r="G60" i="111"/>
  <c r="G61" i="111"/>
  <c r="G62" i="111"/>
  <c r="G64" i="111"/>
  <c r="G65" i="111"/>
  <c r="G66" i="111"/>
  <c r="G67" i="111"/>
  <c r="G7" i="111"/>
  <c r="G8" i="111"/>
  <c r="G9" i="111"/>
  <c r="G10" i="111"/>
  <c r="G13" i="111"/>
  <c r="G6" i="111"/>
  <c r="I6" i="111"/>
  <c r="G59" i="111"/>
  <c r="I59" i="111"/>
  <c r="G42" i="121" l="1"/>
  <c r="I67" i="111"/>
  <c r="I66" i="111"/>
  <c r="I65" i="111"/>
  <c r="I64" i="111"/>
  <c r="I62" i="111"/>
  <c r="I61" i="111"/>
  <c r="I60" i="111"/>
  <c r="I57" i="111"/>
  <c r="I56" i="111"/>
  <c r="I55" i="111"/>
  <c r="I54" i="111"/>
  <c r="I53" i="111"/>
  <c r="I52" i="111"/>
  <c r="I51" i="111"/>
  <c r="I50" i="111"/>
  <c r="I49" i="111"/>
  <c r="I48" i="111"/>
  <c r="I47" i="111"/>
  <c r="I13" i="111"/>
  <c r="I10" i="111"/>
  <c r="I9" i="111"/>
  <c r="I8" i="111"/>
  <c r="I7" i="111"/>
  <c r="I42" i="111"/>
  <c r="I41" i="111"/>
  <c r="I39" i="111"/>
  <c r="I38" i="111"/>
  <c r="I37" i="111"/>
  <c r="I36" i="111"/>
  <c r="I35" i="111"/>
  <c r="I33" i="111"/>
  <c r="I32" i="111"/>
  <c r="I31" i="111"/>
  <c r="I30" i="111"/>
  <c r="I29" i="111"/>
  <c r="I28" i="111"/>
  <c r="I26" i="111"/>
  <c r="I25" i="111"/>
  <c r="I24" i="111"/>
  <c r="I23" i="111"/>
  <c r="I22" i="111"/>
  <c r="I21" i="111"/>
  <c r="I19" i="111"/>
  <c r="I18" i="111"/>
  <c r="I16" i="111"/>
  <c r="I14" i="111"/>
  <c r="V275" i="121"/>
  <c r="G44" i="109"/>
  <c r="G18" i="109"/>
  <c r="G19" i="109"/>
  <c r="G21" i="109"/>
  <c r="G22" i="109"/>
  <c r="G23" i="109"/>
  <c r="G24" i="109"/>
  <c r="G25" i="109"/>
  <c r="G26" i="109"/>
  <c r="G28" i="109"/>
  <c r="G29" i="109"/>
  <c r="G30" i="109"/>
  <c r="G31" i="109"/>
  <c r="G32" i="109"/>
  <c r="G33" i="109"/>
  <c r="G35" i="109"/>
  <c r="G36" i="109"/>
  <c r="G37" i="109"/>
  <c r="G38" i="109"/>
  <c r="G39" i="109"/>
  <c r="G41" i="109"/>
  <c r="G42" i="109"/>
  <c r="G43" i="109"/>
  <c r="I43" i="109" s="1"/>
  <c r="G47" i="109"/>
  <c r="G48" i="109"/>
  <c r="G49" i="109"/>
  <c r="G50" i="109"/>
  <c r="G51" i="109"/>
  <c r="G52" i="109"/>
  <c r="G53" i="109"/>
  <c r="G54" i="109"/>
  <c r="G55" i="109"/>
  <c r="G56" i="109"/>
  <c r="G57" i="109"/>
  <c r="G58" i="109"/>
  <c r="I58" i="109" s="1"/>
  <c r="G60" i="109"/>
  <c r="G61" i="109"/>
  <c r="G62" i="109"/>
  <c r="G63" i="109"/>
  <c r="I63" i="109" s="1"/>
  <c r="G64" i="109"/>
  <c r="G65" i="109"/>
  <c r="G66" i="109"/>
  <c r="G67" i="109"/>
  <c r="G13" i="109"/>
  <c r="G16" i="109"/>
  <c r="G10" i="109"/>
  <c r="G9" i="109"/>
  <c r="G8" i="109"/>
  <c r="G7" i="109"/>
  <c r="G14" i="109"/>
  <c r="G59" i="109"/>
  <c r="I59" i="109"/>
  <c r="G6" i="109"/>
  <c r="I6" i="109"/>
  <c r="I44" i="109" l="1"/>
  <c r="I67" i="109"/>
  <c r="I66" i="109"/>
  <c r="I65" i="109"/>
  <c r="I64" i="109"/>
  <c r="I62" i="109"/>
  <c r="I61" i="109"/>
  <c r="I60" i="109"/>
  <c r="I57" i="109"/>
  <c r="I56" i="109"/>
  <c r="I55" i="109"/>
  <c r="I54" i="109"/>
  <c r="I53" i="109"/>
  <c r="I52" i="109"/>
  <c r="I51" i="109"/>
  <c r="I50" i="109"/>
  <c r="I49" i="109"/>
  <c r="I48" i="109"/>
  <c r="I47" i="109"/>
  <c r="I14" i="109"/>
  <c r="I7" i="109"/>
  <c r="I8" i="109"/>
  <c r="I9" i="109"/>
  <c r="I10" i="109"/>
  <c r="I16" i="109"/>
  <c r="I13" i="109"/>
  <c r="I42" i="109"/>
  <c r="I41" i="109"/>
  <c r="I39" i="109"/>
  <c r="I38" i="109"/>
  <c r="I37" i="109"/>
  <c r="I36" i="109"/>
  <c r="I35" i="109"/>
  <c r="I33" i="109"/>
  <c r="I32" i="109"/>
  <c r="I31" i="109"/>
  <c r="I30" i="109"/>
  <c r="I29" i="109"/>
  <c r="I28" i="109"/>
  <c r="I26" i="109"/>
  <c r="I25" i="109"/>
  <c r="I24" i="109"/>
  <c r="I23" i="109"/>
  <c r="I22" i="109"/>
  <c r="I21" i="109"/>
  <c r="I19" i="109"/>
  <c r="I18" i="109"/>
  <c r="G14" i="108"/>
  <c r="G15" i="108"/>
  <c r="G16" i="108"/>
  <c r="G17" i="108"/>
  <c r="G18" i="108"/>
  <c r="G19" i="108"/>
  <c r="G20" i="108"/>
  <c r="G21" i="108"/>
  <c r="G22" i="108"/>
  <c r="G23" i="108"/>
  <c r="G24" i="108"/>
  <c r="G25" i="108"/>
  <c r="G26" i="108"/>
  <c r="G28" i="108"/>
  <c r="G29" i="108"/>
  <c r="G30" i="108"/>
  <c r="G31" i="108"/>
  <c r="G32" i="108"/>
  <c r="G33" i="108"/>
  <c r="G35" i="108"/>
  <c r="G36" i="108"/>
  <c r="G37" i="108"/>
  <c r="G38" i="108"/>
  <c r="G39" i="108"/>
  <c r="G41" i="108"/>
  <c r="G42" i="108"/>
  <c r="G47" i="108"/>
  <c r="G48" i="108"/>
  <c r="G49" i="108"/>
  <c r="G50" i="108"/>
  <c r="G51" i="108"/>
  <c r="G52" i="108"/>
  <c r="G53" i="108"/>
  <c r="G54" i="108"/>
  <c r="G55" i="108"/>
  <c r="G56" i="108"/>
  <c r="G57" i="108"/>
  <c r="G60" i="108"/>
  <c r="G61" i="108"/>
  <c r="G62" i="108"/>
  <c r="G64" i="108"/>
  <c r="G65" i="108"/>
  <c r="G66" i="108"/>
  <c r="G67" i="108"/>
  <c r="G13" i="108"/>
  <c r="G10" i="108"/>
  <c r="G9" i="108"/>
  <c r="G8" i="108"/>
  <c r="G7" i="108"/>
  <c r="G59" i="108"/>
  <c r="I59" i="108"/>
  <c r="G6" i="108"/>
  <c r="I6" i="108"/>
  <c r="I67" i="108" l="1"/>
  <c r="I66" i="108"/>
  <c r="I65" i="108"/>
  <c r="I64" i="108"/>
  <c r="I62" i="108"/>
  <c r="I61" i="108"/>
  <c r="I60" i="108"/>
  <c r="I57" i="108"/>
  <c r="I56" i="108"/>
  <c r="I55" i="108"/>
  <c r="I54" i="108"/>
  <c r="I53" i="108"/>
  <c r="I52" i="108"/>
  <c r="I51" i="108"/>
  <c r="I50" i="108"/>
  <c r="I49" i="108"/>
  <c r="I48" i="108"/>
  <c r="I47" i="108"/>
  <c r="I7" i="108"/>
  <c r="I8" i="108"/>
  <c r="I9" i="108"/>
  <c r="I10" i="108"/>
  <c r="I13" i="108"/>
  <c r="I42" i="108"/>
  <c r="I41" i="108"/>
  <c r="I39" i="108"/>
  <c r="I38" i="108"/>
  <c r="I37" i="108"/>
  <c r="I36" i="108"/>
  <c r="I35" i="108"/>
  <c r="I33" i="108"/>
  <c r="I32" i="108"/>
  <c r="I31" i="108"/>
  <c r="I30" i="108"/>
  <c r="I29" i="108"/>
  <c r="I28" i="108"/>
  <c r="I26" i="108"/>
  <c r="I25" i="108"/>
  <c r="I24" i="108"/>
  <c r="I23" i="108"/>
  <c r="I22" i="108"/>
  <c r="I21" i="108"/>
  <c r="I20" i="108"/>
  <c r="I19" i="108"/>
  <c r="I18" i="108"/>
  <c r="I17" i="108"/>
  <c r="I16" i="108"/>
  <c r="I15" i="108"/>
  <c r="I14" i="108"/>
  <c r="G44" i="105"/>
  <c r="G59" i="105"/>
  <c r="H4" i="130" s="1"/>
  <c r="G52" i="105"/>
  <c r="G53" i="105"/>
  <c r="H18" i="125" s="1"/>
  <c r="G54" i="105"/>
  <c r="H19" i="125" s="1"/>
  <c r="G55" i="105"/>
  <c r="H21" i="125" s="1"/>
  <c r="G56" i="105"/>
  <c r="H23" i="125" s="1"/>
  <c r="G57" i="105"/>
  <c r="H24" i="125" s="1"/>
  <c r="G58" i="105"/>
  <c r="I58" i="105" s="1"/>
  <c r="G60" i="105"/>
  <c r="H5" i="130" s="1"/>
  <c r="G61" i="105"/>
  <c r="H6" i="130" s="1"/>
  <c r="G62" i="105"/>
  <c r="H7" i="130" s="1"/>
  <c r="G63" i="105"/>
  <c r="I63" i="105" s="1"/>
  <c r="G64" i="105"/>
  <c r="H9" i="130" s="1"/>
  <c r="G65" i="105"/>
  <c r="H10" i="130" s="1"/>
  <c r="G66" i="105"/>
  <c r="H11" i="130" s="1"/>
  <c r="G67" i="105"/>
  <c r="H12" i="130" s="1"/>
  <c r="G51" i="105"/>
  <c r="H14" i="125" s="1"/>
  <c r="G50" i="105"/>
  <c r="H12" i="125" s="1"/>
  <c r="G49" i="105"/>
  <c r="H10" i="125" s="1"/>
  <c r="G48" i="105"/>
  <c r="H9" i="125" s="1"/>
  <c r="G47" i="105"/>
  <c r="H7" i="125" s="1"/>
  <c r="J7" i="125" s="1"/>
  <c r="G42" i="105"/>
  <c r="G41" i="105"/>
  <c r="G39" i="105"/>
  <c r="G38" i="105"/>
  <c r="G37" i="105"/>
  <c r="G36" i="105"/>
  <c r="G35" i="105"/>
  <c r="G33" i="105"/>
  <c r="G32" i="105"/>
  <c r="G31" i="105"/>
  <c r="G30" i="105"/>
  <c r="G29" i="105"/>
  <c r="G26" i="105"/>
  <c r="G25" i="105"/>
  <c r="G23" i="105"/>
  <c r="G22" i="105"/>
  <c r="G21" i="105"/>
  <c r="G19" i="105"/>
  <c r="G18" i="105"/>
  <c r="G16" i="105"/>
  <c r="G14" i="105"/>
  <c r="G13" i="105"/>
  <c r="G10" i="105"/>
  <c r="G9" i="105"/>
  <c r="G8" i="105"/>
  <c r="G7" i="105"/>
  <c r="G24" i="105"/>
  <c r="G34" i="105"/>
  <c r="G40" i="105"/>
  <c r="G43" i="105"/>
  <c r="G6" i="105"/>
  <c r="I6" i="105"/>
  <c r="G28" i="105"/>
  <c r="I28" i="105"/>
  <c r="H26" i="122" l="1"/>
  <c r="J26" i="122" s="1"/>
  <c r="H4" i="122"/>
  <c r="J4" i="122" s="1"/>
  <c r="H22" i="122"/>
  <c r="J22" i="122" s="1"/>
  <c r="H5" i="122"/>
  <c r="J5" i="122" s="1"/>
  <c r="H6" i="122"/>
  <c r="J6" i="122" s="1"/>
  <c r="H7" i="122"/>
  <c r="J7" i="122" s="1"/>
  <c r="H8" i="122"/>
  <c r="J8" i="122" s="1"/>
  <c r="H11" i="122"/>
  <c r="J11" i="122" s="1"/>
  <c r="H12" i="122"/>
  <c r="J12" i="122" s="1"/>
  <c r="H14" i="122"/>
  <c r="J14" i="122" s="1"/>
  <c r="H16" i="122"/>
  <c r="J16" i="122" s="1"/>
  <c r="H17" i="122"/>
  <c r="J17" i="122" s="1"/>
  <c r="H19" i="122"/>
  <c r="J19" i="122" s="1"/>
  <c r="H20" i="122"/>
  <c r="J20" i="122" s="1"/>
  <c r="H21" i="122"/>
  <c r="J21" i="122" s="1"/>
  <c r="H23" i="122"/>
  <c r="J23" i="122" s="1"/>
  <c r="H24" i="122"/>
  <c r="J24" i="122" s="1"/>
  <c r="H27" i="122"/>
  <c r="J27" i="122" s="1"/>
  <c r="H28" i="122"/>
  <c r="J28" i="122" s="1"/>
  <c r="H29" i="122"/>
  <c r="J29" i="122" s="1"/>
  <c r="H30" i="122"/>
  <c r="J30" i="122" s="1"/>
  <c r="H31" i="122"/>
  <c r="J31" i="122" s="1"/>
  <c r="H33" i="122"/>
  <c r="J33" i="122" s="1"/>
  <c r="H34" i="122"/>
  <c r="J34" i="122" s="1"/>
  <c r="H35" i="122"/>
  <c r="J35" i="122" s="1"/>
  <c r="H36" i="122"/>
  <c r="J36" i="122" s="1"/>
  <c r="H37" i="122"/>
  <c r="J37" i="122" s="1"/>
  <c r="H39" i="122"/>
  <c r="J39" i="122" s="1"/>
  <c r="H40" i="122"/>
  <c r="J40" i="122" s="1"/>
  <c r="H4" i="125"/>
  <c r="J4" i="125" s="1"/>
  <c r="I47" i="105"/>
  <c r="I48" i="105"/>
  <c r="I49" i="105"/>
  <c r="I50" i="105"/>
  <c r="I51" i="105"/>
  <c r="J14" i="130"/>
  <c r="J13" i="130"/>
  <c r="I67" i="105"/>
  <c r="J12" i="130"/>
  <c r="I66" i="105"/>
  <c r="J11" i="130"/>
  <c r="I65" i="105"/>
  <c r="J10" i="130"/>
  <c r="I64" i="105"/>
  <c r="J9" i="130"/>
  <c r="I62" i="105"/>
  <c r="J7" i="130"/>
  <c r="I61" i="105"/>
  <c r="J6" i="130"/>
  <c r="I60" i="105"/>
  <c r="J5" i="130"/>
  <c r="I57" i="105"/>
  <c r="I56" i="105"/>
  <c r="I55" i="105"/>
  <c r="I54" i="105"/>
  <c r="I53" i="105"/>
  <c r="I52" i="105"/>
  <c r="I59" i="105"/>
  <c r="J4" i="130"/>
  <c r="J3" i="130" s="1"/>
  <c r="I44" i="105"/>
  <c r="I24" i="105"/>
  <c r="I7" i="105"/>
  <c r="I8" i="105"/>
  <c r="I9" i="105"/>
  <c r="I10" i="105"/>
  <c r="I13" i="105"/>
  <c r="I14" i="105"/>
  <c r="I16" i="105"/>
  <c r="J13" i="122"/>
  <c r="I18" i="105"/>
  <c r="I19" i="105"/>
  <c r="I21" i="105"/>
  <c r="I22" i="105"/>
  <c r="I23" i="105"/>
  <c r="I25" i="105"/>
  <c r="I26" i="105"/>
  <c r="I29" i="105"/>
  <c r="I30" i="105"/>
  <c r="I31" i="105"/>
  <c r="I32" i="105"/>
  <c r="I33" i="105"/>
  <c r="I35" i="105"/>
  <c r="I36" i="105"/>
  <c r="I37" i="105"/>
  <c r="I38" i="105"/>
  <c r="I39" i="105"/>
  <c r="I41" i="105"/>
  <c r="I42" i="105"/>
  <c r="J8" i="130" l="1"/>
  <c r="K2" i="130" s="1"/>
  <c r="J38" i="122"/>
  <c r="J32" i="122"/>
  <c r="J18" i="122"/>
  <c r="J15" i="122"/>
  <c r="J10" i="122"/>
  <c r="J9" i="122" s="1"/>
  <c r="J3" i="122"/>
  <c r="J25" i="122"/>
  <c r="C95" i="127"/>
  <c r="D95" i="127" s="1"/>
  <c r="J16" i="125"/>
  <c r="J15" i="125" s="1"/>
  <c r="J18" i="125"/>
  <c r="J19" i="125"/>
  <c r="J21" i="125"/>
  <c r="J20" i="125" s="1"/>
  <c r="J23" i="125"/>
  <c r="J24" i="125"/>
  <c r="J14" i="125"/>
  <c r="J13" i="125" s="1"/>
  <c r="J12" i="125"/>
  <c r="J11" i="125" s="1"/>
  <c r="J10" i="125"/>
  <c r="J9" i="125"/>
  <c r="J8" i="125" s="1"/>
  <c r="G5" i="65"/>
  <c r="N4" i="65"/>
  <c r="J22" i="125" l="1"/>
  <c r="J17" i="125"/>
  <c r="K2" i="122"/>
  <c r="C93" i="127" s="1"/>
  <c r="E13" i="127" a="1"/>
  <c r="E13" i="127" s="1"/>
  <c r="F13" i="127" s="1"/>
  <c r="D93" i="127"/>
  <c r="AG332" i="121" l="1"/>
  <c r="U333" i="121" s="1"/>
  <c r="E61" i="121" l="1"/>
  <c r="F61" i="121" s="1"/>
  <c r="G55" i="121" s="1"/>
  <c r="V333" i="121"/>
  <c r="V338" i="121" s="1"/>
  <c r="V325" i="121"/>
  <c r="E55" i="121" s="1"/>
  <c r="H9" i="62" l="1"/>
  <c r="H4" i="123" s="1"/>
  <c r="H19" i="62"/>
  <c r="H19" i="123" s="1"/>
  <c r="J19" i="123" s="1"/>
  <c r="J18" i="123" s="1"/>
  <c r="H13" i="62"/>
  <c r="H8" i="123" s="1"/>
  <c r="H17" i="62"/>
  <c r="H11" i="62"/>
  <c r="H6" i="123" s="1"/>
  <c r="H12" i="62"/>
  <c r="H7" i="123" s="1"/>
  <c r="H14" i="62"/>
  <c r="H9" i="123" s="1"/>
  <c r="H15" i="62"/>
  <c r="H10" i="123" s="1"/>
  <c r="H10" i="62"/>
  <c r="H5" i="123" s="1"/>
  <c r="H21" i="62"/>
  <c r="H17" i="123" l="1"/>
  <c r="J17" i="123" s="1"/>
  <c r="J16" i="123" s="1"/>
  <c r="J24" i="62"/>
  <c r="J24" i="123"/>
  <c r="J25" i="62"/>
  <c r="H25" i="123"/>
  <c r="J25" i="123" s="1"/>
  <c r="J27" i="62"/>
  <c r="J31" i="123"/>
  <c r="J28" i="62"/>
  <c r="J32" i="123"/>
  <c r="J29" i="62"/>
  <c r="J33" i="123"/>
  <c r="J31" i="62"/>
  <c r="H35" i="123"/>
  <c r="J35" i="123" s="1"/>
  <c r="J32" i="62"/>
  <c r="H36" i="123"/>
  <c r="J36" i="123" s="1"/>
  <c r="J33" i="62"/>
  <c r="H37" i="123"/>
  <c r="J37" i="123" s="1"/>
  <c r="J21" i="62"/>
  <c r="H21" i="123"/>
  <c r="J21" i="123" s="1"/>
  <c r="J20" i="123" s="1"/>
  <c r="J13" i="123" s="1"/>
  <c r="J10" i="62"/>
  <c r="J5" i="123"/>
  <c r="J15" i="62"/>
  <c r="J10" i="123"/>
  <c r="J14" i="62"/>
  <c r="J9" i="123"/>
  <c r="J12" i="62"/>
  <c r="J7" i="123"/>
  <c r="J11" i="62"/>
  <c r="J6" i="123"/>
  <c r="J17" i="62"/>
  <c r="J13" i="62"/>
  <c r="J8" i="123"/>
  <c r="J19" i="62"/>
  <c r="J9" i="62"/>
  <c r="K4" i="62" s="1"/>
  <c r="J4" i="123"/>
  <c r="J3" i="123" s="1"/>
  <c r="J23" i="123" l="1"/>
  <c r="J30" i="123"/>
  <c r="J34" i="123"/>
  <c r="J22" i="123" s="1"/>
  <c r="K2" i="123" s="1"/>
  <c r="N4" i="62"/>
  <c r="E8" i="127" s="1"/>
  <c r="C92" i="127" l="1"/>
  <c r="F8" i="127"/>
  <c r="D92" i="127" l="1"/>
  <c r="J19" i="158" l="1"/>
  <c r="H46" i="118"/>
  <c r="I46" i="118" s="1"/>
  <c r="J4" i="118" s="1"/>
  <c r="M4" i="118" s="1"/>
  <c r="H46" i="161" l="1"/>
  <c r="I46" i="161" s="1"/>
  <c r="J4" i="161" s="1"/>
  <c r="M4" i="161" s="1"/>
  <c r="H46" i="102"/>
  <c r="I46" i="102" s="1"/>
  <c r="J4" i="102" s="1"/>
  <c r="M4" i="102" s="1"/>
  <c r="H46" i="103"/>
  <c r="I46" i="103" s="1"/>
  <c r="J4" i="103" s="1"/>
  <c r="M4" i="103" s="1"/>
  <c r="H46" i="100"/>
  <c r="I46" i="100" s="1"/>
  <c r="J4" i="100" s="1"/>
  <c r="M4" i="100" s="1"/>
  <c r="H46" i="152"/>
  <c r="I46" i="152" s="1"/>
  <c r="J4" i="152" s="1"/>
  <c r="M4" i="152" s="1"/>
  <c r="H46" i="104"/>
  <c r="I46" i="104" s="1"/>
  <c r="J4" i="104" s="1"/>
  <c r="M4" i="104" s="1"/>
  <c r="H46" i="106"/>
  <c r="I46" i="106" s="1"/>
  <c r="J4" i="106" s="1"/>
  <c r="M4" i="106" s="1"/>
  <c r="H46" i="107"/>
  <c r="I46" i="107" s="1"/>
  <c r="J4" i="107" s="1"/>
  <c r="M4" i="107" s="1"/>
  <c r="H46" i="99"/>
  <c r="I46" i="99" s="1"/>
  <c r="J4" i="99" s="1"/>
  <c r="M4" i="99" s="1"/>
  <c r="H46" i="110"/>
  <c r="I46" i="110" s="1"/>
  <c r="J4" i="110" s="1"/>
  <c r="M4" i="110" s="1"/>
  <c r="H46" i="150"/>
  <c r="I46" i="150" s="1"/>
  <c r="J4" i="150" s="1"/>
  <c r="M4" i="150" s="1"/>
  <c r="H46" i="112"/>
  <c r="I46" i="112" s="1"/>
  <c r="J4" i="112" s="1"/>
  <c r="M4" i="112" s="1"/>
  <c r="H46" i="149"/>
  <c r="I46" i="149" s="1"/>
  <c r="J4" i="149" s="1"/>
  <c r="M4" i="149" s="1"/>
  <c r="H46" i="148"/>
  <c r="I46" i="148" s="1"/>
  <c r="J4" i="148" s="1"/>
  <c r="M4" i="148" s="1"/>
  <c r="H46" i="113"/>
  <c r="I46" i="113" s="1"/>
  <c r="J4" i="113" s="1"/>
  <c r="M4" i="113" s="1"/>
  <c r="H46" i="146"/>
  <c r="I46" i="146" s="1"/>
  <c r="J4" i="146" s="1"/>
  <c r="M4" i="146" s="1"/>
  <c r="H46" i="141"/>
  <c r="I46" i="141" s="1"/>
  <c r="J4" i="141" s="1"/>
  <c r="M4" i="141" s="1"/>
  <c r="H46" i="147"/>
  <c r="I46" i="147" s="1"/>
  <c r="J4" i="147" s="1"/>
  <c r="M4" i="147" s="1"/>
  <c r="H46" i="98"/>
  <c r="I46" i="98" s="1"/>
  <c r="J4" i="98" s="1"/>
  <c r="M4" i="98" s="1"/>
  <c r="H46" i="151"/>
  <c r="I46" i="151" s="1"/>
  <c r="J4" i="151" s="1"/>
  <c r="M4" i="151" s="1"/>
  <c r="H46" i="97"/>
  <c r="I46" i="97" s="1"/>
  <c r="J4" i="97" s="1"/>
  <c r="M4" i="97" s="1"/>
  <c r="H46" i="143"/>
  <c r="I46" i="143" s="1"/>
  <c r="J4" i="143" s="1"/>
  <c r="M4" i="143" s="1"/>
  <c r="H46" i="142"/>
  <c r="I46" i="142" s="1"/>
  <c r="J4" i="142" s="1"/>
  <c r="M4" i="142" s="1"/>
  <c r="H46" i="154"/>
  <c r="I46" i="154" s="1"/>
  <c r="J4" i="154" s="1"/>
  <c r="M4" i="154" s="1"/>
  <c r="H46" i="117"/>
  <c r="I46" i="117" s="1"/>
  <c r="J4" i="117" s="1"/>
  <c r="M4" i="117" s="1"/>
  <c r="H46" i="144"/>
  <c r="I46" i="144" s="1"/>
  <c r="J4" i="144" s="1"/>
  <c r="M4" i="144" s="1"/>
  <c r="H46" i="96"/>
  <c r="I46" i="96" s="1"/>
  <c r="J4" i="96" s="1"/>
  <c r="M4" i="96" s="1"/>
  <c r="H46" i="116"/>
  <c r="I46" i="116" s="1"/>
  <c r="J4" i="116" s="1"/>
  <c r="M4" i="116" s="1"/>
  <c r="H46" i="111"/>
  <c r="I46" i="111" s="1"/>
  <c r="J4" i="111" s="1"/>
  <c r="M4" i="111" s="1"/>
  <c r="H46" i="95"/>
  <c r="I46" i="95" s="1"/>
  <c r="J4" i="95" s="1"/>
  <c r="M4" i="95" s="1"/>
  <c r="H46" i="109"/>
  <c r="I46" i="109" s="1"/>
  <c r="J4" i="109" s="1"/>
  <c r="M4" i="109" s="1"/>
  <c r="H46" i="108"/>
  <c r="I46" i="108" s="1"/>
  <c r="J4" i="108" s="1"/>
  <c r="M4" i="108" s="1"/>
  <c r="H46" i="94"/>
  <c r="I46" i="94" s="1"/>
  <c r="J4" i="94" s="1"/>
  <c r="M4" i="94" s="1"/>
  <c r="H46" i="153"/>
  <c r="I46" i="153" s="1"/>
  <c r="J4" i="153" s="1"/>
  <c r="M4" i="153" s="1"/>
  <c r="H46" i="93"/>
  <c r="I46" i="93" s="1"/>
  <c r="J4" i="93" s="1"/>
  <c r="M4" i="93" s="1"/>
  <c r="H46" i="105"/>
  <c r="I46" i="105" s="1"/>
  <c r="J4" i="105" s="1"/>
  <c r="M4" i="105" s="1"/>
  <c r="H46" i="101"/>
  <c r="I46" i="101" s="1"/>
  <c r="J4" i="101" s="1"/>
  <c r="M4" i="101" s="1"/>
  <c r="H46" i="92"/>
  <c r="I46" i="92" s="1"/>
  <c r="J4" i="92" s="1"/>
  <c r="M4" i="92" s="1"/>
  <c r="H46" i="91"/>
  <c r="I46" i="91" s="1"/>
  <c r="J4" i="91" s="1"/>
  <c r="M4" i="91" s="1"/>
  <c r="H46" i="145"/>
  <c r="I46" i="145" s="1"/>
  <c r="J4" i="145" s="1"/>
  <c r="M4" i="145" s="1"/>
  <c r="H46" i="90"/>
  <c r="I46" i="90" s="1"/>
  <c r="J4" i="90" s="1"/>
  <c r="M4" i="90" s="1"/>
  <c r="H46" i="156"/>
  <c r="I46" i="156" s="1"/>
  <c r="J4" i="156" s="1"/>
  <c r="M4" i="156" s="1"/>
  <c r="H46" i="89"/>
  <c r="I46" i="89" s="1"/>
  <c r="J4" i="89" s="1"/>
  <c r="M4" i="89" s="1"/>
  <c r="H46" i="87"/>
  <c r="I46" i="87" s="1"/>
  <c r="J4" i="87" s="1"/>
  <c r="M4" i="87" s="1"/>
  <c r="H46" i="88"/>
  <c r="I46" i="88" s="1"/>
  <c r="J4" i="88" s="1"/>
  <c r="M4" i="88" s="1"/>
  <c r="H46" i="86"/>
  <c r="I46" i="86" s="1"/>
  <c r="J4" i="86" s="1"/>
  <c r="M4" i="86" s="1"/>
  <c r="H46" i="155"/>
  <c r="I46" i="155" s="1"/>
  <c r="J4" i="155" s="1"/>
  <c r="M4" i="155" s="1"/>
  <c r="H46" i="85"/>
  <c r="I46" i="85" s="1"/>
  <c r="J4" i="85" s="1"/>
  <c r="M4" i="85" s="1"/>
  <c r="H46" i="84"/>
  <c r="I46" i="84" s="1"/>
  <c r="J4" i="84" s="1"/>
  <c r="M4" i="84" s="1"/>
  <c r="H46" i="83"/>
  <c r="I46" i="83" s="1"/>
  <c r="J4" i="83" s="1"/>
  <c r="M4" i="83" s="1"/>
  <c r="H46" i="82"/>
  <c r="I6" i="125"/>
  <c r="J6" i="125" s="1"/>
  <c r="J3" i="125" s="1"/>
  <c r="K2" i="125" s="1"/>
  <c r="C94" i="127" s="1"/>
  <c r="H46" i="80"/>
  <c r="I46" i="80" s="1"/>
  <c r="J4" i="80" s="1"/>
  <c r="M4" i="80" s="1"/>
  <c r="D94" i="127" l="1"/>
  <c r="C98" i="127"/>
  <c r="D98" i="127" s="1"/>
  <c r="D91" i="127" s="1"/>
  <c r="F91" i="127" s="1"/>
  <c r="I30" i="119" l="1"/>
  <c r="I31" i="119"/>
  <c r="J251" i="135" l="1"/>
  <c r="K251" i="135" s="1"/>
  <c r="K252" i="135" s="1"/>
  <c r="J31" i="119"/>
  <c r="J244" i="135"/>
  <c r="K244" i="135" s="1"/>
  <c r="K245" i="135" s="1"/>
  <c r="K241" i="135" s="1"/>
  <c r="J24" i="124" s="1"/>
  <c r="K24" i="124" s="1"/>
  <c r="J30" i="119"/>
  <c r="K7" i="119" s="1"/>
  <c r="F3" i="127" s="1" a="1"/>
  <c r="F3" i="127" s="1"/>
  <c r="K248" i="135" l="1"/>
  <c r="J25" i="124"/>
  <c r="K25" i="124" s="1"/>
  <c r="K23" i="124" s="1"/>
  <c r="K19" i="124" s="1"/>
  <c r="L3" i="12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<sst xmlns="http://schemas.openxmlformats.org/spreadsheetml/2006/main" count="26202" uniqueCount="1392">
  <si>
    <t>Datos Generales</t>
  </si>
  <si>
    <t>Area Techada (m2)</t>
  </si>
  <si>
    <t>Area del terreno (m2)</t>
  </si>
  <si>
    <t xml:space="preserve">Plazo de ejecución (meses) </t>
  </si>
  <si>
    <t>Area Techada Escalera  (m2)</t>
  </si>
  <si>
    <t>Opciones Adicionales</t>
  </si>
  <si>
    <t>INCLUIR DEMOLICIONES</t>
  </si>
  <si>
    <t xml:space="preserve">INCLUIR COLUMNETAS Y VIGUETAS DE CONFINAMIENTO </t>
  </si>
  <si>
    <t>SI</t>
  </si>
  <si>
    <t>NO</t>
  </si>
  <si>
    <t>Cimentación</t>
  </si>
  <si>
    <t xml:space="preserve">TIPO DE CIMENTACION </t>
  </si>
  <si>
    <t>Numero de pisos</t>
  </si>
  <si>
    <t>Área de cimentación (m2)</t>
  </si>
  <si>
    <t xml:space="preserve">ZAPATAS Y VIGAS DE CIMENTACION </t>
  </si>
  <si>
    <t xml:space="preserve">PLATEA DE CIMENTACIÓN </t>
  </si>
  <si>
    <t>Ambientes</t>
  </si>
  <si>
    <t xml:space="preserve">Cantidad  </t>
  </si>
  <si>
    <t>Area  (m2)</t>
  </si>
  <si>
    <t xml:space="preserve">BIBLIOTECA </t>
  </si>
  <si>
    <t>LABORATORIO</t>
  </si>
  <si>
    <t>ALMACÉN MAT. DEP.</t>
  </si>
  <si>
    <t>SUM</t>
  </si>
  <si>
    <t>MÓDULO DE CONECTIVIDAD</t>
  </si>
  <si>
    <t>DIRECCIÓN ADM</t>
  </si>
  <si>
    <t>SUBDIRECCIÓN</t>
  </si>
  <si>
    <t>SALA DE REUNIONES</t>
  </si>
  <si>
    <t>SECRETARÍA</t>
  </si>
  <si>
    <t xml:space="preserve"> SALA DE ESPERA</t>
  </si>
  <si>
    <t>COORDINACIÓN ADMINISTRATIVA</t>
  </si>
  <si>
    <t>ARCHIVO</t>
  </si>
  <si>
    <t>TALLER CREATIVO PRIM</t>
  </si>
  <si>
    <t>TALLER CREATIVO SEC</t>
  </si>
  <si>
    <t>ECONOMATO</t>
  </si>
  <si>
    <t>COORDINACIÓN PEDAGÓGICA</t>
  </si>
  <si>
    <t>TÓPICO</t>
  </si>
  <si>
    <t>SALA DE PROFESORES</t>
  </si>
  <si>
    <t>TIENDA ESCOLAR</t>
  </si>
  <si>
    <t xml:space="preserve">ALMACÉN GENERAL </t>
  </si>
  <si>
    <t>SSHH ADM - HOMBRES</t>
  </si>
  <si>
    <t>SSHH ADM - MUJERES</t>
  </si>
  <si>
    <t>SSHH INICIAL - HOMBRES</t>
  </si>
  <si>
    <t>SSHH INICIAL - MUJERES</t>
  </si>
  <si>
    <t>SSHH PRIMARIA - HOMBRES</t>
  </si>
  <si>
    <t>SSHH PRIMARIA - MUJERES</t>
  </si>
  <si>
    <t>SSHH SECUNDARIA - HOMBRES</t>
  </si>
  <si>
    <t>SSHH SECUNDARIA - MUJERES</t>
  </si>
  <si>
    <t>VESTUARIOS - HOMBRES</t>
  </si>
  <si>
    <t>VESTUARIOS - MUJERES</t>
  </si>
  <si>
    <t>COCINA INICIAL</t>
  </si>
  <si>
    <t>COCINA PRIM -SEC</t>
  </si>
  <si>
    <t>OFICINA DE BIENESTAR</t>
  </si>
  <si>
    <t>LACTARIO</t>
  </si>
  <si>
    <t>CTO ELÉCTRICO</t>
  </si>
  <si>
    <t>DEP. MATERIAL DEPORTIVO</t>
  </si>
  <si>
    <t>DEPÓSITO</t>
  </si>
  <si>
    <t>GUARDIANÍA</t>
  </si>
  <si>
    <t>CUARTO DE LIMPIEZA</t>
  </si>
  <si>
    <t>AULA CICLO I</t>
  </si>
  <si>
    <t>AULA CICLO II</t>
  </si>
  <si>
    <t>AULA PRIMARIA</t>
  </si>
  <si>
    <t>AULA SECUNDARIA</t>
  </si>
  <si>
    <t>AULA PSICOMOTRICIDAD</t>
  </si>
  <si>
    <t>AULA DE INNOVACIÓN PEDAGÓGICA PRIM</t>
  </si>
  <si>
    <t>AULA DE INNOVACIÓN PEDAGÓGICA SEC</t>
  </si>
  <si>
    <t xml:space="preserve">TALLER EPT </t>
  </si>
  <si>
    <t>MAESTRANZA</t>
  </si>
  <si>
    <t>RESIDUOS</t>
  </si>
  <si>
    <t xml:space="preserve">CIRCULACIÓN </t>
  </si>
  <si>
    <t>ESCALERA PRIM</t>
  </si>
  <si>
    <t>ESCALERA SEC</t>
  </si>
  <si>
    <t>AREA DE INGRESO</t>
  </si>
  <si>
    <t>Exteriores</t>
  </si>
  <si>
    <t>Area</t>
  </si>
  <si>
    <t>AREAS VERDES</t>
  </si>
  <si>
    <t>LOSA DEPORTIVA</t>
  </si>
  <si>
    <t>COBERTURA DE LOSA DEPORTIVA</t>
  </si>
  <si>
    <t>PATIO DE INICIAL</t>
  </si>
  <si>
    <t>COBERTURA PATIO DE INICIAL</t>
  </si>
  <si>
    <t>ASTA DE BANDERA</t>
  </si>
  <si>
    <t>VEREDAS Y RAMPAS DE CONCRETO</t>
  </si>
  <si>
    <t>PAVIMENTO RIGIDO VEHICULAR</t>
  </si>
  <si>
    <t>LAMAS EN PASADIZOS</t>
  </si>
  <si>
    <t>ESTACIONAMIENTO DE BICICLETAS</t>
  </si>
  <si>
    <t>CERCO PERIMETRICO H=3.00M</t>
  </si>
  <si>
    <t>PORTADA DE INGRESO (PORTON METALICO)</t>
  </si>
  <si>
    <t>Categoría</t>
  </si>
  <si>
    <t>Obras provisionales</t>
  </si>
  <si>
    <t>Area Techada</t>
  </si>
  <si>
    <t>Area del terreno</t>
  </si>
  <si>
    <t xml:space="preserve">Plazo de ejecución </t>
  </si>
  <si>
    <t>Incluye demoliciones</t>
  </si>
  <si>
    <t>CT</t>
  </si>
  <si>
    <t>Área de cimentación</t>
  </si>
  <si>
    <t>#pisos</t>
  </si>
  <si>
    <t>Tipo de cimentacion</t>
  </si>
  <si>
    <t>Costo x m2</t>
  </si>
  <si>
    <t>zapatas y vigas de cimentación</t>
  </si>
  <si>
    <t>platea de cimentación</t>
  </si>
  <si>
    <t>Estructura</t>
  </si>
  <si>
    <t>Incluye columnetas y viguetas</t>
  </si>
  <si>
    <t>Area Escalera</t>
  </si>
  <si>
    <t xml:space="preserve">Area </t>
  </si>
  <si>
    <t>Total Area</t>
  </si>
  <si>
    <t>#AMBIENTES</t>
  </si>
  <si>
    <t>ML</t>
  </si>
  <si>
    <t>Area total</t>
  </si>
  <si>
    <t>COBERTURA LOSA DEPORTIVA</t>
  </si>
  <si>
    <t xml:space="preserve">PATIO DE INICIAL </t>
  </si>
  <si>
    <t xml:space="preserve">COBERTURA PATIO DE INICIAL </t>
  </si>
  <si>
    <t>CERCO PERIMETRICO H=3.00m</t>
  </si>
  <si>
    <t>PORTADA DE INGRESO  (PORTON METALICO)</t>
  </si>
  <si>
    <t>INSTALACIONES EXTERIORES</t>
  </si>
  <si>
    <t>SISTEMA DE BOMBEO DE PRESIÓN CONSTANTE</t>
  </si>
  <si>
    <t>INSTALACIONES SANITARIAS EXTERIORES INC. CANALETAS DE EVACUACIÓN PLUVIAL</t>
  </si>
  <si>
    <t>SISTEMA DE AGUA CONTRA INCENDIOS (RED CONTRA INCENDIOS, GABINETES)</t>
  </si>
  <si>
    <t>COSTO DIRECTO</t>
  </si>
  <si>
    <t xml:space="preserve">Estructura </t>
  </si>
  <si>
    <t xml:space="preserve">Arquitectura  </t>
  </si>
  <si>
    <t>Sanitarias</t>
  </si>
  <si>
    <t>Electricas</t>
  </si>
  <si>
    <t>Comunicaciones</t>
  </si>
  <si>
    <t>Unidad</t>
  </si>
  <si>
    <t>Metrado</t>
  </si>
  <si>
    <t>C.U</t>
  </si>
  <si>
    <t>Parcial</t>
  </si>
  <si>
    <t>Total</t>
  </si>
  <si>
    <t>OBRAS PROVISIONALES, PRELIMINARES, SEGURIDAD Y SALUD EN EL TRABAJO Y PLAN DE CONTINGENCIA</t>
  </si>
  <si>
    <t xml:space="preserve">OBRAS PROVISIONALES </t>
  </si>
  <si>
    <t>1.1.1</t>
  </si>
  <si>
    <t>CONSTRUCCIONES PROVISIONALES</t>
  </si>
  <si>
    <t>1.1.1.1</t>
  </si>
  <si>
    <t>OFICINAS DE RESIDENCIA Y SUPERVISIÓN</t>
  </si>
  <si>
    <t>m2</t>
  </si>
  <si>
    <t>1.1.1.2</t>
  </si>
  <si>
    <t>ALMACENES DE OBRA</t>
  </si>
  <si>
    <t>1.1.1.3</t>
  </si>
  <si>
    <t>CASETAS DE GUARDIANÍA</t>
  </si>
  <si>
    <t>1.1.1.4</t>
  </si>
  <si>
    <t>COMEDOR PARA PERSONAL DE OBRA</t>
  </si>
  <si>
    <t>1.1.1.5</t>
  </si>
  <si>
    <t>VESTUARIO PARA PERSONAL DE OBRA</t>
  </si>
  <si>
    <t>1.1.1.6</t>
  </si>
  <si>
    <t>CERCO PERIMÉTRICO DE MALLA ARPILLERA</t>
  </si>
  <si>
    <t>m</t>
  </si>
  <si>
    <t>1.1.1.7</t>
  </si>
  <si>
    <t>SERVICIOS HIGIÉNICOS</t>
  </si>
  <si>
    <t>1.1.1.8</t>
  </si>
  <si>
    <t>CARTEL DE IDENTIFICACIÓN DE LA OBRA</t>
  </si>
  <si>
    <t>und</t>
  </si>
  <si>
    <t>1.1.2</t>
  </si>
  <si>
    <t>INSTALACIONES PROVISIONALES</t>
  </si>
  <si>
    <t>1.1.2.1</t>
  </si>
  <si>
    <t>CONEXIÓN E INSTALACIÓN DE AGUA</t>
  </si>
  <si>
    <t>glb</t>
  </si>
  <si>
    <t>1.1.2.2</t>
  </si>
  <si>
    <t>CONSUMO Y MANTENIMIENTO DE AGUA PARA LA CONSTRUCCIÓN</t>
  </si>
  <si>
    <t>mes</t>
  </si>
  <si>
    <t>1.1.2.3</t>
  </si>
  <si>
    <t>CONEXIÓN E INSTALACIÓN DE ENERGÍA ELÉCTRICA</t>
  </si>
  <si>
    <t>1.1.2.4</t>
  </si>
  <si>
    <t>CONSUMO Y MANTENIMIENTO DE ENERGÍA ELÉCTRICA</t>
  </si>
  <si>
    <t>TRABAJOS PRELIMINARES</t>
  </si>
  <si>
    <t>1.2.1</t>
  </si>
  <si>
    <t>LIMPIEZA DEL TERRENO</t>
  </si>
  <si>
    <t>1.2.1.1</t>
  </si>
  <si>
    <t>LIMPIEZA DEL TERRENO MANUAL</t>
  </si>
  <si>
    <t>1.2.1.2</t>
  </si>
  <si>
    <t>ELIMINACIÓN DE OBSTRUCCIONES</t>
  </si>
  <si>
    <t>1.2.2</t>
  </si>
  <si>
    <t>MOVILIZACIÓN DE CAMPAMENTO, MAQUINARIA Y HERRAMIENTAS</t>
  </si>
  <si>
    <t>1.2.2.1</t>
  </si>
  <si>
    <t>MOVILIZACIÓN DE EQUIPOS Y HERRAMIENTAS</t>
  </si>
  <si>
    <t>1.2.2.2</t>
  </si>
  <si>
    <t>TRANSPORTE DE MATERIALES A LA OBRA</t>
  </si>
  <si>
    <t>1.2.3</t>
  </si>
  <si>
    <t>TRAZOS, NIVELES Y REPLANTEO</t>
  </si>
  <si>
    <t>1.2.3.1</t>
  </si>
  <si>
    <t>TRAZO Y REPLANTEO PRELIMINAR</t>
  </si>
  <si>
    <t>1.2.3.2</t>
  </si>
  <si>
    <t>TRAZO NIVELACIÓN Y REPLANTEO DURANTE EL PROCESO</t>
  </si>
  <si>
    <t>PLAN DE SEGURIDAD Y SALUD EN EL TRABAJO</t>
  </si>
  <si>
    <t>1.3.1</t>
  </si>
  <si>
    <t>Equipo de seguridad y salud</t>
  </si>
  <si>
    <t>1.3.1.1</t>
  </si>
  <si>
    <t>EQUIPOS DE PROTECCIÓN INDIVIDUAL</t>
  </si>
  <si>
    <t>1.3.1.2</t>
  </si>
  <si>
    <t>EQUIPOS DE PROTECCIÓN COLECTIVA</t>
  </si>
  <si>
    <t>1.3.1.3</t>
  </si>
  <si>
    <t>SEÑALIZACIÓN TEMPORAL DE SEGURIDAD</t>
  </si>
  <si>
    <t>1.3.1.4</t>
  </si>
  <si>
    <t>PROGRAMA DE CAPACITACIÓN EN SEGURIDAD Y SALUD</t>
  </si>
  <si>
    <t>1.3.1.5</t>
  </si>
  <si>
    <t>RECURSOS PARA RESPUESTA ANTE EMERGENCIAS</t>
  </si>
  <si>
    <t>1.3.1.6</t>
  </si>
  <si>
    <t>PROGRAMA DE PREVENCIÓN Y CONTROL</t>
  </si>
  <si>
    <t>1.3.1.7</t>
  </si>
  <si>
    <t>EXAMEN MÉDICO GENERAL</t>
  </si>
  <si>
    <t>PLAN DE MANEJO AMBIENTAL</t>
  </si>
  <si>
    <t>1.4.1</t>
  </si>
  <si>
    <t>PROGRAMA DE PREVENCIÓN Y MITIGACIÓN AMBIENTAL</t>
  </si>
  <si>
    <t>1.4.1.1</t>
  </si>
  <si>
    <t>PREVENCIÓN Y MITIGACIÓN DE IMPACTOS</t>
  </si>
  <si>
    <t>m3</t>
  </si>
  <si>
    <t>1.4.1.2</t>
  </si>
  <si>
    <t>IMPLEMENTACIÓN DE ÁREA DE SEÑALIZACIÓN</t>
  </si>
  <si>
    <t>1.4.2</t>
  </si>
  <si>
    <t>PROGRAMA DE EDUCACIÓN Y CAPACITACIÓN AMBIENTAL</t>
  </si>
  <si>
    <t>1.4.2.1</t>
  </si>
  <si>
    <t>CHARLAS DE SENSIBILIZACIÓN AMBIENTAL</t>
  </si>
  <si>
    <t>1.4.3</t>
  </si>
  <si>
    <t>PROGRAMA DE SEGUIMIENTO, CONTROL Y VIGILANCIA AMBIENTAL</t>
  </si>
  <si>
    <t>1.4.3.1</t>
  </si>
  <si>
    <t>MONITOREO DE CALIDAD AMBIENTAL</t>
  </si>
  <si>
    <t>pto</t>
  </si>
  <si>
    <t>1.4.4</t>
  </si>
  <si>
    <t>PROGRAMA DE MANEJO DE RESIDUOS SÓLIDOS</t>
  </si>
  <si>
    <t>1.4.4.1</t>
  </si>
  <si>
    <t>Manejo de residuos peligrosos</t>
  </si>
  <si>
    <t>1.4.4.1.1</t>
  </si>
  <si>
    <t>ADQUISICIÓN DE CONTENEDORES PARA RESIDUOS PELIGROSOS</t>
  </si>
  <si>
    <t>1.4.4.1.2</t>
  </si>
  <si>
    <t>RECOLECCIÓN DE RESIDUOS PELIGROSOS</t>
  </si>
  <si>
    <t>1.4.4.1.3</t>
  </si>
  <si>
    <t>ELIMINACIÓN Y TRANSPORTE DE RESIDUOS PELIGROSOS</t>
  </si>
  <si>
    <t>1.4.4.2</t>
  </si>
  <si>
    <t>Manejo de residuos no peligrosos</t>
  </si>
  <si>
    <t>1.4.4.2.1</t>
  </si>
  <si>
    <t>ACONDICIONAMIENTO</t>
  </si>
  <si>
    <t>1.4.4.2.2</t>
  </si>
  <si>
    <t>ADQUISICIÓN DE CONTENEDORES PARA RESIDUOS NO PELIGROSOS</t>
  </si>
  <si>
    <t>1.4.4.2.3</t>
  </si>
  <si>
    <t>RECOLECCIÓN DE RESIDUOS NO PELIGROSOS</t>
  </si>
  <si>
    <t>1.4.4.2.4</t>
  </si>
  <si>
    <t>DISPOSICIÓN FINAL DE RESIDUOS NO PELIGROSOS</t>
  </si>
  <si>
    <t>1.4.4.3</t>
  </si>
  <si>
    <t>Manejo de residuos valorizables</t>
  </si>
  <si>
    <t>1.4.4.3.1</t>
  </si>
  <si>
    <t>CLASIFICACIÓN DE RESIDUOS VALORIZABLES</t>
  </si>
  <si>
    <t>1.4.4.3.2</t>
  </si>
  <si>
    <t>DISPOSICIÓN FINAL</t>
  </si>
  <si>
    <t>1.4.5</t>
  </si>
  <si>
    <t>PROGRAMA DE CONTINGENCIA</t>
  </si>
  <si>
    <t>1.4.5.1</t>
  </si>
  <si>
    <t>CONTINGENCIA ANTE DERRAMES</t>
  </si>
  <si>
    <t>1.4.6</t>
  </si>
  <si>
    <t>PROGRAMA DE CIERRE Y ABANDONO</t>
  </si>
  <si>
    <t>1.4.6.1</t>
  </si>
  <si>
    <t>MANEJO DE RESIDUOS DE DESINSTALACIÓN</t>
  </si>
  <si>
    <t>1.4.6.2</t>
  </si>
  <si>
    <t>TRASLADO Y DISPOSICIÓN FINAL DE RESIDUOS</t>
  </si>
  <si>
    <t>1.4.6.3</t>
  </si>
  <si>
    <t>REHABILITACIÓN DE SUELOS AFECTADOS</t>
  </si>
  <si>
    <t>1.4.6.4</t>
  </si>
  <si>
    <t>NIVELACIÓN Y COMPACTACIÓN</t>
  </si>
  <si>
    <t>DEMOLICIONES</t>
  </si>
  <si>
    <t>1.5.1</t>
  </si>
  <si>
    <t>DESMONTAJE</t>
  </si>
  <si>
    <t>1.5.1.1</t>
  </si>
  <si>
    <t>DESMONTAJE DE TECHO DE TEJA ANDINA + ESTRUCTURA DE MADERA</t>
  </si>
  <si>
    <t>1.5.1.2</t>
  </si>
  <si>
    <t>DESMONTAJE DE TECHO DE CALAMINA + ESTRUCTURA DE MADERA</t>
  </si>
  <si>
    <t>1.5.1.3</t>
  </si>
  <si>
    <t>DESMONTAJE DE CIELORRASO EXISTENTE</t>
  </si>
  <si>
    <t>1.5.1.4</t>
  </si>
  <si>
    <t>DESMONTAJE DE PUERTAS METÁLICAS EXISTENTES</t>
  </si>
  <si>
    <t>1.5.1.5</t>
  </si>
  <si>
    <t>DESMONTAJE DE PUERTAS DE MADERA EXISTENTES</t>
  </si>
  <si>
    <t>1.5.1.6</t>
  </si>
  <si>
    <t>DESMONTAJE DE VENTANAS EXISTENTES</t>
  </si>
  <si>
    <t>1.5.1.7</t>
  </si>
  <si>
    <t>DESMONTAJE DE PISO DE MADERA</t>
  </si>
  <si>
    <t>1.5.2</t>
  </si>
  <si>
    <t>1.5.2.1</t>
  </si>
  <si>
    <t>DEMOLICIÓN MANUAL DE PISO DE CONCRETO</t>
  </si>
  <si>
    <t>1.5.2.2</t>
  </si>
  <si>
    <t>DEMOLICIÓN MANUAL DE MURO DE TAPIAL</t>
  </si>
  <si>
    <t xml:space="preserve">Partida </t>
  </si>
  <si>
    <t>Rendimiento m2/día</t>
  </si>
  <si>
    <t>m2/dia</t>
  </si>
  <si>
    <t>M.O</t>
  </si>
  <si>
    <t>EQ</t>
  </si>
  <si>
    <t>Costo unitario directo</t>
  </si>
  <si>
    <t>Código</t>
  </si>
  <si>
    <t>Descripción Recurso</t>
  </si>
  <si>
    <t>Cuadrilla</t>
  </si>
  <si>
    <t>Cantidad</t>
  </si>
  <si>
    <t>Precio (S/.)</t>
  </si>
  <si>
    <t>Parcial (S/.)</t>
  </si>
  <si>
    <t>Mano de Obra</t>
  </si>
  <si>
    <t xml:space="preserve">OPERARIO </t>
  </si>
  <si>
    <t>hh</t>
  </si>
  <si>
    <t xml:space="preserve">OFICIAL </t>
  </si>
  <si>
    <t xml:space="preserve">PEON </t>
  </si>
  <si>
    <t>Materiales</t>
  </si>
  <si>
    <t>ALAMBRE NEGRO RECOCIDO BWG N 16</t>
  </si>
  <si>
    <t>kg</t>
  </si>
  <si>
    <t>CALAMINA</t>
  </si>
  <si>
    <t>pln</t>
  </si>
  <si>
    <t>CERRADURA CLÁSICA ADOSADA BK 233</t>
  </si>
  <si>
    <t>CLAVOS PARA CALAMINA</t>
  </si>
  <si>
    <t>CLAVO C/CABEZA P/CONSTRUCCION D.PROMEDIO</t>
  </si>
  <si>
    <t xml:space="preserve">HORMIGON </t>
  </si>
  <si>
    <t>TRIPLAY ENCHAPE CEDRO 4' x 8' x 4mm</t>
  </si>
  <si>
    <t>VIDRIO CLARO 4MM</t>
  </si>
  <si>
    <t>p2</t>
  </si>
  <si>
    <t xml:space="preserve">CEMENTO PORTLAND TIPO I (42.5 kg) </t>
  </si>
  <si>
    <t>bls</t>
  </si>
  <si>
    <t>MADERA TORNILLO</t>
  </si>
  <si>
    <t xml:space="preserve">Equipos </t>
  </si>
  <si>
    <t>HERRAMIENTAS MANUALES</t>
  </si>
  <si>
    <t>%mo</t>
  </si>
  <si>
    <t>ESPEJO BISELADO 1.15x0.75M, e=4mm (INCL.INSTALACION)</t>
  </si>
  <si>
    <t>m/dia</t>
  </si>
  <si>
    <t>CERCO DE MALLA METALICA</t>
  </si>
  <si>
    <t xml:space="preserve">m </t>
  </si>
  <si>
    <t>CLAVOS CON CABEZA DE 3"</t>
  </si>
  <si>
    <t>Equipos</t>
  </si>
  <si>
    <t>INODORO</t>
  </si>
  <si>
    <t>TUBERIA PVC 4"</t>
  </si>
  <si>
    <t>CODO PVC 4"</t>
  </si>
  <si>
    <t>PEGAMENTO PVC</t>
  </si>
  <si>
    <t>LAVAMANOS</t>
  </si>
  <si>
    <t>GRIFERIA</t>
  </si>
  <si>
    <t>SIFÓN</t>
  </si>
  <si>
    <t>und/dia</t>
  </si>
  <si>
    <t>BANNER BASE PANAFLEX 3.60 x 2.40 m</t>
  </si>
  <si>
    <t>PERNO 1/4" x 7" CON TUERCA</t>
  </si>
  <si>
    <t>PIEDRA MEDIANA DE 4"</t>
  </si>
  <si>
    <t>ROLLIZO DE EUCALIPTO DE 3" x 3 m</t>
  </si>
  <si>
    <t>pza</t>
  </si>
  <si>
    <t>glb/dia</t>
  </si>
  <si>
    <t>mes/dia</t>
  </si>
  <si>
    <t>Partida</t>
  </si>
  <si>
    <t>LIMPIEZA DE TERRENO MANUAL</t>
  </si>
  <si>
    <t xml:space="preserve">ELIMINACION DE OBSTRUCCIONES </t>
  </si>
  <si>
    <t>CAMION VOLQUETE DE 15 M3</t>
  </si>
  <si>
    <t>hm</t>
  </si>
  <si>
    <t xml:space="preserve">PINTURA ESMALTE </t>
  </si>
  <si>
    <t>gln</t>
  </si>
  <si>
    <t xml:space="preserve">YESO EN BOLSAS DE 25 KG </t>
  </si>
  <si>
    <t xml:space="preserve">CORDEL </t>
  </si>
  <si>
    <t xml:space="preserve">ESTACION TOTAL </t>
  </si>
  <si>
    <t xml:space="preserve">NIVEL TOPOGRAFICO CON TRIPODE </t>
  </si>
  <si>
    <t xml:space="preserve">TRAZO NIVELACION Y REPLANTEO DURANTE EL PROCESO </t>
  </si>
  <si>
    <t>EQUIPOS DE PROTECCION INDIVIDUAL</t>
  </si>
  <si>
    <t>gbl/dia</t>
  </si>
  <si>
    <t>gbl</t>
  </si>
  <si>
    <t>ARNES DE 3 PUNTOS CON AMORTIGUADOR TRABAJOS DE ALTURA</t>
  </si>
  <si>
    <t>BOTAS DE JEBE CON PUNTA DE ACERO</t>
  </si>
  <si>
    <t>par</t>
  </si>
  <si>
    <t>CASCO CONTRAIMPACTO CON BARBIQUEJO NORMADO</t>
  </si>
  <si>
    <t>CHALECO REFLECTIVO</t>
  </si>
  <si>
    <t>CORTAVIENTO TELA DRILL CON FORRO POLAR</t>
  </si>
  <si>
    <t>GUANTES DE CUERO</t>
  </si>
  <si>
    <t>GUANTES DE JEBE NORMADO</t>
  </si>
  <si>
    <t>GUANTES DE LONA</t>
  </si>
  <si>
    <t>GUANTES DIELÉCTRICOS CLASE 1 HASTA 10KV</t>
  </si>
  <si>
    <t>JUEGO DE CUERO PARA SOLDAR (MANDIL, MANGAS, POLAINAS)</t>
  </si>
  <si>
    <t>LENTES DE SEGURIDAD CLARO DE POLICARBONATO</t>
  </si>
  <si>
    <t>MÁSCARA DE SOLDAR</t>
  </si>
  <si>
    <t>MASCARILLA FFP1</t>
  </si>
  <si>
    <t>cja</t>
  </si>
  <si>
    <t>OREJERAS ADITIVAS PARA CASCO</t>
  </si>
  <si>
    <t>PONCHO IMPERMEABLE DE PVC</t>
  </si>
  <si>
    <t>RESPIRADOR MEDIA CARA CON CARTUCHO</t>
  </si>
  <si>
    <t>TAPONES AUDITIVOS CON CORDÓN</t>
  </si>
  <si>
    <t>TRAJE DESCARTABLE BIODEGRADABLE</t>
  </si>
  <si>
    <t>UNIFORME DE TRABAJO (PANTALÓN Y CAMISA)</t>
  </si>
  <si>
    <t>ZAPATOS DE SEGURIDAD</t>
  </si>
  <si>
    <t>EQUIPOS DE PROTECCION COLECTIVA</t>
  </si>
  <si>
    <t>CINTA DE SEGURIDAD (AMARILLO/ROJO)</t>
  </si>
  <si>
    <t>rll</t>
  </si>
  <si>
    <t>CONOS DE SEGURIDAD 36"</t>
  </si>
  <si>
    <t>LISTONES DE 3”X2” MADERA TORNILLO</t>
  </si>
  <si>
    <t>MALLA HDPE PARA CERCO PERIMETRAL</t>
  </si>
  <si>
    <t>PROTECTOR DE ACERO (CAPUCHONES)</t>
  </si>
  <si>
    <t>ROLLO DE SOGA DRIZA DE 5/8”</t>
  </si>
  <si>
    <t>CARTEL GENERAL INDICATIVO DE ADVERTENCIA</t>
  </si>
  <si>
    <t>CARTEL GENERAL INDICATIVO DE PROHIBICIÓN</t>
  </si>
  <si>
    <t>CARTEL GENERAL INDICATIVO DE RIESGO</t>
  </si>
  <si>
    <t>CARTEL SEÑALIZADOR DE SEGURIDAD AL INGRESO</t>
  </si>
  <si>
    <t>CARTELES DE EVACUACIÓN DE SALIDA 40X30</t>
  </si>
  <si>
    <t>CARTELES DE SEÑALIZACIÓN DE SEGURIDAD EN OBRA</t>
  </si>
  <si>
    <t>POSTE PARA SEÑALIZACIÓN DE MADERA Y CONCRETO</t>
  </si>
  <si>
    <t>SEÑAL PROVISIONAL DE OBRA (LETREROS)</t>
  </si>
  <si>
    <t>CAPACITACIÓN EN SEGURIDAD Y SALUD 1 VEX POR MES</t>
  </si>
  <si>
    <t>MATERIAL INFORMATIVO DE CAPACITACIÓN</t>
  </si>
  <si>
    <t>REFRIGERIO</t>
  </si>
  <si>
    <t>RECURSOS PARA RESPUESTAS ANTE EMERGENCIAS</t>
  </si>
  <si>
    <t>ALARMA CON PULSADOR</t>
  </si>
  <si>
    <t>BOTIQUÍN COMPLETO SEGÚN LA NORMA G 050</t>
  </si>
  <si>
    <t>CAMILLA RÍGIDA COLOR NARANJA CON CINTOS</t>
  </si>
  <si>
    <t>COLLARÍN CERVICAL</t>
  </si>
  <si>
    <t>EXTINTOR DE POLVO QUÍMICO SECO (PQS) DE 6 KG</t>
  </si>
  <si>
    <t>LAVA OJO</t>
  </si>
  <si>
    <t>PROGRAMA DE PREVENCION Y CONTROL</t>
  </si>
  <si>
    <t>AGUA DE MESA PARA CONSUMO HUMANO: CONTROL AGENTE FÍSICO</t>
  </si>
  <si>
    <t>PROTECTOR SOLAR CON PROTECTOR UV Y UVB 1 LITRO</t>
  </si>
  <si>
    <t>EXAMEN MÉDICO OCUPACIONAL: PREVENCIÓN ESTADO SALUD TRABAJADOR</t>
  </si>
  <si>
    <t>PREVENCION Y MITIGACION DE IMPACTOS</t>
  </si>
  <si>
    <t>CAMION CISTERNA 2000 GAL</t>
  </si>
  <si>
    <t>MOTOBOMBA 10HP 4"</t>
  </si>
  <si>
    <t>IMPLEMENTACIÓN DE ÁREA DE LA SEÑALIZACIÓN AMBIENTAL</t>
  </si>
  <si>
    <t>OPERARIO</t>
  </si>
  <si>
    <t>CINTA DE MADERA DE 2”X2” (3.00)</t>
  </si>
  <si>
    <t>HORMIGÓN</t>
  </si>
  <si>
    <t>SEÑALIZACIÓN AMBIENTAL</t>
  </si>
  <si>
    <t>CHARLAS DE SENSIBILIZACIÓN PARA LOS TRABAJADORES</t>
  </si>
  <si>
    <t>FICHA DE CONTROL</t>
  </si>
  <si>
    <t>MATERIAL DIDÁCTICO PARA CHARLAS Y TALLERES</t>
  </si>
  <si>
    <t>PANEL INFORMATIVO (1.20MX0.80M) INCLUYE MARCO</t>
  </si>
  <si>
    <t xml:space="preserve">MONITOREO DE CALIDAD AMBIENTAL </t>
  </si>
  <si>
    <t>pto/dia</t>
  </si>
  <si>
    <t>SERVICIO DE MONITOREO DE CALIDAD AMBIENTAL DE RUIDO</t>
  </si>
  <si>
    <t>CONTENEDOR DE RESIDUOS SOLIDOS DE 200 LTS</t>
  </si>
  <si>
    <t>m3/dia</t>
  </si>
  <si>
    <t xml:space="preserve">ALCOHOL EN GELX300 ML </t>
  </si>
  <si>
    <t xml:space="preserve">BOLSAS DE POLIETILENO (ROJO, NEGRO) </t>
  </si>
  <si>
    <t>pqt</t>
  </si>
  <si>
    <t xml:space="preserve">GUANTES LATEX </t>
  </si>
  <si>
    <t xml:space="preserve">JABON LIQUIDO ANTIBACTERIAL DE 1 L </t>
  </si>
  <si>
    <t xml:space="preserve">MASCARILLA Y/O RESPIRADOR </t>
  </si>
  <si>
    <t xml:space="preserve">TRAJE DESCARTABLE BIODEGRADABLE </t>
  </si>
  <si>
    <t>SERVICIO DE ELIMINACIÓN Y TRANSPORTE DE RESIDUOS PELIGROSOS</t>
  </si>
  <si>
    <t>est</t>
  </si>
  <si>
    <t xml:space="preserve">ACONDICIONAMIENTO </t>
  </si>
  <si>
    <t>CALAMINA GALV. 11 CANALES 0.83x1.83 (N°30)</t>
  </si>
  <si>
    <t>HORMIGON</t>
  </si>
  <si>
    <t>m³</t>
  </si>
  <si>
    <t>CEMENTO PORTLAND TIPO IP (42.5 kg)</t>
  </si>
  <si>
    <t>bol</t>
  </si>
  <si>
    <t>MADERA AGUANO</t>
  </si>
  <si>
    <t>P2</t>
  </si>
  <si>
    <t>BOLSAS NEGRAS DE BASURA</t>
  </si>
  <si>
    <t>ESCOBA CON MANGO PVC</t>
  </si>
  <si>
    <t>RECOGEDOR</t>
  </si>
  <si>
    <t>OPERARIO DE EQUIPO PESADO</t>
  </si>
  <si>
    <t>PETRÓLEO D-2</t>
  </si>
  <si>
    <t>gal</t>
  </si>
  <si>
    <t>CAMIÓN VOLQUETE DE 15 M3</t>
  </si>
  <si>
    <t>SACOS DE POLIPROPILENO 50 KG</t>
  </si>
  <si>
    <t>BOLSAS HERMÉTICAS</t>
  </si>
  <si>
    <t>KIT ANTE DERRAME</t>
  </si>
  <si>
    <t>PAÑOS ABSORBENTES PARA HIDROCARBUROS</t>
  </si>
  <si>
    <t>ROLLO DE PLÁSTICO DE 1.0 mm x 2 mm</t>
  </si>
  <si>
    <t>RETROEXCAVADOR SOBRE LLANTAS 80-110HP 0.5-1.3 YD³</t>
  </si>
  <si>
    <t>CARGADOR FRONTAL S/LLANTAS DE 125-155 HP 3 YD³</t>
  </si>
  <si>
    <t>ABONO ORGÁNICO</t>
  </si>
  <si>
    <t>SEMILLAS DE PLANTAS ORNAMENTALES</t>
  </si>
  <si>
    <t xml:space="preserve">NIVELACION Y COMPACTACION </t>
  </si>
  <si>
    <t>GASOHOL</t>
  </si>
  <si>
    <t>COMPACTADOR VIBRATORIO TIPO PLANCHA 4 HP</t>
  </si>
  <si>
    <t xml:space="preserve">Parcial </t>
  </si>
  <si>
    <t xml:space="preserve">Total </t>
  </si>
  <si>
    <t>ESTRUCTURA</t>
  </si>
  <si>
    <t>MOVIMIENTO DE TIERRAS</t>
  </si>
  <si>
    <t>02.01.01</t>
  </si>
  <si>
    <t>EXCAVACIÓN LOCALIZADA CON MAQUINARIA</t>
  </si>
  <si>
    <t>02.01.02</t>
  </si>
  <si>
    <t>EXCAVACIÓN MANUAL</t>
  </si>
  <si>
    <t>02.01.03</t>
  </si>
  <si>
    <t>RELLENO COMPACTADO C/PLANCHA COMPACTADORA C/MATERIAL DE PRÉSTAMO</t>
  </si>
  <si>
    <t>02.01.04</t>
  </si>
  <si>
    <t>RELLENO COMPACTADO C/PLANCHA COMPACTADORA C/MATERIAL PROPIO</t>
  </si>
  <si>
    <t>02.01.05</t>
  </si>
  <si>
    <t>FORMACION Y COMPACTACION DE SUBRASANTE</t>
  </si>
  <si>
    <t>02.01.06</t>
  </si>
  <si>
    <t>ACARREO DE MATERIAL EXCEDENTE</t>
  </si>
  <si>
    <t>02.01.07</t>
  </si>
  <si>
    <t>ELIMINACIÓN DE MATERIAL EXCEDENTE HASTA D=10 KM</t>
  </si>
  <si>
    <t>02.01.08</t>
  </si>
  <si>
    <t>COMPACTACION DE SUBRASANTE LOSA DEPORTIVA</t>
  </si>
  <si>
    <t>02.01.09</t>
  </si>
  <si>
    <t>AFIRMADO DE e=0.30m PARA LOSA DEPORTIVA</t>
  </si>
  <si>
    <t>CONCRETO SIMPLE</t>
  </si>
  <si>
    <t>02.02.01</t>
  </si>
  <si>
    <t xml:space="preserve">CONCRETO CICLOPEO -PLATEA DE CIMENTACION </t>
  </si>
  <si>
    <t>02.02.01.01</t>
  </si>
  <si>
    <t>CONCRETO CICLOPEO F’C=100 KG/CM² + PIEDRA GRANDE DE 8" E=0.80 M</t>
  </si>
  <si>
    <t>02.02.02</t>
  </si>
  <si>
    <t xml:space="preserve">FALSA ZAPATA  </t>
  </si>
  <si>
    <t>02.02.02.01</t>
  </si>
  <si>
    <t>FALSA ZAPATA F’C=100 KG/CM² + PIEDRA GRANDE DE 8" E=0.80 M</t>
  </si>
  <si>
    <t>02.02.03</t>
  </si>
  <si>
    <t xml:space="preserve">FALSO PISO  </t>
  </si>
  <si>
    <t>02.02.03.01</t>
  </si>
  <si>
    <t>FALSO PISO E = 4" FC = 175 KG/CM2</t>
  </si>
  <si>
    <t>02.02.04</t>
  </si>
  <si>
    <t>SOLADOS</t>
  </si>
  <si>
    <t>02.02.04.01</t>
  </si>
  <si>
    <t>SOLADO PARA VIGA DE CIMENTACIÓN FC=100 KG/CM2 E=4"</t>
  </si>
  <si>
    <t>CONCRETO ARMADO</t>
  </si>
  <si>
    <t>02.03.01</t>
  </si>
  <si>
    <t>ZAPATAS</t>
  </si>
  <si>
    <t>02.03.01.01</t>
  </si>
  <si>
    <t>ZAPATAS.- CONCRETO f'c=210 Kg/cm2</t>
  </si>
  <si>
    <t>02.03.01.02</t>
  </si>
  <si>
    <t>ZAPATAS.- ACERO DE REFUERZO fy=4,200 Kg/cm2</t>
  </si>
  <si>
    <t>02.03.02</t>
  </si>
  <si>
    <t>PLATEA DE CIMENTACION</t>
  </si>
  <si>
    <t>02.03.02.01</t>
  </si>
  <si>
    <t>PLATEA DE CIMENTACION. – CONCRETO f'c=210</t>
  </si>
  <si>
    <t>02.03.02.02</t>
  </si>
  <si>
    <t>PLATEA DE CIMENTACION. – ENCOFRADO Y DESENCOFRADO</t>
  </si>
  <si>
    <t>02.03.02.03</t>
  </si>
  <si>
    <t>PLATEA DE CIMENTACION.- ACERO DE REFUERZO fy=4,200 Kg/cm2</t>
  </si>
  <si>
    <t>02.03.03</t>
  </si>
  <si>
    <t>SOBRECIMIENTOS ARMADO</t>
  </si>
  <si>
    <t>02.03.03.01</t>
  </si>
  <si>
    <t>SOBRECIMIENTO REFORZADO.- CONCRETO 210 KG/CM2</t>
  </si>
  <si>
    <t>02.03.03.02</t>
  </si>
  <si>
    <t>SOBRECIMIENTOS REFORZADOS.- ENCOFRADO Y DESENCOFRADO</t>
  </si>
  <si>
    <t>02.03.03.03</t>
  </si>
  <si>
    <t>SOBRECIMIENTO ARMADO.- ACERO DE REFUERZO fy=4,200 Kg/cm2</t>
  </si>
  <si>
    <t>02.03.04</t>
  </si>
  <si>
    <t>VIGAS DE CIMENTACIÓN</t>
  </si>
  <si>
    <t>02.03.04.01</t>
  </si>
  <si>
    <t>VIGAS DE CIMENTACIÓN.- CONCRETO 210 KG/CM2</t>
  </si>
  <si>
    <t>02.03.04.02</t>
  </si>
  <si>
    <t>VIGAS DE CIMENTACIÓN.- ENCOFRADO Y DESENCOFRADO</t>
  </si>
  <si>
    <t>02.03.04.03</t>
  </si>
  <si>
    <t>VIGAS DE CIMENTACIÓN.- ACERO DE REFUERZO fy=4,200 Kg/cm2</t>
  </si>
  <si>
    <t>02.03.05</t>
  </si>
  <si>
    <t>COLUMNAS</t>
  </si>
  <si>
    <t>02.03.05.01</t>
  </si>
  <si>
    <t>COLUMNAS-CONCRETO fc=210kg/cm2</t>
  </si>
  <si>
    <t>02.03.05.02</t>
  </si>
  <si>
    <t>COLUMNAS.- ENCOFRADO Y DESENCOFRADO</t>
  </si>
  <si>
    <t>02.03.05.03</t>
  </si>
  <si>
    <t>COLUMNAS.- ACERO DE REFUERZO fy=4,200 Kg/cm2</t>
  </si>
  <si>
    <t>02.03.06</t>
  </si>
  <si>
    <t>COLUMNETAS DE CONFINAMIENTO</t>
  </si>
  <si>
    <t>02.03.06.01</t>
  </si>
  <si>
    <t>COLUMNETAS DE CONFINAMIENTO-CONCRETO fc=210kg/cm2</t>
  </si>
  <si>
    <t>02.03.06.02</t>
  </si>
  <si>
    <t>COLUMNETAS DE CONFINAMIENTO.- ENCOFRADO Y DESENCOFRADO</t>
  </si>
  <si>
    <t>02.03.06.03</t>
  </si>
  <si>
    <t>COLUMNETAS DE CONFINAMIENTO.- ACERO DE REFUERZO fy=4,200 Kg/cm2</t>
  </si>
  <si>
    <t>02.03.07</t>
  </si>
  <si>
    <t>VIGAS</t>
  </si>
  <si>
    <t>02.03.07.01</t>
  </si>
  <si>
    <t>VIGAS.- CONCRETO fc=210kg/cm2</t>
  </si>
  <si>
    <t>02.03.07.02</t>
  </si>
  <si>
    <t>VIGAS.- ENCOFRADO Y DESENCOFRADO</t>
  </si>
  <si>
    <t>02.03.07.03</t>
  </si>
  <si>
    <t>VIGAS.- ACERO fy=4200 kg/cm²</t>
  </si>
  <si>
    <t>02.03.08</t>
  </si>
  <si>
    <t xml:space="preserve">VIGUETAS DE CONFINAMIENTO </t>
  </si>
  <si>
    <t>02.03.08.01</t>
  </si>
  <si>
    <t>VIGUETAS DE CONFINAMIENTO.- CONCRETO fc=210kg/cm2</t>
  </si>
  <si>
    <t>02.03.08.02</t>
  </si>
  <si>
    <t>VIGUETAS DE CONFINAMIENTO.- ENCOFRADO Y DESENCOFRADO</t>
  </si>
  <si>
    <t>02.03.08.03</t>
  </si>
  <si>
    <t>VIGUETAS DE CONFINAMIENTO.- ACERO fy=4200 kg/cm²</t>
  </si>
  <si>
    <t>02.03.09</t>
  </si>
  <si>
    <t xml:space="preserve">LOSA ALIGERADA </t>
  </si>
  <si>
    <t>02.03.09.01</t>
  </si>
  <si>
    <t>LOSA ALIGERADA - CONCRETO f'c=210 kg/cm²</t>
  </si>
  <si>
    <t>02.03.09.02</t>
  </si>
  <si>
    <t>LOSA ALIGERADA.- ENCOFRADO Y DESENCOFRADO</t>
  </si>
  <si>
    <t>02.03.09.03</t>
  </si>
  <si>
    <t>LOSA ALIGERADA.- ACERO DE REFUERZO fy=4,200 kg/cm²</t>
  </si>
  <si>
    <t>02.03.09.04</t>
  </si>
  <si>
    <t>LOSA ALIGERADA.- LADRILLO HUECO 30×30×15 cm</t>
  </si>
  <si>
    <t xml:space="preserve">und </t>
  </si>
  <si>
    <t>02.03.10</t>
  </si>
  <si>
    <t>LOSA MACIZA</t>
  </si>
  <si>
    <t>02.03.10.01</t>
  </si>
  <si>
    <t>LOSA MACIZA CONCRETO f'c= 210 kg/cm²</t>
  </si>
  <si>
    <t>02.03.10.02</t>
  </si>
  <si>
    <t>LOSA MACIZA ENCOFRADO Y DESENCOFRADO</t>
  </si>
  <si>
    <t>02.03.10.03</t>
  </si>
  <si>
    <t>LOSA MACIZA ACERO fy=4200 kg/cm²</t>
  </si>
  <si>
    <t>02.03.11</t>
  </si>
  <si>
    <t>PLACAS</t>
  </si>
  <si>
    <t>02.03.11.01</t>
  </si>
  <si>
    <t>PLACAS-CONCRETO fc=210kg/cm2</t>
  </si>
  <si>
    <t>02.03.11.02</t>
  </si>
  <si>
    <t>PLACAS.- ENCOFRADO Y DESENCOFRADO</t>
  </si>
  <si>
    <t>02.03.11.03</t>
  </si>
  <si>
    <t>PLACAS.- ACERO DE REFUERZO fy=4,200 Kg/cm2</t>
  </si>
  <si>
    <t>02.03.12</t>
  </si>
  <si>
    <t xml:space="preserve">ESCALERA </t>
  </si>
  <si>
    <t>02.03.12.01</t>
  </si>
  <si>
    <t>CONCRETO F'C=210 KG/CM² EN ESCALERA</t>
  </si>
  <si>
    <t>02.03.12.02</t>
  </si>
  <si>
    <t>ENCOFRADO Y DESENCOFRADO ESCALERA</t>
  </si>
  <si>
    <t>02.03.12.03</t>
  </si>
  <si>
    <t>ACERO FY=4200 KG/CM² EN ESCALERA</t>
  </si>
  <si>
    <t>OBRAS EXTERIORES</t>
  </si>
  <si>
    <t>02.04.01</t>
  </si>
  <si>
    <t>02.04.01.01</t>
  </si>
  <si>
    <t>CONCRETO EN LOSA DEPORTIVA F'C= 210 KG/CM2</t>
  </si>
  <si>
    <t>02.04.01.02</t>
  </si>
  <si>
    <t>CONCRETO DE UÑAS = 210KG/CM2</t>
  </si>
  <si>
    <t>02.04.01.03</t>
  </si>
  <si>
    <t>ENCOFRADO Y DESENCOFRADO NORMAL EN LOSA</t>
  </si>
  <si>
    <t>02.04.01.04</t>
  </si>
  <si>
    <t>DADOS DE CONCRETO PARA SOPORTE, f'c=210 kg/cm2</t>
  </si>
  <si>
    <t>02.04.01.05</t>
  </si>
  <si>
    <t>CURADO DE LOSA</t>
  </si>
  <si>
    <t>02.04.01.06</t>
  </si>
  <si>
    <t>JUNTAS DE DILATACION E= 1" , H=0.10</t>
  </si>
  <si>
    <t>02.04.01.07</t>
  </si>
  <si>
    <t>JUNTAS DILATACION E= 1", H= 0.05</t>
  </si>
  <si>
    <t>02.04.01.08</t>
  </si>
  <si>
    <t>ESTRUCTURA METALICA P/PARANTES DE REFLECTORES</t>
  </si>
  <si>
    <t>02.04.02</t>
  </si>
  <si>
    <t>02.04.02.01</t>
  </si>
  <si>
    <t>CONCRETO EN PATIO DE INICIAL F'C= 210 KG/CM2</t>
  </si>
  <si>
    <t>02.04.02.02</t>
  </si>
  <si>
    <t>02.04.02.03</t>
  </si>
  <si>
    <t>02.04.02.04</t>
  </si>
  <si>
    <t>02.04.02.05</t>
  </si>
  <si>
    <t>02.04.02.06</t>
  </si>
  <si>
    <t>02.04.02.07</t>
  </si>
  <si>
    <t>02.04.02.08</t>
  </si>
  <si>
    <t>02.04.03</t>
  </si>
  <si>
    <t>02.04.03.01</t>
  </si>
  <si>
    <t>CONCRETO EN VEREDAS F'C= 175 KG/CM2</t>
  </si>
  <si>
    <t>02.04.03.02</t>
  </si>
  <si>
    <t>CONCRETO DE UÑAS = 175KG/CM2</t>
  </si>
  <si>
    <t>02.04.03.03</t>
  </si>
  <si>
    <t>02.04.03.04</t>
  </si>
  <si>
    <t>02.04.03.05</t>
  </si>
  <si>
    <t>02.04.03.06</t>
  </si>
  <si>
    <t>02.04.04</t>
  </si>
  <si>
    <t>02.04.04.01</t>
  </si>
  <si>
    <t>PAVIMENTO VEHICULAR - ENCOFRADO Y DESENCOFRADO</t>
  </si>
  <si>
    <t>02.04.04.02</t>
  </si>
  <si>
    <t>DOWELLS</t>
  </si>
  <si>
    <t>02.04.04.03</t>
  </si>
  <si>
    <t>02.04.04.04</t>
  </si>
  <si>
    <t xml:space="preserve">PAVIMENTO VEHICULAR - CONCRETO F'C=210 kg/cm2 </t>
  </si>
  <si>
    <t>02.04.04.05</t>
  </si>
  <si>
    <t>02.04.05</t>
  </si>
  <si>
    <t>02.04.05.01</t>
  </si>
  <si>
    <t>02.04.06</t>
  </si>
  <si>
    <t xml:space="preserve">CERCO PERIMETRICO </t>
  </si>
  <si>
    <t>02.04.06.01</t>
  </si>
  <si>
    <t>MURO DE CONTENCION PARA CERCO PERIMETRICO</t>
  </si>
  <si>
    <t>02.04.06.02</t>
  </si>
  <si>
    <t xml:space="preserve">COLUMNAS PARA CERCO PERIMETRICO </t>
  </si>
  <si>
    <t>02.04.06.03</t>
  </si>
  <si>
    <t>VIGAS PARA CERCO PERIMETRICO</t>
  </si>
  <si>
    <t>02.04.06.04</t>
  </si>
  <si>
    <t>JUNTAS DE DILATACION H=0.10</t>
  </si>
  <si>
    <t>02.04.07</t>
  </si>
  <si>
    <t>02.04.07.01</t>
  </si>
  <si>
    <t>CAPATAZ</t>
  </si>
  <si>
    <t>RETROEXCAVADORA SOBRE LLANTAS 58 HP 1YD3</t>
  </si>
  <si>
    <t>OPERADOR EQUIPO LIVIANO</t>
  </si>
  <si>
    <t xml:space="preserve">Materiales </t>
  </si>
  <si>
    <t>MATERIAL GRANULAR</t>
  </si>
  <si>
    <t xml:space="preserve">AGUA </t>
  </si>
  <si>
    <t>APISONADOR TIPO CANGURO</t>
  </si>
  <si>
    <t>CAMION CISTERNA (1,500 GLNS.)</t>
  </si>
  <si>
    <t>RODILLO LISO VIBRATORIO AUTOPROPULSADO 7- 9  ton</t>
  </si>
  <si>
    <t>MOTONIVELADORA 125 HP</t>
  </si>
  <si>
    <t>MINICARGADOR DE 73 HP</t>
  </si>
  <si>
    <t>CAMION VOLQUETE 4X4 414 HP 15 m3</t>
  </si>
  <si>
    <t>CARGADOR SOBRE LLANTAS 100-115 HP 2-2.25 yd3</t>
  </si>
  <si>
    <t>OPERADOR DE EQUIPO LIVIANO</t>
  </si>
  <si>
    <t>AGUA</t>
  </si>
  <si>
    <t xml:space="preserve">GASOLINA DE 84 OCTANOS </t>
  </si>
  <si>
    <t>PIEDRA GRANDE DE 8"</t>
  </si>
  <si>
    <t>MEZCLADORA DE CONCRETO TAMBOR 11 p3 18 HP</t>
  </si>
  <si>
    <t>FALSO PISO MEZCLA 1:8 e=10 cm.</t>
  </si>
  <si>
    <t xml:space="preserve">MADERA TORNILLO </t>
  </si>
  <si>
    <t>SOLADO PARA CIMENTACION</t>
  </si>
  <si>
    <t> </t>
  </si>
  <si>
    <t>PIEDRA CHANCADA DE 1/2" Y 3/4"</t>
  </si>
  <si>
    <t xml:space="preserve">ARENA GRUESA </t>
  </si>
  <si>
    <t xml:space="preserve">ADITIVO IMPERMEABILIZANTE </t>
  </si>
  <si>
    <t>VIBRADOR A GASOLINA Y 1 3/4" , 4 HP</t>
  </si>
  <si>
    <t>ZAPATAS.- ENCOFRADO Y DESENCOFRADO</t>
  </si>
  <si>
    <t>ALAMBRE NEGRO RECOCIDO BWG N 8</t>
  </si>
  <si>
    <t>kg/dia</t>
  </si>
  <si>
    <t>OFICIAL</t>
  </si>
  <si>
    <t>ACERO CORRUGADO F'Y 4200 (G-60) PRECIO PROMEDIO</t>
  </si>
  <si>
    <t>CIZALLA PARA CORTE DE FIERRO</t>
  </si>
  <si>
    <t>PLATEA DE CIMENTACION.- CONCRETO f'c=210 Kg/cm2</t>
  </si>
  <si>
    <t>PLATEA DE CIMENTACION.- ENCOFRADO Y DESENCOFRADO</t>
  </si>
  <si>
    <t>SOBRECIMIENTOS REFORZADOS.- ACERO DE REFUERZO fy=4,200 Kg/cm2</t>
  </si>
  <si>
    <t>VIGAS DE CIMENTACION .- CONCRETO f'c=210 Kg/cm2</t>
  </si>
  <si>
    <t>VIGAS DE CIMENTACION .- ENCOFRADO Y DESENCOFRADO</t>
  </si>
  <si>
    <t>VIGAS DE CIMENTACION.- ACERO DE REFUERZO fy=4,200 Kg/cm2</t>
  </si>
  <si>
    <t xml:space="preserve">ALAMBRE NEGRO RECOCIDO BWG N 8  </t>
  </si>
  <si>
    <t>COLUMNETAS DE CONFINAMIENTO-CONCRETO fc=175kg/cm2</t>
  </si>
  <si>
    <t>WINCHE ELECTRICO 3.6 HP DE DOS BLADES</t>
  </si>
  <si>
    <t>VIGAS - ACERO fy=4200 kg/cm²</t>
  </si>
  <si>
    <t>VIGUETAS DE CONFINAMIENTO.- CONCRETO fc=175kg/cm2</t>
  </si>
  <si>
    <t>VIGUETAS DE CONFINAMIENTO - ACERO fy=4200 kg/cm²</t>
  </si>
  <si>
    <t>LOSA ALIGERADA.- CONCRETO f'c=210 kg/cm²</t>
  </si>
  <si>
    <t xml:space="preserve">ACEITE MOTOR GASOLINA SAE 30W </t>
  </si>
  <si>
    <t>GRASA MULTIPLG EP</t>
  </si>
  <si>
    <t xml:space="preserve">lb </t>
  </si>
  <si>
    <t xml:space="preserve">GASOLINA 84 OCTANOS </t>
  </si>
  <si>
    <t>PIEDRA CHANCADA DE 1/2" - 3/4"</t>
  </si>
  <si>
    <t>ARENA GRUESA</t>
  </si>
  <si>
    <t>CEMENTO PORTLAND TIPO I (42.5 KG)</t>
  </si>
  <si>
    <t>MEZCLADORA DE CONCRETO</t>
  </si>
  <si>
    <t>VIBRADOR DE CONCRETO</t>
  </si>
  <si>
    <t>ENCOFRADO Y DESENCOFRADO NORMAL PARA LOSA ALIGERADA</t>
  </si>
  <si>
    <t xml:space="preserve">kg/dia </t>
  </si>
  <si>
    <t xml:space="preserve">kg </t>
  </si>
  <si>
    <t xml:space="preserve">und/dia </t>
  </si>
  <si>
    <t>LADRILLO ARCILLA HUECO 15 15x30x30cm</t>
  </si>
  <si>
    <t>WINCHE ELECTRICO 3.6 HP DE DOS BALDES</t>
  </si>
  <si>
    <t>LOZA MACIZA ACERO fy=4200 kg/cm²</t>
  </si>
  <si>
    <t>ESCALERAS-CONCRETO fc=210kg/cm2</t>
  </si>
  <si>
    <t>ACEITE MOTOR GASOLINA SAE 30W</t>
  </si>
  <si>
    <t xml:space="preserve">GRASA MULTIPLE EP </t>
  </si>
  <si>
    <t>lb</t>
  </si>
  <si>
    <t>WNCHE DE DOS BALDES (350KG) M.E. 3.6 HP</t>
  </si>
  <si>
    <t>ESCALERAS.- ENCOFRADO Y DESENCOFRADO</t>
  </si>
  <si>
    <t>ESCALERAS.- ACERO DE REFUERZO fy=4,200 Kg/cm2</t>
  </si>
  <si>
    <t xml:space="preserve">DISCO DE 14 PARA ACERO </t>
  </si>
  <si>
    <t>CORTADORA DE METALES 14" 2600 WATT</t>
  </si>
  <si>
    <t xml:space="preserve"> </t>
  </si>
  <si>
    <t>CEMENTO PORTLAND TIPO I (42.5 kg)</t>
  </si>
  <si>
    <t>CONCRETO PREMEZCLADO F'C=210 KG/CM2</t>
  </si>
  <si>
    <t>SERVICIO DE BOMBA PARA CONCRETO PREMEZCLADO</t>
  </si>
  <si>
    <t>VIBRADOR DE CONCRETO 4 HP 1.5"</t>
  </si>
  <si>
    <t>ALAMBRE NEGRO RECOCIDO N° 8</t>
  </si>
  <si>
    <t>CLAVOS PARA MADERA CON CABEZA</t>
  </si>
  <si>
    <t>ANDAMIO METÁLICO</t>
  </si>
  <si>
    <t>ADITIVO CURADOR DE CONCRETO</t>
  </si>
  <si>
    <t>TECNOPOR DE 1"</t>
  </si>
  <si>
    <t>SELLADOR</t>
  </si>
  <si>
    <t xml:space="preserve">CURADO DE LOSA </t>
  </si>
  <si>
    <t>CONCRETO PREMEZCLADO F'C=175 KG/CM2</t>
  </si>
  <si>
    <t>TRIPLAY DE 1.20X2.40 m X 18 mm</t>
  </si>
  <si>
    <t>FIERRO LISO GRADO 60 FY=4200 KG/CM2</t>
  </si>
  <si>
    <t xml:space="preserve">Subpartida </t>
  </si>
  <si>
    <t>MURO DE CONTENCION PARA CERCO PERIMETRICO-ENCOFRADO Y DESENCOFRADO</t>
  </si>
  <si>
    <t>Subpartidas</t>
  </si>
  <si>
    <t>MURO DE CONTENCION - CONCRETO F'C=210 KG/CM2</t>
  </si>
  <si>
    <t>MURO DE CONTENCION - ACERO FY=4,200 KG/CM2</t>
  </si>
  <si>
    <t>COLUMNAS PARA CERCO PERIMETRICO</t>
  </si>
  <si>
    <t>COLUMNAS CERCO PERIMETRICO - ENCOFRADO Y DESENCOFRADO</t>
  </si>
  <si>
    <t>COLUMNAS CERCO PERIMETRICO - CONCRETO F'C=210 KG/CM2</t>
  </si>
  <si>
    <t>COLUMNAS CERCO PERIMETRICO- ACERO FY=4,200 KG/CM2</t>
  </si>
  <si>
    <t>VIGAS  CERCO PERIMETRICO - ENCOFRADO Y DESENCOFRADO</t>
  </si>
  <si>
    <t>VIGAS CERCO PERIMETRICO - CONCRETO F'C=210 KG/CM2</t>
  </si>
  <si>
    <t>VIGAS  CERCO PERIMETRICO- ACERO FY=4,200 KG/CM2</t>
  </si>
  <si>
    <t>COLUMNAS CERCO PERIMETRICO.- ENCOFRADO Y DESENCOFRADO</t>
  </si>
  <si>
    <t>COLUMNAS CERCO PERIMETRICO-CONCRETO fc=210kg/cm2</t>
  </si>
  <si>
    <t>COLUMNAS CERCO PERIMETRICO.- ACERO DE REFUERZO fy=4,200 Kg/cm2</t>
  </si>
  <si>
    <t>VIGAS CERCO PERIMETRICO.- ENCOFRADO Y DESENCOFRADO</t>
  </si>
  <si>
    <t>VIGAS  CERCO PERIMETRICO.- CONCRETO fc=210kg/cm2</t>
  </si>
  <si>
    <t>VIGAS  CERCO PERIMETRICO - ACERO fy=4200 kg/cm²</t>
  </si>
  <si>
    <t xml:space="preserve"> PORTADA DE INGRESO (PORTON METALICO)</t>
  </si>
  <si>
    <t>ARQUITECTURA</t>
  </si>
  <si>
    <t>MUROS DE MAMPOSTERIA</t>
  </si>
  <si>
    <t>03.01.01</t>
  </si>
  <si>
    <t>MURO DE LADRILLO KK TIPO IV SOGA M 1:4 E=1.5 CM</t>
  </si>
  <si>
    <t>03.01.02</t>
  </si>
  <si>
    <t>MURO DE LADRILLO KK TIPO IV CABEZA M 1:4 E=1.5 CM</t>
  </si>
  <si>
    <t>03.01.03</t>
  </si>
  <si>
    <t>TABIQUE DE DRYWALL E=0.15m</t>
  </si>
  <si>
    <t>03.01.04</t>
  </si>
  <si>
    <t>MELAMINE</t>
  </si>
  <si>
    <t>03.01.05</t>
  </si>
  <si>
    <t>TABLERO C.A. C/CERAMICO</t>
  </si>
  <si>
    <t>REVOQUES, ENLUCIDOS y MOLDURAS</t>
  </si>
  <si>
    <t>03.02.01</t>
  </si>
  <si>
    <t xml:space="preserve">TARRAJEO </t>
  </si>
  <si>
    <t>03.02.01.01</t>
  </si>
  <si>
    <t>TARRAJEO FROTACHADO EN MUROS INTERIORES</t>
  </si>
  <si>
    <t>03.02.01.02</t>
  </si>
  <si>
    <t>TARRAJEO FROTACHADO EN MUROS EXTERIORES</t>
  </si>
  <si>
    <t>03.02.02</t>
  </si>
  <si>
    <t>ZOCALO</t>
  </si>
  <si>
    <t>03.02.02.01</t>
  </si>
  <si>
    <t>ZOCALO DE CERAMICA 0.30x0.30</t>
  </si>
  <si>
    <t>03.02.03</t>
  </si>
  <si>
    <t>CIELO RASO</t>
  </si>
  <si>
    <t>03.02.03.01</t>
  </si>
  <si>
    <t>FALSO CIELORRADOS DE BALDOSAS DE FIBRA MINERAL DE 0.61x0.61m, e:15mm, BORDE REBAJADO, CON SISTEMA DE SUSPENSION ANTISISMICO</t>
  </si>
  <si>
    <t>03.02.03.02</t>
  </si>
  <si>
    <t>TARRAJEO DE CIELO RASO MEZCLA C:A 1:5, e=0.15cm</t>
  </si>
  <si>
    <t xml:space="preserve">PISOS Y PAVIMENTOS </t>
  </si>
  <si>
    <t>03.03.01</t>
  </si>
  <si>
    <t>CONTRAPISOS E=40MM C:A 1:4</t>
  </si>
  <si>
    <t>03.03.02</t>
  </si>
  <si>
    <t>PISO PORCELANATO ANTIDESLIZANTE 0.60x0.6OM</t>
  </si>
  <si>
    <t>03.03.03</t>
  </si>
  <si>
    <t>PISO DE BALDOSA CERAMICA 30x30</t>
  </si>
  <si>
    <t>03.03.04</t>
  </si>
  <si>
    <t>PISO DE CONCRETO E=4" - FC=175 KG7CM2 / ACABADO FROTACHADO</t>
  </si>
  <si>
    <t>03.03.05</t>
  </si>
  <si>
    <t>PISO DE CEMENTO PULIDO Y BRUÑADO E=2" S/ COLOREAR</t>
  </si>
  <si>
    <t>03.03.06</t>
  </si>
  <si>
    <t>PISO LAMINADO DE ALTO TRANSITO EN AULAS</t>
  </si>
  <si>
    <t>CONTRAZOCALOS</t>
  </si>
  <si>
    <t>03.04.01</t>
  </si>
  <si>
    <t>CONTR. S/COLOREAR H=30cm MZ 1:2 e=1.5cm</t>
  </si>
  <si>
    <t>03.04.02</t>
  </si>
  <si>
    <t>CONTRAZOCALO DE CEMENTO SEMIPULIDO CON IMPERMEABILIZANTE Y ENDURECEDOR</t>
  </si>
  <si>
    <t>03.04.03</t>
  </si>
  <si>
    <t>CONTRAZOCALO PORCELANATO ANTIDESLIZANTE H=0.10M</t>
  </si>
  <si>
    <t>03.04.04</t>
  </si>
  <si>
    <t>CONTRAZOCALO LAMINADO EN AULAS</t>
  </si>
  <si>
    <t>03.04.05</t>
  </si>
  <si>
    <t>CONTRAZOCALO DE BALDOSA CERAMICA H=30cm</t>
  </si>
  <si>
    <t>03.04.06</t>
  </si>
  <si>
    <t>CONTRAZOCALO SANITARIO TERRAZO PULIDO, H=0,10M</t>
  </si>
  <si>
    <t>CARPINTERIA</t>
  </si>
  <si>
    <t>03.05.01</t>
  </si>
  <si>
    <t>PUERTA DE MADERA ROBLE NACIONAL APANELADA TIPO MACHIMBRADA +SOBRELUZ+VIDRIO TEMPLADO DE 8MM DE 02 HOJAS+INST+ACABADO, SEGUN PLANO Y ET</t>
  </si>
  <si>
    <t>03.05.02</t>
  </si>
  <si>
    <t>VENTANA C/MARCO DE ALUMINIO SISTEMA CORREDIZO TIPO SERIE 3160 + VIDRIOS INCOLORO TEMPLADO DE 8MM+ACCESORIO + ACCESORIO+ INSTALACION, SEGUN PLANO Y ESPECIFICACIONES TECNICAS</t>
  </si>
  <si>
    <t>03.05.03</t>
  </si>
  <si>
    <t>MAMPARA DE ALUMINIO+VIDRIO INCOLORO TEMPLADO 8MM+ACCESORIOS+INSTALACION,SEGUN PLANO Y ESPECIFICACIONES TECNICAS</t>
  </si>
  <si>
    <t>03.05.04</t>
  </si>
  <si>
    <t>PARASOLES</t>
  </si>
  <si>
    <t>03.05.05</t>
  </si>
  <si>
    <t>PERSIANA METALICA</t>
  </si>
  <si>
    <t xml:space="preserve">PINTURA </t>
  </si>
  <si>
    <t>03.06.01</t>
  </si>
  <si>
    <t>PINTURA LATEX PARA INTERIOR - 2 MANOS (MUROS, TECHOS, VIGAS Y COLUMNAS)</t>
  </si>
  <si>
    <t>03.06.02</t>
  </si>
  <si>
    <t>PINTURA OLEO PARA EXTERIORES - 2 MANOS</t>
  </si>
  <si>
    <t>03.07.01</t>
  </si>
  <si>
    <t>03.07.01.01</t>
  </si>
  <si>
    <t>SUMINISTRO Y PREPARACIÓN DE TIERRA DE CHACRA</t>
  </si>
  <si>
    <t>03.07.01.02</t>
  </si>
  <si>
    <t>SUMINISTRO Y SEMBRIO DE ARBUSTOS</t>
  </si>
  <si>
    <t>03.07.01.03</t>
  </si>
  <si>
    <t>SUMINISTRO Y SEMBRIO DE ARBOLES</t>
  </si>
  <si>
    <t>03.07.02</t>
  </si>
  <si>
    <t>03.07.02.01</t>
  </si>
  <si>
    <t>PINTURA DE LINEAS EN LOSA DEPORTIVA</t>
  </si>
  <si>
    <t>03.07.03</t>
  </si>
  <si>
    <t xml:space="preserve">PATIO DE FORMACIÓN </t>
  </si>
  <si>
    <t>03.07.03.01</t>
  </si>
  <si>
    <t>PINTURA DE LINEAS EN PATIO DE INICIAL</t>
  </si>
  <si>
    <t>03.07.04</t>
  </si>
  <si>
    <t>03.07.04.01</t>
  </si>
  <si>
    <t>ACABADO FROTACHADO Y BRUÑADO EN VEREDAS</t>
  </si>
  <si>
    <t>03.07.05</t>
  </si>
  <si>
    <t>03.07.05.01</t>
  </si>
  <si>
    <t xml:space="preserve">ACABADO CEPILLADO </t>
  </si>
  <si>
    <t>03.07.06</t>
  </si>
  <si>
    <t>03.07.06.01</t>
  </si>
  <si>
    <t>03.07.07</t>
  </si>
  <si>
    <t>03.07.07.01</t>
  </si>
  <si>
    <t>MURO DE LADRILLO</t>
  </si>
  <si>
    <t>03.07.07.02</t>
  </si>
  <si>
    <t>TARRAJEO COLUMNAS Y PLACAS</t>
  </si>
  <si>
    <t>03.07.07.03</t>
  </si>
  <si>
    <t>TARRAJEO DE VIGAS</t>
  </si>
  <si>
    <t>03.07.07.04</t>
  </si>
  <si>
    <t>PINTURA DE MUROS</t>
  </si>
  <si>
    <t>03.07.08</t>
  </si>
  <si>
    <t>03.07.08.01</t>
  </si>
  <si>
    <t>03.07.09</t>
  </si>
  <si>
    <t>COBERTURAS</t>
  </si>
  <si>
    <t>03.07.09.01</t>
  </si>
  <si>
    <t>COBERTURA LIVIANA DE LOSA DEPORTIVA</t>
  </si>
  <si>
    <t>03.07.09.02</t>
  </si>
  <si>
    <t>COBERTURA LIVIANA DE PATIO DE INICIAL</t>
  </si>
  <si>
    <t>COLUMNETAS - CONCRETO f'c=210 kg/cm²</t>
  </si>
  <si>
    <t>LADRILLO KK TIPO IV 24X13X9 CM</t>
  </si>
  <si>
    <t xml:space="preserve">ANDAMIO METALICO HOMOLOGADO </t>
  </si>
  <si>
    <t>d</t>
  </si>
  <si>
    <t>COLUMNETAS - CONCRETO F'C= 210 kg/cm2</t>
  </si>
  <si>
    <t>COLUMNETAS - ENCOFRADO Y DESENCOFRADO</t>
  </si>
  <si>
    <t>COLUMNETAS - ACERO DE REFUERZO Fy= 4200 kg/cm2</t>
  </si>
  <si>
    <t>VIGUETAS - CONCRETO F'C= 210 kg/cm2</t>
  </si>
  <si>
    <t>COLUMNETAS - ENCOFRADO Y DESENCOFRADO NORMAL</t>
  </si>
  <si>
    <t>VIGUETAS - ENCOFRADO Y DESENCOFRADO</t>
  </si>
  <si>
    <t>VIGUETAS - ACERO DE REFUERZO Fy= 4200 kg/cm2</t>
  </si>
  <si>
    <t>JUNTAS CON ESPUMA PLASTICO + SELLO ELASTOMERICO DE POLIURETANO E=0.15M</t>
  </si>
  <si>
    <t>COLUMNETAS - ACERO fy=4200 kg/cm²</t>
  </si>
  <si>
    <t xml:space="preserve">CAPATAZ </t>
  </si>
  <si>
    <t>VIGUETAS - CONCRETO f'c=210 kg/cm²</t>
  </si>
  <si>
    <t>ANGULO ESQUINERO DE ACERO 30x30x0.30mm, L=2.40m</t>
  </si>
  <si>
    <t>CLAVOS DISPARO 3.7x3.8mm</t>
  </si>
  <si>
    <t>PARANTE DE FoGo 89x38x0.45mm, L=3.00m</t>
  </si>
  <si>
    <t>CINTA DE PAPEL PARA JUNTAS 2"x75m</t>
  </si>
  <si>
    <t>MASILLA PARA DRYWALL (25Kg)</t>
  </si>
  <si>
    <t>TORNILLO AUTORROSCANTE 1/2"x4mm</t>
  </si>
  <si>
    <t>TORNILLOS VOLCANITA 6x1"</t>
  </si>
  <si>
    <t>PLACA DE YESO ESTANDAR GYPLAC e=5/8", 1.22 m x 2.44m</t>
  </si>
  <si>
    <t>RIEL DE FoGo 90x25x0.45mm, L=3.00m</t>
  </si>
  <si>
    <t>VIGUETAS - ENCOFRADO y DESENCOFRADO</t>
  </si>
  <si>
    <t>TORNILLO AUTOROSCANTE CABEZA AVELLANADA 1/2"</t>
  </si>
  <si>
    <t>MELAMINE 18MM (1.80X2.50)</t>
  </si>
  <si>
    <t>PARANTE DE ALUMINIO DE 38.10X25.40X2.00MM</t>
  </si>
  <si>
    <t>BASTIDOR DE ALUMINIO DE 39.70X25.40X2.00MM</t>
  </si>
  <si>
    <t>TABLERO C.A.C/CERAMICO</t>
  </si>
  <si>
    <t>VIGUETAS - ACERO fy=4200 kg/cm²</t>
  </si>
  <si>
    <t>ACERO CORRUGADO FY=4200 KG/CM2 GRADO 60</t>
  </si>
  <si>
    <t>ARENA FINA</t>
  </si>
  <si>
    <t>CEMENTO PORTLAND TIPO I (42.5KG)</t>
  </si>
  <si>
    <t xml:space="preserve">CERAMICO 20X30 CM </t>
  </si>
  <si>
    <t>FRAGUA PARA CERAMICO</t>
  </si>
  <si>
    <t>RODOPLAST</t>
  </si>
  <si>
    <t xml:space="preserve">MADERA ROBLE NACIONAL </t>
  </si>
  <si>
    <t>TRIPLAY LUPUNA DE 4' X 8' X 9MM</t>
  </si>
  <si>
    <t>pl</t>
  </si>
  <si>
    <t>IMPRIMANTE APLICACIÖN ELASTOMERICA POLIURETANO</t>
  </si>
  <si>
    <t>CINTA MASKINGTAPE</t>
  </si>
  <si>
    <t>TECKNOPOR DE 1"x4'x8'</t>
  </si>
  <si>
    <t>plan</t>
  </si>
  <si>
    <t>SELLO ELASTOMERICO DE POLIURETANO</t>
  </si>
  <si>
    <t>BACKER ROOD 1 1/4" ESPUMA</t>
  </si>
  <si>
    <t xml:space="preserve">TARRAJEO FROTACHADO EN MUROS INTERIORES </t>
  </si>
  <si>
    <t xml:space="preserve">CEMENTO PORTLAND TIPO I (BLS.:42.5 KG) EL SOL </t>
  </si>
  <si>
    <t>CAL HIDRATADA EN BOLSA 30 kg</t>
  </si>
  <si>
    <t>REGLA DE MADERA</t>
  </si>
  <si>
    <t>MADERA ANDAMIAJE</t>
  </si>
  <si>
    <t>CLAVO C/CABEZA P/CONSTRUCCION D. PROMEDIO</t>
  </si>
  <si>
    <t>PORCELANA BLANCA</t>
  </si>
  <si>
    <t>PEGAMENTO CHEMAYOLIC CERAMICOS PORCELANATOS Y GRES
PORCELAN-25 KG</t>
  </si>
  <si>
    <t>PISO BALDOSA CERAMICA</t>
  </si>
  <si>
    <t>CRUCETAS (200 und)</t>
  </si>
  <si>
    <t>REGLA DE ALUMINIO 2" X 4" X 10"</t>
  </si>
  <si>
    <t>FALSO CIELO RASO CON PLANCHA DE DRYWALL BALDOSA ACUSTICA AMF ECOMIN PLANET</t>
  </si>
  <si>
    <t>ALAMBRE GALVANIZADO N°12</t>
  </si>
  <si>
    <t>ÁNGULO PERIMETRAL METÁLICO SUPRAFINE XL 9/16", LONG. 9.8'</t>
  </si>
  <si>
    <t>SUSPENSIÓN METÁLICA TERCIARIA SUPRAFINE XL 9/16", LONG. 2'</t>
  </si>
  <si>
    <t>SUSPENSIÓN METÁLICA SECUNDARIA SUPRAFINE XL 9/16", LONG. 4'</t>
  </si>
  <si>
    <t>SUSPENSIÓN METÁLICA PRINCIPAL SUPRAFINE XL 9/16", LONG. 4'</t>
  </si>
  <si>
    <t>TORNILLO DE FIJACIÓN Y TARUGOS P/F CIELO RASO</t>
  </si>
  <si>
    <t>BALDOSAS DE FIBRA MINERAL 0.60X0.60 M, E=14 MM</t>
  </si>
  <si>
    <t>ANDAMIO METALICO</t>
  </si>
  <si>
    <t xml:space="preserve">m2/dia </t>
  </si>
  <si>
    <t xml:space="preserve">ARENA FINA </t>
  </si>
  <si>
    <t xml:space="preserve">CLAVOS PROMEDIO P/CONSTRUCCION </t>
  </si>
  <si>
    <t xml:space="preserve">MEZCLADORA DE CONCRETO 11 P3 (23 HP)						</t>
  </si>
  <si>
    <t>PEGAMENTO EN POLVO PARA CERAMICOS (BOLSA 25KG)</t>
  </si>
  <si>
    <t>bal</t>
  </si>
  <si>
    <t>PORCELANATO ANTIDESLIZANTE ALTO TRANSITO  60 X 60 cm</t>
  </si>
  <si>
    <t>CRUCETAS DE PLASTICO 3mm (BOL DE 200 und)</t>
  </si>
  <si>
    <t>PISO DE CEMENTO SEMIPULIDO Y BRUÑADO</t>
  </si>
  <si>
    <t xml:space="preserve">PULIDOR DE PISO </t>
  </si>
  <si>
    <t xml:space="preserve">PISO LAMINADO DE ALTO TRANSITO EN AULAS </t>
  </si>
  <si>
    <t>SUMINISTRO E INSTALACIÓN DE PISO LAMINADO</t>
  </si>
  <si>
    <t>MORTERO TARRAJEO EMBOLSADO (40 kg)</t>
  </si>
  <si>
    <t>ADITIVO IMPERMEABILIZANTE (20 L)</t>
  </si>
  <si>
    <t>bld</t>
  </si>
  <si>
    <t>ADITIVO ENDURECEDOR DE PISO</t>
  </si>
  <si>
    <t>CEMENTO BLANCO BOLSA 25 KG</t>
  </si>
  <si>
    <t>MARMOLINA N°01 (BOLSA DE 25 KG)</t>
  </si>
  <si>
    <t>GRANALLA</t>
  </si>
  <si>
    <t>LIJA P/MADERA</t>
  </si>
  <si>
    <t xml:space="preserve">PINTURA LATEX LAVABLE </t>
  </si>
  <si>
    <t xml:space="preserve">SELLADOR BLANCO PARA MUROS </t>
  </si>
  <si>
    <t>CINTA MAKINGTAPE</t>
  </si>
  <si>
    <t xml:space="preserve">PASTA MURAL </t>
  </si>
  <si>
    <t>PINTURA OLEO</t>
  </si>
  <si>
    <t>AGUARRAS</t>
  </si>
  <si>
    <t>SELLADOR BLANCO PARA MUROS</t>
  </si>
  <si>
    <t>PASTA MURAL</t>
  </si>
  <si>
    <t>TIERRA DE CHACRA</t>
  </si>
  <si>
    <t>ARBUSTOS LOCALES</t>
  </si>
  <si>
    <t>ARBOL</t>
  </si>
  <si>
    <t xml:space="preserve">PINTURA INDUSTRIAL COLOR AMARILLO </t>
  </si>
  <si>
    <t>XILOL</t>
  </si>
  <si>
    <t xml:space="preserve">PINTURA DE LINEAS EN PATIO DE FORMACION </t>
  </si>
  <si>
    <t xml:space="preserve">SubPartida </t>
  </si>
  <si>
    <t>ACABADO CEPILLADO</t>
  </si>
  <si>
    <t xml:space="preserve">MURO DE LADRILLO </t>
  </si>
  <si>
    <t>MADERA CEDRO</t>
  </si>
  <si>
    <t xml:space="preserve">TARRAJEO DE VIGAS </t>
  </si>
  <si>
    <t xml:space="preserve">PINTURA DE MUROS </t>
  </si>
  <si>
    <t>PLANCHA DE ACERO LAC 1/8" (3mm)</t>
  </si>
  <si>
    <t>PINTURA ESMALTE</t>
  </si>
  <si>
    <t>PINTURA ANTICORROSIVA</t>
  </si>
  <si>
    <t>TUBERIA DE FIERRO N° 2" STANDARD</t>
  </si>
  <si>
    <t>TUBERIA DE FIERRO N° 3" STANDARD</t>
  </si>
  <si>
    <t>TUBERIA DE FIERRO N° 4" STANDARD</t>
  </si>
  <si>
    <t>CUERDA DE NYLON</t>
  </si>
  <si>
    <t>ARANDELA PLANA DE 1/2"</t>
  </si>
  <si>
    <t>PERNO 1/2" x 3" CON TUERCA</t>
  </si>
  <si>
    <t>ELECTRODO TIPO 6011</t>
  </si>
  <si>
    <t>COBERTURA LIVIANA DE PATIO DE FORMACION</t>
  </si>
  <si>
    <t xml:space="preserve">INSTALACIONES SANITARIAS </t>
  </si>
  <si>
    <t>APARATOS SANITARIOS</t>
  </si>
  <si>
    <t>04.01.01</t>
  </si>
  <si>
    <t xml:space="preserve">INODORO </t>
  </si>
  <si>
    <t>04.01.02</t>
  </si>
  <si>
    <t xml:space="preserve">URINARIO </t>
  </si>
  <si>
    <t>04.01.03</t>
  </si>
  <si>
    <t xml:space="preserve">LAVATORIO </t>
  </si>
  <si>
    <t>04.01.04</t>
  </si>
  <si>
    <t>LAVADEROS DE LIMPIEZA DE MAMPOSTERIA DE LADRILLO REVESTIDO CON CERAMICA + GRIFERIA</t>
  </si>
  <si>
    <t xml:space="preserve">SALIDAS DE AGUA </t>
  </si>
  <si>
    <t>04.02.01</t>
  </si>
  <si>
    <t xml:space="preserve">SALIDA DE AGUA FRIA PVC INC. TUBERIA Y ACCESORIOS 1/2" </t>
  </si>
  <si>
    <t>04.02.02</t>
  </si>
  <si>
    <t xml:space="preserve">SALIDA DE AGUA CALIENTE, CON TUBERIA CPVC (PROMEDIO) </t>
  </si>
  <si>
    <t xml:space="preserve">VALVULAS  </t>
  </si>
  <si>
    <t>04.03.01</t>
  </si>
  <si>
    <t>VALVULAS COMPUERTAS, ESFERICAS Y CAJAS PARA VALVULAS</t>
  </si>
  <si>
    <t>EXTINTORES Y GABINETES</t>
  </si>
  <si>
    <t>04.04.01</t>
  </si>
  <si>
    <t xml:space="preserve">SALIDAS DRENAJE PLUVIAL </t>
  </si>
  <si>
    <t>04.05.01</t>
  </si>
  <si>
    <t xml:space="preserve">DRENAJE PLUVIAL </t>
  </si>
  <si>
    <t xml:space="preserve">DESAGÜE </t>
  </si>
  <si>
    <t>04.06.01</t>
  </si>
  <si>
    <t>SALIDA DE DESAGUE  PVC-SAL 2"</t>
  </si>
  <si>
    <t>04.06.02</t>
  </si>
  <si>
    <t>SALIDA DE DESAGUE  PVC-SAL 4"</t>
  </si>
  <si>
    <t>VENTILACIÓN</t>
  </si>
  <si>
    <t>04.07.01</t>
  </si>
  <si>
    <t xml:space="preserve">SALIDA DE VENTILACION (PROMEDIO) </t>
  </si>
  <si>
    <t>ACCESORIOS</t>
  </si>
  <si>
    <t>04.08.01</t>
  </si>
  <si>
    <t xml:space="preserve">MEZCLADORA DE DUCHA </t>
  </si>
  <si>
    <t>04.08.02</t>
  </si>
  <si>
    <t xml:space="preserve">JABONERA DE LOSA PARA EMPOTRAR </t>
  </si>
  <si>
    <t>04.09.01</t>
  </si>
  <si>
    <t>Glb</t>
  </si>
  <si>
    <t>04.09.02</t>
  </si>
  <si>
    <t>04.09.03</t>
  </si>
  <si>
    <t>URINARIO</t>
  </si>
  <si>
    <t>LAVATORIO</t>
  </si>
  <si>
    <t>PEGAMENTO PVC AZUL 128 ONZAS - OATEY</t>
  </si>
  <si>
    <t>TUBO PVC AGUA S.P. CLASE 10 1/2" X 5m</t>
  </si>
  <si>
    <t>CODO PVC AGUA DOBLE CAMPANA S.P. 1/2" X 90°</t>
  </si>
  <si>
    <t>TEE PVC AGUA S.P. 1/2"</t>
  </si>
  <si>
    <t xml:space="preserve">PEGAMENTO P/TUBO CPVC ML </t>
  </si>
  <si>
    <t>TUBO CPVC AGUA CALIENTE S.P. 1/2" X 5m</t>
  </si>
  <si>
    <t>CODO ACERO GALV. TIPO ISO I 1/2" X 90°</t>
  </si>
  <si>
    <t>CODO CPVC AGUA CALIENTE S.P/ 1/2" X 90°</t>
  </si>
  <si>
    <t>TEE CPVC AGUA CALIENTE S.P/ 1/2"</t>
  </si>
  <si>
    <t>CO2, DIOXIDO DE CARBONO - 10 LBS. Incluye gabinete</t>
  </si>
  <si>
    <t>GRAVA DE 1/2"</t>
  </si>
  <si>
    <t>TUBERIA PVC-SAP 3"</t>
  </si>
  <si>
    <t>REJILLA BRONCE Ø 3" ROSCADA</t>
  </si>
  <si>
    <t>SALIDA DE DESAGÜE PVC-SAL 2"</t>
  </si>
  <si>
    <t>TUBO PVC DESAGUE SAL 2" X 3 M PAVCO</t>
  </si>
  <si>
    <t>CODO PVC DESAGUE SAL 2" X 90°</t>
  </si>
  <si>
    <t>YEE PVC DESAGUE SAL 2"</t>
  </si>
  <si>
    <t>TRAMPA P PVC DESAGUE SAL 2"</t>
  </si>
  <si>
    <t>SALIDA DE DESAGÜE PVC-SAL 4"</t>
  </si>
  <si>
    <t>TUBO PVC DESAGUE SAL 4" X 3 M PAVCO</t>
  </si>
  <si>
    <t>CODO PVC DESAGUE SAL 4" X 90°</t>
  </si>
  <si>
    <t>YEE PVC DESAGUE SAL 4"</t>
  </si>
  <si>
    <t xml:space="preserve">SALIDA DE VENTILACION(PROMEDIO) </t>
  </si>
  <si>
    <t>CODO VENTILACION PVC DESAGUE SAL 4" A 2"</t>
  </si>
  <si>
    <t>MEZCLADORA DE DUCHA C/GRIFERIA Y BRAZO</t>
  </si>
  <si>
    <t xml:space="preserve">CEMENTO BLANCO </t>
  </si>
  <si>
    <t>SISTEMA DE BOMBEO DE PRESION CONSTANTE</t>
  </si>
  <si>
    <t xml:space="preserve">INSTALACIONES SANITARIAS EXTERIORES INC. CANALETAS DE EVACUACION PLUVIAL </t>
  </si>
  <si>
    <t>INSTALACIONES ELECTRICAS</t>
  </si>
  <si>
    <t>SALIDAS</t>
  </si>
  <si>
    <t>05.01.01</t>
  </si>
  <si>
    <t>SALIDAS PARA ALUMBRADO, TOMACORRIENTES, FUERZA Y SEÑALES DÉBILES</t>
  </si>
  <si>
    <t>05.01.02</t>
  </si>
  <si>
    <t>SALIDAS PARA TOMACORRIENTES</t>
  </si>
  <si>
    <t>05.01.03</t>
  </si>
  <si>
    <t>SALIDAS PARA FUERZA Y SEÑALES DÉBILES</t>
  </si>
  <si>
    <t>05.01.04</t>
  </si>
  <si>
    <t>SALIDAS TRIFÁSICAS</t>
  </si>
  <si>
    <t>LÁMPARAS</t>
  </si>
  <si>
    <t>05.02.01</t>
  </si>
  <si>
    <t>ARTEFACTO DE ILUMINACIÓN P = 63 W L = 8000 LM</t>
  </si>
  <si>
    <t>05.02.02</t>
  </si>
  <si>
    <t>INSTALACIÓN DE ARTEFACTO DE ILUMINACIÓN, P=63 W L=8000 LM</t>
  </si>
  <si>
    <t>05.02.03</t>
  </si>
  <si>
    <t>PROYECTOR Y PANTALLA</t>
  </si>
  <si>
    <t>05.02.04</t>
  </si>
  <si>
    <t>EXTRACTORES DE AIRE</t>
  </si>
  <si>
    <t>05.02.05</t>
  </si>
  <si>
    <t>SISTEMA DE BAJA TENSIÓN</t>
  </si>
  <si>
    <t>05.02.06</t>
  </si>
  <si>
    <t>SISTEMA DE MEDIA TENSIÓN</t>
  </si>
  <si>
    <t>SALIDAS PARA ALUMBRADO</t>
  </si>
  <si>
    <t>TUBERÍA ELÉCTRICA SAP GRIS 3/4" X3 METROS NICOLL</t>
  </si>
  <si>
    <t>CURVA SAP 3/4" NICOLL</t>
  </si>
  <si>
    <t>UNIÓN SAP 3/4" NICOLL</t>
  </si>
  <si>
    <t>CONEXIÓN A CAJA PVC ELÉCTRICA SAP 3/4"</t>
  </si>
  <si>
    <t>CINTA AISLANTE ELÉCTRICA</t>
  </si>
  <si>
    <t>CAJA DE PASE OCTOGONAL F.G. PESADA 4"</t>
  </si>
  <si>
    <t>ALAMBRE TW 14 AWG</t>
  </si>
  <si>
    <t>SALIDAS PARA TOMACORRIENTE</t>
  </si>
  <si>
    <t>TOMACORRIENTE DOBLE UNIVERSAL 2 POLOS 10A 250VAC</t>
  </si>
  <si>
    <t>CAJA DE PASE RECTANGULAR F.G. PESADA 50 x100 mm</t>
  </si>
  <si>
    <t>SALIDAS PARA FUERZAS Y SEÑALES DEBILES</t>
  </si>
  <si>
    <t>CAJA DE PASE RECTANGULAR F.G. LIVIANA 50 x100 mm</t>
  </si>
  <si>
    <t>SALIDA TRIFASICA</t>
  </si>
  <si>
    <t>ptp/dia</t>
  </si>
  <si>
    <t>un/dia</t>
  </si>
  <si>
    <t>ARTEFACTO DE ILUMINACIÓN P=63W</t>
  </si>
  <si>
    <t>CINTA AISLANTE 20 MM X 1700</t>
  </si>
  <si>
    <t>CINTILLOS AMARRACABLE 4.8 MM X 250 MM</t>
  </si>
  <si>
    <t>ESCALERA DE FIBRA DE ALUMINIO</t>
  </si>
  <si>
    <t xml:space="preserve">PROYECTOR Y PANTALLA </t>
  </si>
  <si>
    <t xml:space="preserve">SALIDA PROYECTOR </t>
  </si>
  <si>
    <t>SALIDA PARA EXTRACTOR DE AIRE</t>
  </si>
  <si>
    <t>CAJA OCTOGONAL DE F° G° PESADO 100x55 MM</t>
  </si>
  <si>
    <t>TUBERÍA PVC SAP 20 MM</t>
  </si>
  <si>
    <t>CURVA SAP 1/2" NICOLL</t>
  </si>
  <si>
    <t>CONECTOR A CAJA PVC SAP 20 MM</t>
  </si>
  <si>
    <t xml:space="preserve">INSTALACIONES COMUNICACIONES </t>
  </si>
  <si>
    <t>CANALIZACIÓN, CONDUCTOS Y/O TUBERÍAS</t>
  </si>
  <si>
    <t>06.01.01</t>
  </si>
  <si>
    <t>INSTALACION DE PUNTOS DE RED EN PISO</t>
  </si>
  <si>
    <t>06.01.02</t>
  </si>
  <si>
    <t>INSTALACION DE PUNTOS DE RED EN PARED</t>
  </si>
  <si>
    <t>06.01.03</t>
  </si>
  <si>
    <t>INSTALACION DE PUNTOS DE RED EN CIELO RASO</t>
  </si>
  <si>
    <t>06.01.04</t>
  </si>
  <si>
    <t>TUBERIA PVC-P ELÉCTRICA Ø50mm, NTP 339.006</t>
  </si>
  <si>
    <t>06.01.05</t>
  </si>
  <si>
    <t>TUBERIA PVC-P ELÉCTRICA Ø40mm, NTP 339.006</t>
  </si>
  <si>
    <t>06.01.06</t>
  </si>
  <si>
    <t>TUBERIA PVC-P ELÉCTRICA Ø25mm, NTP 339.006</t>
  </si>
  <si>
    <t>06.01.07</t>
  </si>
  <si>
    <t>TUBERIA PVC-P ELÉCTRICA Ø15mm, NTP 339.006</t>
  </si>
  <si>
    <t>06.01.08</t>
  </si>
  <si>
    <t>CAJA DE PASE FºGº 300x300x100mm</t>
  </si>
  <si>
    <t>06.01.09</t>
  </si>
  <si>
    <t>CAJA DE PASE FºGº 200x200x100mm</t>
  </si>
  <si>
    <t>06.01.10</t>
  </si>
  <si>
    <t>CAJA DE PASE FºGº 100x100x100mm</t>
  </si>
  <si>
    <t>06.01.11</t>
  </si>
  <si>
    <t>BANDEJA PORTACABLE 200x54 P/COMUNICACIÓN</t>
  </si>
  <si>
    <t>SISTEMA ESTRUCTURADO Y NETWORKING</t>
  </si>
  <si>
    <t>06.02.01</t>
  </si>
  <si>
    <t>SUMINISTRO E INSTALACIÓN DE RECEPTOR MO ISP</t>
  </si>
  <si>
    <t>06.02.02</t>
  </si>
  <si>
    <t>SUMINISTRO E INSTALACIÓN DE ROUTER</t>
  </si>
  <si>
    <t>06.02.03</t>
  </si>
  <si>
    <t>SUMINISTRO E INSTALACION SWITCH GIGABIT 48 PORT</t>
  </si>
  <si>
    <t>06.02.04</t>
  </si>
  <si>
    <t>SUMINISTRO E INSTALACION DE PATCH PANEL 48 PORT</t>
  </si>
  <si>
    <t>06.02.05</t>
  </si>
  <si>
    <t>SUMINISTRO E INSTALACION DE SERVIDOR</t>
  </si>
  <si>
    <t>06.02.06</t>
  </si>
  <si>
    <t>SUMINISTRO E INSTALACION DE SERVIDOR NVR</t>
  </si>
  <si>
    <t>06.02.07</t>
  </si>
  <si>
    <t>SUMINISTRO E INSTALACION DE SWITH POE 16 PORT</t>
  </si>
  <si>
    <t>06.02.08</t>
  </si>
  <si>
    <t>SUMINISTRO E INSTALACION DE PATCH PANEL 24 PORT</t>
  </si>
  <si>
    <t>06.02.09</t>
  </si>
  <si>
    <t>SUMINISTRO E INSTALACION DE BANDEJA 19"</t>
  </si>
  <si>
    <t>06.02.10</t>
  </si>
  <si>
    <t>SUMINISTRO E INSTALACION DE BANDEJA EQUIPO ALARMAS</t>
  </si>
  <si>
    <t>06.02.11</t>
  </si>
  <si>
    <t>SUMINISTRO E INSTALACION DE BANDEJA TELEFONIA IP PBX</t>
  </si>
  <si>
    <t>06.02.12</t>
  </si>
  <si>
    <t>06.02.13</t>
  </si>
  <si>
    <t>SUMINISTRO E INSTALACION DE UPS 3 KVA, MONOFASICO / 2 RU</t>
  </si>
  <si>
    <t>06.02.14</t>
  </si>
  <si>
    <t>CONEXIÓN DE GABINETE DE PISO 42 RU</t>
  </si>
  <si>
    <t>06.02.15</t>
  </si>
  <si>
    <t>CONEXIÓN DE GABINETE 42RU Y COMPONENTES DE REDES</t>
  </si>
  <si>
    <t>SISTEMA CCTV</t>
  </si>
  <si>
    <t>06.03.01</t>
  </si>
  <si>
    <t>SERVIDOR NVR 1RU</t>
  </si>
  <si>
    <t>06.03.02</t>
  </si>
  <si>
    <t>VIDEOCAMARA TUBULAR IP</t>
  </si>
  <si>
    <t>06.03.03</t>
  </si>
  <si>
    <t>VIDEOCAMARA DOMO IP</t>
  </si>
  <si>
    <t>SISTEMA MEGAFONÍA (PERIFONEO)</t>
  </si>
  <si>
    <t>06.04.01</t>
  </si>
  <si>
    <t>AMPLIFICADOR DE AUDIO DE 100W</t>
  </si>
  <si>
    <t>06.04.02</t>
  </si>
  <si>
    <t>PARLANTE IP DE TECHO</t>
  </si>
  <si>
    <t>SISTEMA DACI (DETECCIÓN Y ALARMA CONTRA INCENDIO)</t>
  </si>
  <si>
    <t>06.05.01</t>
  </si>
  <si>
    <t>EQUIPAMIENTO DE UNIDAD CENTRAL DEL SISTEMA DE ALARMA CONTRA INCENDIO</t>
  </si>
  <si>
    <t>06.05.02</t>
  </si>
  <si>
    <t>SUMINISTRO E INSTALACION DE DETECTOR DE HUMO</t>
  </si>
  <si>
    <t>06.05.03</t>
  </si>
  <si>
    <t>SALIDA PARA ALARMA CONTRA INCENDIO</t>
  </si>
  <si>
    <t>TECNICO ESPECIALISTA EN TELECOMUNICACIONES</t>
  </si>
  <si>
    <t>JACK DE DATOS CAT CAT6A (BLANCO) P/CAJA POP UP</t>
  </si>
  <si>
    <t>CAJA GALV. TIPO GANG INC. TAPA GANG</t>
  </si>
  <si>
    <t>CAJA POP-UP PARA 4 MOD.MOSAIC.ALUMINIO MATE</t>
  </si>
  <si>
    <t>CONECTOR PVC-P (ELEC.) 25mm</t>
  </si>
  <si>
    <t>ETIQUETA PARA JACK DE DATOS</t>
  </si>
  <si>
    <t>JACK DE DATOS CAT CAT6A (BLANCO)</t>
  </si>
  <si>
    <t>CAJA GALV. RECTANGULAR PESADA DE 4"x2"x21/4"</t>
  </si>
  <si>
    <t>FACE PLATE DOBLE PARA DATOS RJ45 BLANCO</t>
  </si>
  <si>
    <t>TUBERÍA PVC-P ELECTRICO Ø50mm 3.0m</t>
  </si>
  <si>
    <t>CURVA PVC-P ELECTRICO Ø50mm</t>
  </si>
  <si>
    <t>PEGAMENTO PARA TUBERÍA PVC</t>
  </si>
  <si>
    <t>CONECTOR PVC-P (ELEC.) 50mm</t>
  </si>
  <si>
    <t>CURVA PVC-P ELECTRICO Ø40mm</t>
  </si>
  <si>
    <t>TUBERÍA PVC-P ELECTRICO Ø40mm 3.0m</t>
  </si>
  <si>
    <t>CONECTOR PVC Ø 40mm</t>
  </si>
  <si>
    <t>TUBERÍA PVC-P ELECTRICO Ø25mm 3.0m</t>
  </si>
  <si>
    <t>CURVA PVC-P ELECTRICO Ø25mm</t>
  </si>
  <si>
    <t>TUBERÍA PVC-P ELECTRICO Ø15mm 3.0m</t>
  </si>
  <si>
    <t>CURVA PVC-P ELECTRICO Ø15mm</t>
  </si>
  <si>
    <t>CONECTOR PVC-P (ELEC.) 15mm</t>
  </si>
  <si>
    <t>BANDEJA PORTACABLES 200x54</t>
  </si>
  <si>
    <t>RECEPTOR MO ISP</t>
  </si>
  <si>
    <t>ROUTER 1RU</t>
  </si>
  <si>
    <t>SWITCH GIGA BIT 48 PUERTOS 1 RU</t>
  </si>
  <si>
    <t>PACH PANEL 48 PUERTOS CAT 6.2 RU</t>
  </si>
  <si>
    <t>SERVIDOR ETHERNET DE 1GB - 4 PUERTOS 366FLR</t>
  </si>
  <si>
    <t>SERVIDOR NVR 1 RU</t>
  </si>
  <si>
    <t>SWITCH POE 16 PUERTOS 1 RU</t>
  </si>
  <si>
    <t>PATCH PANEL CAT 6A DE 24 PUERTOS RJ45 A 568 A/B</t>
  </si>
  <si>
    <t>BANDEJA 19" 1 RU</t>
  </si>
  <si>
    <t>UPS 3000 VA / 2700 W, TIPO RACK 2U</t>
  </si>
  <si>
    <t>GABINETE DE PISO 42 RU</t>
  </si>
  <si>
    <t>BLOCK CONECTOR DOBLE RJ-45 / FEMALE</t>
  </si>
  <si>
    <t>CONECTOR RJ-45 / FEMALE</t>
  </si>
  <si>
    <t>ACCESS POINT PARA EXTERIORES 300 Mbps</t>
  </si>
  <si>
    <t>CABLE UTP CAT 6A (CAJA 305m)</t>
  </si>
  <si>
    <t>MASTIL DE FºGº Ø2"x3.00mm H=3.00m</t>
  </si>
  <si>
    <t>VIDEO CAMARA TUBULAR IP</t>
  </si>
  <si>
    <t>PLATINA EMPERNADA PARA SOPORTE DE MÁSTIL</t>
  </si>
  <si>
    <t>SOPORTE - ABRAZADERA PARA CAMARA</t>
  </si>
  <si>
    <t>VIDEO CAMARA DOMO IP</t>
  </si>
  <si>
    <t>AMPLIFICADOR DE AUDIO 100W</t>
  </si>
  <si>
    <t>UNIDAD CENTRAL DE ALARMA CONTRA INCENDIO</t>
  </si>
  <si>
    <t>DETECTOR DE HUMOS</t>
  </si>
  <si>
    <t>CAJA GALV. OCTOGONAL PESADA 4"x2"</t>
  </si>
  <si>
    <t>Area de terreno</t>
  </si>
  <si>
    <t xml:space="preserve">Factor </t>
  </si>
  <si>
    <t>Ratio</t>
  </si>
  <si>
    <t>Area techada</t>
  </si>
  <si>
    <t xml:space="preserve">Plazo </t>
  </si>
  <si>
    <t xml:space="preserve">meses </t>
  </si>
  <si>
    <t>m²</t>
  </si>
  <si>
    <t>LIMPIEZA DEL TERRENO (MANUAL)</t>
  </si>
  <si>
    <t>TRAZO NIVELACIÓN Y REPLANTEO</t>
  </si>
  <si>
    <t>Equipos de protección individual</t>
  </si>
  <si>
    <t>Equipos de protección colectiva</t>
  </si>
  <si>
    <t>Señalización temporal de seguridad</t>
  </si>
  <si>
    <t>Programa de capacitaciones</t>
  </si>
  <si>
    <t>Recursos para respuesta ante emergencias</t>
  </si>
  <si>
    <t>Programa de prevención y control</t>
  </si>
  <si>
    <t>Examen médico general</t>
  </si>
  <si>
    <t>Prevención y mitigación de impactos</t>
  </si>
  <si>
    <t>Implementación de área de señalización</t>
  </si>
  <si>
    <t>Charlas de sensibilización ambiental</t>
  </si>
  <si>
    <t>Monitoreo de calidad ambiental</t>
  </si>
  <si>
    <t>Adquisición de contenedores</t>
  </si>
  <si>
    <t>Recolección de residuos peligrosos</t>
  </si>
  <si>
    <t>Eliminación y transporte</t>
  </si>
  <si>
    <t>Acondicionamiento</t>
  </si>
  <si>
    <t>Recolección de residuos</t>
  </si>
  <si>
    <t>Disposición final</t>
  </si>
  <si>
    <t>Clasificación de residuos</t>
  </si>
  <si>
    <t>Contingencia ante derrames</t>
  </si>
  <si>
    <t>Manejo de residuos de desinstalación</t>
  </si>
  <si>
    <t>Traslado y disposición final</t>
  </si>
  <si>
    <t>Rehabilitación de suelos afectados</t>
  </si>
  <si>
    <t>Nivelación y compactación</t>
  </si>
  <si>
    <t>OBTENCIÓN DEL SERVICIO</t>
  </si>
  <si>
    <t>CABLE TW 35 mm²</t>
  </si>
  <si>
    <t>CONEXIÓN DE ACOMETIDA</t>
  </si>
  <si>
    <t>POSTE DE ROLLIZO DE EUCALIPTO 8" x 6.00 m</t>
  </si>
  <si>
    <t xml:space="preserve">ALMACENAMIENTO Y DISTRIBUCION DE AGUA </t>
  </si>
  <si>
    <t xml:space="preserve">CONEXION E INSTALACION </t>
  </si>
  <si>
    <t xml:space="preserve">CONSUMO Y MANTENIMIENTO   </t>
  </si>
  <si>
    <t>CONEXION INSTALACION TEL COM</t>
  </si>
  <si>
    <t>CONSUMO Y MANTENIMIENTO INS TEL Y COM</t>
  </si>
  <si>
    <t xml:space="preserve">ENERGIA ELECTRICA PARA LA CONSTRUCCION </t>
  </si>
  <si>
    <t xml:space="preserve">ENERGIA ELECTRICA ESTIMADO </t>
  </si>
  <si>
    <t xml:space="preserve">LIMPIEZA DE TERRENO (MANUAL) </t>
  </si>
  <si>
    <t>MOVILIZACION DE EQUIPOS Y HERRAMIENTAS</t>
  </si>
  <si>
    <t>EQUIPO DE PROTECCION INDIVIDUAL</t>
  </si>
  <si>
    <t>EQUIPO DE PROTECCION COLECTIVA</t>
  </si>
  <si>
    <t>MANEJO DE RESIDUOS DE LA DESINSTALACIÓN</t>
  </si>
  <si>
    <t>DESMONTAJE DE PUERTAS DE MADERA</t>
  </si>
  <si>
    <t xml:space="preserve">DESMONTAJE DE PUERTAS METALICAS </t>
  </si>
  <si>
    <t xml:space="preserve">DESMONTAJE DE PORTON METALICO </t>
  </si>
  <si>
    <t xml:space="preserve">DESMONTAJE DE COBERTURAS DE CALAMINA </t>
  </si>
  <si>
    <t>ANDAMIO METALICO (TORRE MOVIL H=8.00 M)</t>
  </si>
  <si>
    <t xml:space="preserve">DESMONTAJE DE INODORO </t>
  </si>
  <si>
    <t xml:space="preserve">DESMONTAJE DE LAVAMANO </t>
  </si>
  <si>
    <t xml:space="preserve">DESMONTAJE DE FALSO CIELO RASO  </t>
  </si>
  <si>
    <t xml:space="preserve">DESMONTAJE DE VENTANAS DE MADERA </t>
  </si>
  <si>
    <t xml:space="preserve">DESMONTAJE DE VENTANAS METALICAS </t>
  </si>
  <si>
    <t>DESMONTAJE DE REJAS DE VENTANAS</t>
  </si>
  <si>
    <t xml:space="preserve">DESMONTAJE DE REJAS DE PUERTAS </t>
  </si>
  <si>
    <t>DESMONTAJE DE TIJERALES DE MADERA</t>
  </si>
  <si>
    <t xml:space="preserve">DESMONTAJE DE TIJERALES DE METAL </t>
  </si>
  <si>
    <t xml:space="preserve">ANDAMIO METALICO (TORRE MOVIL H=8.00 M) </t>
  </si>
  <si>
    <t xml:space="preserve">EQUIPO DE CORTE Y SOLDADURA </t>
  </si>
  <si>
    <t xml:space="preserve">DESMONTAJE DE PISO MACHIEMBRADO </t>
  </si>
  <si>
    <t>DESMONTAJE DE ARCOS METALICOS DE FUTBOL</t>
  </si>
  <si>
    <t xml:space="preserve">DESMONTAJE DE ESTRUCTURA METALICA </t>
  </si>
  <si>
    <t xml:space="preserve">GRUA SOBRE CAMION CA 225 HP 50 TON CORTA </t>
  </si>
  <si>
    <t xml:space="preserve">AMOLADORA </t>
  </si>
  <si>
    <t xml:space="preserve">DESMONTAJE DE TAPA METALICA DE TANQUE CISTERNA </t>
  </si>
  <si>
    <t xml:space="preserve">DESMONTAJE DE BOMBA DE AGUA </t>
  </si>
  <si>
    <t>DESMONTAJE DE CORREAS DE MADERA</t>
  </si>
  <si>
    <t xml:space="preserve">DESMONTAJE DE LUMINARIAS </t>
  </si>
  <si>
    <t xml:space="preserve">DESMONTAJES DE PIZARRAS </t>
  </si>
  <si>
    <t xml:space="preserve">DEMOLICION DE CIMIENTOS CORRIDOS </t>
  </si>
  <si>
    <t xml:space="preserve">OPERADOR DE EQUIPO PESADO </t>
  </si>
  <si>
    <t>PETROLEO D-2</t>
  </si>
  <si>
    <t>CARGADOR FRONTAL S/LLANTAS DE 125-155 HP 3 yd3</t>
  </si>
  <si>
    <t xml:space="preserve">DEMOLICION DE PISOS DE SOBRECIMIENTOS </t>
  </si>
  <si>
    <t>RETROEXCAVADORA SOBRE LLANTAS 80-110 HP 0.5-1.3 yd3</t>
  </si>
  <si>
    <t>DEMOLICION DE PISOS DE CONCRETO INTERIORES</t>
  </si>
  <si>
    <t xml:space="preserve">DEMOLICION DE ZAPATAS </t>
  </si>
  <si>
    <t xml:space="preserve">EXCAVADORA SOBRE ORUGAS 150-220 HP CON MARTILLO </t>
  </si>
  <si>
    <t xml:space="preserve">DEMOLICION DE COLUMNAS </t>
  </si>
  <si>
    <t xml:space="preserve">DEMOLICION DE VIGAS  </t>
  </si>
  <si>
    <t xml:space="preserve">DEMOLICION DE LOSAS </t>
  </si>
  <si>
    <t xml:space="preserve">COMPRESORA NEUMATICA 93 HP 335-375 PCM </t>
  </si>
  <si>
    <t>MARTILLLO NEUMATICO - 25/29 KG</t>
  </si>
  <si>
    <t xml:space="preserve">DEMOLICION DE CAJA DE ESCALERA DE CONCRETO </t>
  </si>
  <si>
    <t>DEMOLICION DE MURO DE BLOQUETA</t>
  </si>
  <si>
    <t>DEMOLICION DE PLACAS</t>
  </si>
  <si>
    <t xml:space="preserve">DEMOLICION DE LOSA DEPORTIVA </t>
  </si>
  <si>
    <t xml:space="preserve">DEMOLICION DE GRADERIOS </t>
  </si>
  <si>
    <t>DEMOLICION DE VEREDAS Y ACCESOS INTERIORES</t>
  </si>
  <si>
    <t xml:space="preserve">DEMOLICION DE CANAL </t>
  </si>
  <si>
    <t xml:space="preserve">DEMOLICION DE CERCO PERIMETRICO </t>
  </si>
  <si>
    <t xml:space="preserve">PUNTALES METALICOS </t>
  </si>
  <si>
    <t xml:space="preserve">COMPRESORA NEUMATICA 125-175 PCM 76 HP </t>
  </si>
  <si>
    <t xml:space="preserve">CARGUIO Y ELIMINACION DE MATERIAL PROCEDENTE DE DEMOLICIONES DISTACIA PROMEDIO </t>
  </si>
  <si>
    <t>Areas verdes</t>
  </si>
  <si>
    <t>Losa DEPORTIVA</t>
  </si>
  <si>
    <t>Áreas Verdes</t>
  </si>
  <si>
    <t>cobertura</t>
  </si>
  <si>
    <t>AREA VERDES</t>
  </si>
  <si>
    <t>Patio de INICIAL</t>
  </si>
  <si>
    <t>asta de bandera</t>
  </si>
  <si>
    <t xml:space="preserve">veredas y rampas </t>
  </si>
  <si>
    <t>pavimento</t>
  </si>
  <si>
    <t>LAMAS</t>
  </si>
  <si>
    <t>COMPACTACION DE SUBRASANTE</t>
  </si>
  <si>
    <t>bicicletas</t>
  </si>
  <si>
    <t>AFIRMADO DE e=0.30m PARA LOSA</t>
  </si>
  <si>
    <t xml:space="preserve">Cerco perimetrico </t>
  </si>
  <si>
    <t>Area construida</t>
  </si>
  <si>
    <t>Area terreno</t>
  </si>
  <si>
    <t>Altura</t>
  </si>
  <si>
    <t>PINTURA DE LINEASEN LOSA DEPORTIVA</t>
  </si>
  <si>
    <t>Cobertura Liviana de Losa DEPORTIVA</t>
  </si>
  <si>
    <t>Cobertura Liviana de PATIO DE INICIAL</t>
  </si>
  <si>
    <t>LOSA DEPORTIVA (44 x 22: 968) F'C=210 kg/cm² DE 20 CM DE ESPESOR</t>
  </si>
  <si>
    <t xml:space="preserve">COMPACTACION DE SUBRASANTE DE LOSA </t>
  </si>
  <si>
    <t xml:space="preserve">CURADO DE CONCRETO </t>
  </si>
  <si>
    <t>TRAZO, NIVELES Y REPLANTEO PRELIMINAR</t>
  </si>
  <si>
    <t>Sistema de Bombeo de Presión Constante</t>
  </si>
  <si>
    <t>Instalaciones sanitarias exteriores inc. Canaletas de evacuación pluvial</t>
  </si>
  <si>
    <t>CONINICIAL Y COMPACTACION DE SUBRASANTE</t>
  </si>
  <si>
    <t>Sistema de agua contra incendios (RED CONTRA INCENDIOS, GABINETES)</t>
  </si>
  <si>
    <t>Suministro y Montaje de Montacarga</t>
  </si>
  <si>
    <t>CERCO PERIMETRICO E INGRESOS</t>
  </si>
  <si>
    <t>Cerco Perimetrico H=3.00m</t>
  </si>
  <si>
    <t>ml</t>
  </si>
  <si>
    <t>EXCAVACION MANUAL PARA CIMENTACIONES</t>
  </si>
  <si>
    <t>COLUMNAS PARA CERCO PERIMETRICO - CONCRETO F'C=210 KG/CM2</t>
  </si>
  <si>
    <t>PORTON</t>
  </si>
  <si>
    <t>Portada de Ingreso (Porton metalico)</t>
  </si>
  <si>
    <t xml:space="preserve">COBERTURA LIVIANA DE LOSA DEPORTIVA </t>
  </si>
  <si>
    <t>VEREDAS Y RAMPAS</t>
  </si>
  <si>
    <t xml:space="preserve">PAVIMENTO RIGIDO VEHICULAR </t>
  </si>
  <si>
    <t>SUMINISTRO Y MONTAJE DE MONTACARGA</t>
  </si>
  <si>
    <t>ml/dia</t>
  </si>
  <si>
    <t>COMPACTADORA VIBRATORIA TIPO PLANCHA 7 HP</t>
  </si>
  <si>
    <t>AS</t>
  </si>
  <si>
    <t>COLUMNAS - ENCOFRADO Y DESENCOFRADO</t>
  </si>
  <si>
    <t>COLUMNAS - CONCRETO F'C=210 KG/CM2</t>
  </si>
  <si>
    <t>COLUMNAS - ACERO FY=4,200 KG/CM2</t>
  </si>
  <si>
    <t>VIGAS - ENCOFRADO Y DESENCOFRADO</t>
  </si>
  <si>
    <t>VIGAS - CONCRETO F'C=210 KG/CM2</t>
  </si>
  <si>
    <t>VIGAS - ACERO FY=4,200 KG/CM2</t>
  </si>
  <si>
    <t>Total x m/2</t>
  </si>
  <si>
    <t>Area tecada de escalera</t>
  </si>
  <si>
    <t xml:space="preserve">CIMENTACION </t>
  </si>
  <si>
    <t>TRAZO Y REPLANTEO DURANTE LA EJECUCION DE OBRA</t>
  </si>
  <si>
    <t>OBRAS DE CONCRETO ARMADO</t>
  </si>
  <si>
    <t xml:space="preserve">TOPOGRAFO </t>
  </si>
  <si>
    <t>CAL HIDRATADA BOLSA 30 kg</t>
  </si>
  <si>
    <t>TEODOLITO Y MIRA</t>
  </si>
  <si>
    <t>CORDEL</t>
  </si>
  <si>
    <t xml:space="preserve">Area de cimentación </t>
  </si>
  <si>
    <t>CONFORMACION Y COMPACTACION DE SUBRASANTE</t>
  </si>
  <si>
    <t xml:space="preserve">FALSA ZAPATA F’C=100 KG/CM² + PIEDRA GRANDE DE 8" </t>
  </si>
  <si>
    <t xml:space="preserve">CONCRETO CICLOPEO F’C=100 KG/CM² + PIEDRA GRANDE DE 8" </t>
  </si>
  <si>
    <t>SOLADO PARA  CIMENTACIÓN FC=100 KG/CM2 E=4"</t>
  </si>
  <si>
    <t>PLATEA DE CIMENTACIÓN</t>
  </si>
  <si>
    <t>Platea de cimentación – Concreto f'c=210</t>
  </si>
  <si>
    <t>Platea de cimentación – Encofrado y desencofrado</t>
  </si>
  <si>
    <t>Platea de cimentación – Acero fy=4200</t>
  </si>
  <si>
    <t>MELAMINA</t>
  </si>
  <si>
    <t>Piso Laminado de alto transito en aulas</t>
  </si>
  <si>
    <t>u</t>
  </si>
  <si>
    <t xml:space="preserve">SALIDA DE AGUA FRIA </t>
  </si>
  <si>
    <t>SALIDA DE AGUA CALIENTE</t>
  </si>
  <si>
    <t>SISTEMA MAGAFONÍA (PERIFONEO)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</si>
</sst>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0.0000"/>
    <numFmt numFmtId="165" formatCode="0.000"/>
    <numFmt numFmtId="166" formatCode="#,##0.0000_);\-#,##0.0000"/>
    <numFmt numFmtId="167" formatCode="#,##0.00_);\-#,##0.00"/>
    <numFmt numFmtId="168" formatCode="#,##0.0000"/>
    <numFmt numFmtId="169" formatCode="#,##0.0000000"/>
    <numFmt numFmtId="170" formatCode="_ * #,##0.00_ ;_ * \-#,##0.00_ ;_ * &quot;-&quot;??_ ;_ @_ "/>
    <numFmt numFmtId="171" formatCode="_ * #,##0.000_ ;_ * \-#,##0.000_ ;_ * &quot;-&quot;??_ ;_ @_ "/>
    <numFmt numFmtId="172" formatCode="0.0"/>
  </numFmts>
  <fonts count="6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42424"/>
      <name val="Aptos Narrow"/>
      <family val="2"/>
    </font>
    <font>
      <b/>
      <sz val="9"/>
      <color rgb="FF000000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1"/>
      <color rgb="FF002060"/>
      <name val="Calibri"/>
      <family val="2"/>
      <scheme val="minor"/>
    </font>
    <font>
      <sz val="10"/>
      <color rgb="FF000000"/>
      <name val="ARIAL"/>
      <charset val="1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FF0000"/>
      <name val="Calibri"/>
    </font>
    <font>
      <b/>
      <sz val="11"/>
      <color theme="1"/>
      <name val="Aptos Narrow"/>
    </font>
    <font>
      <b/>
      <sz val="9"/>
      <color rgb="FF000000"/>
      <name val="Aptos Narrow"/>
    </font>
    <font>
      <b/>
      <sz val="11"/>
      <color theme="1"/>
      <name val="Aptos Narrow"/>
      <family val="2"/>
    </font>
    <font>
      <b/>
      <sz val="9"/>
      <color rgb="FF000000"/>
      <name val="Aptos Narrow"/>
      <family val="2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.0500000000000007"/>
      <color rgb="FF000000"/>
      <name val="Arial Narrow"/>
    </font>
    <font>
      <sz val="10"/>
      <color rgb="FF000000"/>
      <name val="MS Sans Serif"/>
    </font>
    <font>
      <sz val="11"/>
      <color rgb="FF242424"/>
      <name val="Aptos Narrow"/>
    </font>
    <font>
      <b/>
      <sz val="8.0500000000000007"/>
      <color rgb="FF000000"/>
      <name val="Arial Narrow"/>
    </font>
    <font>
      <b/>
      <sz val="7.9"/>
      <color rgb="FF000000"/>
      <name val="Arial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1"/>
      <color indexed="8"/>
      <name val="Arial"/>
      <family val="2"/>
    </font>
    <font>
      <sz val="10"/>
      <color indexed="8"/>
      <name val="MS Sans Serif"/>
      <family val="2"/>
    </font>
    <font>
      <b/>
      <sz val="11"/>
      <color rgb="FFFF0000"/>
      <name val="Calibri"/>
      <family val="2"/>
      <scheme val="minor"/>
    </font>
    <font>
      <sz val="10"/>
      <color indexed="8"/>
      <name val="Arial"/>
    </font>
    <font>
      <sz val="11"/>
      <color theme="4" tint="-0.249977111117893"/>
      <name val="Calibri"/>
      <family val="2"/>
      <scheme val="minor"/>
    </font>
    <font>
      <sz val="10"/>
      <color rgb="FFFF0000"/>
      <name val="MS Sans Serif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indexed="8"/>
      <name val="Arial"/>
    </font>
    <font>
      <sz val="10"/>
      <color theme="1"/>
      <name val="Arial"/>
    </font>
    <font>
      <sz val="11"/>
      <color theme="1"/>
      <name val="ARIAL"/>
      <family val="2"/>
    </font>
    <font>
      <sz val="10"/>
      <color indexed="8"/>
      <name val="MS Sans Serif"/>
    </font>
    <font>
      <sz val="10"/>
      <color rgb="FF7030A0"/>
      <name val="Arial"/>
      <family val="2"/>
    </font>
    <font>
      <b/>
      <sz val="10"/>
      <color rgb="FFFF0000"/>
      <name val="Arial"/>
      <family val="2"/>
    </font>
    <font>
      <sz val="10"/>
      <name val="Arial"/>
    </font>
    <font>
      <sz val="10"/>
      <color rgb="FF7030A0"/>
      <name val="Arial"/>
    </font>
    <font>
      <b/>
      <sz val="10"/>
      <color rgb="FFFF0000"/>
      <name val="Arial"/>
    </font>
    <font>
      <b/>
      <sz val="10"/>
      <name val="Arial"/>
    </font>
    <font>
      <b/>
      <sz val="10"/>
      <color theme="1"/>
      <name val="Arial"/>
    </font>
    <font>
      <sz val="11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FF0000"/>
      <name val="Aptos Narrow"/>
      <family val="2"/>
    </font>
    <font>
      <sz val="11"/>
      <color theme="9"/>
      <name val="Calibri"/>
      <family val="2"/>
      <scheme val="minor"/>
    </font>
    <font>
      <sz val="11"/>
      <color rgb="FF242424"/>
      <name val="Consolas"/>
      <charset val="1"/>
    </font>
    <font>
      <sz val="11"/>
      <color rgb="FF242424"/>
      <name val="Aptos Narrow"/>
      <charset val="1"/>
    </font>
    <font>
      <b/>
      <sz val="11"/>
      <color theme="4"/>
      <name val="Calibri"/>
      <family val="2"/>
      <scheme val="minor"/>
    </font>
    <font>
      <b/>
      <sz val="11"/>
      <color rgb="FFFF0000"/>
      <name val="Calibri"/>
    </font>
    <font>
      <b/>
      <sz val="11"/>
      <color rgb="FF000000"/>
      <name val="Aptos Narrow"/>
      <family val="2"/>
    </font>
    <font>
      <b/>
      <sz val="11"/>
      <color rgb="FF000000"/>
      <name val="Aptos Narrow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4" fillId="0" borderId="0">
      <alignment vertical="center"/>
    </xf>
    <xf numFmtId="43" fontId="25" fillId="0" borderId="0" applyFont="0" applyFill="0" applyBorder="0" applyAlignment="0" applyProtection="0"/>
    <xf numFmtId="0" fontId="33" fillId="0" borderId="0"/>
    <xf numFmtId="0" fontId="45" fillId="0" borderId="0"/>
  </cellStyleXfs>
  <cellXfs count="30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2" fontId="3" fillId="0" borderId="0" xfId="0" applyNumberFormat="1" applyFont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6" fillId="0" borderId="0" xfId="0" applyFont="1"/>
    <xf numFmtId="2" fontId="0" fillId="0" borderId="0" xfId="0" applyNumberFormat="1"/>
    <xf numFmtId="0" fontId="7" fillId="0" borderId="0" xfId="0" applyFont="1" applyAlignment="1">
      <alignment wrapText="1"/>
    </xf>
    <xf numFmtId="0" fontId="0" fillId="0" borderId="1" xfId="0" applyBorder="1"/>
    <xf numFmtId="0" fontId="3" fillId="0" borderId="1" xfId="0" applyFont="1" applyBorder="1"/>
    <xf numFmtId="2" fontId="3" fillId="0" borderId="1" xfId="0" applyNumberFormat="1" applyFont="1" applyBorder="1"/>
    <xf numFmtId="0" fontId="0" fillId="2" borderId="0" xfId="0" applyFill="1"/>
    <xf numFmtId="165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8" fillId="0" borderId="0" xfId="0" applyFont="1"/>
    <xf numFmtId="0" fontId="10" fillId="0" borderId="0" xfId="0" applyFont="1"/>
    <xf numFmtId="0" fontId="9" fillId="0" borderId="0" xfId="0" applyFont="1"/>
    <xf numFmtId="0" fontId="10" fillId="0" borderId="0" xfId="0" applyFont="1" applyAlignment="1">
      <alignment wrapText="1"/>
    </xf>
    <xf numFmtId="4" fontId="10" fillId="0" borderId="0" xfId="0" applyNumberFormat="1" applyFont="1" applyAlignment="1">
      <alignment wrapText="1"/>
    </xf>
    <xf numFmtId="0" fontId="0" fillId="3" borderId="2" xfId="0" applyFill="1" applyBorder="1"/>
    <xf numFmtId="0" fontId="11" fillId="0" borderId="0" xfId="0" applyFont="1" applyAlignment="1">
      <alignment wrapText="1"/>
    </xf>
    <xf numFmtId="2" fontId="10" fillId="0" borderId="0" xfId="0" applyNumberFormat="1" applyFont="1" applyAlignment="1">
      <alignment wrapText="1"/>
    </xf>
    <xf numFmtId="0" fontId="12" fillId="0" borderId="0" xfId="0" applyFont="1"/>
    <xf numFmtId="4" fontId="0" fillId="0" borderId="0" xfId="0" applyNumberFormat="1"/>
    <xf numFmtId="0" fontId="12" fillId="4" borderId="0" xfId="0" applyFont="1" applyFill="1"/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right"/>
    </xf>
    <xf numFmtId="2" fontId="13" fillId="0" borderId="0" xfId="0" applyNumberFormat="1" applyFont="1"/>
    <xf numFmtId="0" fontId="14" fillId="0" borderId="0" xfId="0" applyFont="1" applyAlignment="1">
      <alignment horizontal="right"/>
    </xf>
    <xf numFmtId="2" fontId="13" fillId="0" borderId="1" xfId="0" applyNumberFormat="1" applyFont="1" applyBorder="1"/>
    <xf numFmtId="0" fontId="15" fillId="0" borderId="0" xfId="0" applyFont="1"/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right"/>
    </xf>
    <xf numFmtId="2" fontId="15" fillId="0" borderId="0" xfId="0" applyNumberFormat="1" applyFont="1"/>
    <xf numFmtId="0" fontId="16" fillId="0" borderId="0" xfId="0" applyFont="1" applyAlignment="1">
      <alignment horizontal="right"/>
    </xf>
    <xf numFmtId="2" fontId="15" fillId="0" borderId="1" xfId="0" applyNumberFormat="1" applyFont="1" applyBorder="1"/>
    <xf numFmtId="2" fontId="11" fillId="0" borderId="0" xfId="0" applyNumberFormat="1" applyFont="1" applyAlignment="1">
      <alignment wrapText="1"/>
    </xf>
    <xf numFmtId="0" fontId="0" fillId="0" borderId="1" xfId="0" applyBorder="1" applyAlignment="1">
      <alignment horizontal="right"/>
    </xf>
    <xf numFmtId="164" fontId="0" fillId="0" borderId="1" xfId="0" applyNumberFormat="1" applyBorder="1"/>
    <xf numFmtId="165" fontId="0" fillId="0" borderId="1" xfId="0" applyNumberFormat="1" applyBorder="1"/>
    <xf numFmtId="0" fontId="17" fillId="0" borderId="0" xfId="0" applyFont="1" applyAlignment="1">
      <alignment horizontal="right"/>
    </xf>
    <xf numFmtId="2" fontId="18" fillId="0" borderId="0" xfId="0" applyNumberFormat="1" applyFont="1"/>
    <xf numFmtId="2" fontId="18" fillId="0" borderId="1" xfId="0" applyNumberFormat="1" applyFont="1" applyBorder="1"/>
    <xf numFmtId="2" fontId="0" fillId="2" borderId="0" xfId="0" applyNumberFormat="1" applyFill="1"/>
    <xf numFmtId="0" fontId="0" fillId="4" borderId="0" xfId="0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2" fontId="0" fillId="0" borderId="0" xfId="0" applyNumberFormat="1" applyAlignment="1">
      <alignment horizontal="right"/>
    </xf>
    <xf numFmtId="0" fontId="22" fillId="0" borderId="0" xfId="0" applyFont="1"/>
    <xf numFmtId="0" fontId="23" fillId="0" borderId="0" xfId="0" applyFont="1"/>
    <xf numFmtId="2" fontId="7" fillId="0" borderId="0" xfId="0" applyNumberFormat="1" applyFont="1" applyAlignment="1">
      <alignment wrapText="1"/>
    </xf>
    <xf numFmtId="2" fontId="0" fillId="4" borderId="0" xfId="0" applyNumberFormat="1" applyFill="1"/>
    <xf numFmtId="4" fontId="19" fillId="0" borderId="0" xfId="0" applyNumberFormat="1" applyFont="1"/>
    <xf numFmtId="2" fontId="20" fillId="0" borderId="0" xfId="0" applyNumberFormat="1" applyFont="1"/>
    <xf numFmtId="2" fontId="10" fillId="4" borderId="0" xfId="0" applyNumberFormat="1" applyFont="1" applyFill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 applyAlignment="1">
      <alignment vertical="top" wrapText="1"/>
    </xf>
    <xf numFmtId="0" fontId="32" fillId="0" borderId="0" xfId="0" applyFont="1" applyAlignment="1">
      <alignment horizontal="left" vertical="top" wrapText="1"/>
    </xf>
    <xf numFmtId="0" fontId="32" fillId="0" borderId="1" xfId="0" applyFont="1" applyBorder="1" applyAlignment="1">
      <alignment horizontal="left" vertical="top" wrapText="1"/>
    </xf>
    <xf numFmtId="0" fontId="34" fillId="0" borderId="0" xfId="0" applyFont="1"/>
    <xf numFmtId="0" fontId="35" fillId="0" borderId="0" xfId="0" applyFont="1" applyAlignment="1">
      <alignment vertical="top" wrapText="1"/>
    </xf>
    <xf numFmtId="0" fontId="27" fillId="0" borderId="0" xfId="0" applyFont="1" applyAlignment="1">
      <alignment horizontal="left" vertical="top" wrapText="1"/>
    </xf>
    <xf numFmtId="9" fontId="0" fillId="0" borderId="0" xfId="0" applyNumberFormat="1"/>
    <xf numFmtId="0" fontId="36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165" fontId="2" fillId="0" borderId="0" xfId="0" applyNumberFormat="1" applyFont="1"/>
    <xf numFmtId="2" fontId="2" fillId="0" borderId="0" xfId="0" applyNumberFormat="1" applyFont="1"/>
    <xf numFmtId="0" fontId="37" fillId="0" borderId="0" xfId="0" applyFont="1"/>
    <xf numFmtId="0" fontId="38" fillId="0" borderId="0" xfId="0" applyFont="1"/>
    <xf numFmtId="0" fontId="39" fillId="0" borderId="0" xfId="0" applyFont="1"/>
    <xf numFmtId="0" fontId="38" fillId="0" borderId="0" xfId="0" applyFont="1" applyAlignment="1">
      <alignment horizontal="center"/>
    </xf>
    <xf numFmtId="164" fontId="38" fillId="0" borderId="0" xfId="0" applyNumberFormat="1" applyFont="1" applyAlignment="1">
      <alignment horizontal="right"/>
    </xf>
    <xf numFmtId="2" fontId="38" fillId="0" borderId="0" xfId="0" applyNumberFormat="1" applyFont="1"/>
    <xf numFmtId="0" fontId="39" fillId="0" borderId="0" xfId="0" applyFont="1" applyAlignment="1">
      <alignment horizontal="right"/>
    </xf>
    <xf numFmtId="164" fontId="39" fillId="0" borderId="0" xfId="0" applyNumberFormat="1" applyFont="1"/>
    <xf numFmtId="165" fontId="39" fillId="0" borderId="0" xfId="0" applyNumberFormat="1" applyFont="1"/>
    <xf numFmtId="2" fontId="39" fillId="0" borderId="0" xfId="0" applyNumberFormat="1" applyFont="1"/>
    <xf numFmtId="0" fontId="39" fillId="2" borderId="0" xfId="0" applyFont="1" applyFill="1"/>
    <xf numFmtId="0" fontId="39" fillId="0" borderId="1" xfId="0" applyFont="1" applyBorder="1"/>
    <xf numFmtId="0" fontId="38" fillId="0" borderId="1" xfId="0" applyFont="1" applyBorder="1"/>
    <xf numFmtId="2" fontId="38" fillId="0" borderId="1" xfId="0" applyNumberFormat="1" applyFont="1" applyBorder="1"/>
    <xf numFmtId="0" fontId="36" fillId="0" borderId="0" xfId="0" applyFont="1"/>
    <xf numFmtId="165" fontId="3" fillId="0" borderId="0" xfId="0" applyNumberFormat="1" applyFont="1" applyAlignment="1">
      <alignment horizontal="center"/>
    </xf>
    <xf numFmtId="43" fontId="27" fillId="0" borderId="0" xfId="3" applyFont="1" applyFill="1" applyBorder="1" applyAlignment="1">
      <alignment horizontal="left" vertical="center"/>
    </xf>
    <xf numFmtId="43" fontId="27" fillId="0" borderId="0" xfId="3" applyFont="1" applyFill="1" applyBorder="1" applyAlignment="1" applyProtection="1">
      <alignment vertical="center"/>
    </xf>
    <xf numFmtId="43" fontId="27" fillId="0" borderId="0" xfId="3" applyFont="1" applyFill="1" applyBorder="1" applyAlignment="1">
      <alignment horizontal="right" vertical="center"/>
    </xf>
    <xf numFmtId="43" fontId="41" fillId="0" borderId="0" xfId="3" applyFont="1" applyFill="1" applyBorder="1" applyAlignment="1">
      <alignment vertical="center"/>
    </xf>
    <xf numFmtId="43" fontId="29" fillId="0" borderId="0" xfId="3" applyFont="1" applyFill="1" applyBorder="1" applyAlignment="1">
      <alignment vertical="center"/>
    </xf>
    <xf numFmtId="43" fontId="40" fillId="0" borderId="0" xfId="3" applyFont="1" applyFill="1" applyBorder="1" applyAlignment="1">
      <alignment horizontal="right" vertical="center"/>
    </xf>
    <xf numFmtId="0" fontId="40" fillId="0" borderId="0" xfId="4" applyFont="1" applyAlignment="1">
      <alignment horizontal="center" vertical="center"/>
    </xf>
    <xf numFmtId="0" fontId="40" fillId="0" borderId="0" xfId="4" applyFont="1" applyAlignment="1">
      <alignment vertical="center"/>
    </xf>
    <xf numFmtId="0" fontId="40" fillId="0" borderId="0" xfId="4" applyFont="1" applyAlignment="1">
      <alignment horizontal="center" vertical="center" wrapText="1"/>
    </xf>
    <xf numFmtId="43" fontId="40" fillId="0" borderId="0" xfId="3" applyFont="1" applyFill="1" applyBorder="1" applyAlignment="1">
      <alignment vertical="center" wrapText="1"/>
    </xf>
    <xf numFmtId="43" fontId="40" fillId="0" borderId="0" xfId="3" applyFont="1" applyFill="1" applyBorder="1" applyAlignment="1" applyProtection="1">
      <alignment vertical="center"/>
    </xf>
    <xf numFmtId="0" fontId="27" fillId="0" borderId="0" xfId="4" applyFont="1" applyAlignment="1">
      <alignment horizontal="left" vertical="center"/>
    </xf>
    <xf numFmtId="0" fontId="27" fillId="0" borderId="0" xfId="4" applyFont="1" applyAlignment="1">
      <alignment horizontal="center" vertical="center"/>
    </xf>
    <xf numFmtId="0" fontId="27" fillId="0" borderId="0" xfId="4" applyFont="1" applyAlignment="1">
      <alignment vertical="center"/>
    </xf>
    <xf numFmtId="0" fontId="42" fillId="0" borderId="0" xfId="0" applyFont="1" applyAlignment="1">
      <alignment horizontal="left" vertical="top" wrapText="1"/>
    </xf>
    <xf numFmtId="2" fontId="0" fillId="0" borderId="1" xfId="0" applyNumberFormat="1" applyBorder="1"/>
    <xf numFmtId="0" fontId="32" fillId="0" borderId="0" xfId="0" applyFont="1" applyAlignment="1">
      <alignment horizontal="center" vertical="top" readingOrder="1"/>
    </xf>
    <xf numFmtId="168" fontId="44" fillId="0" borderId="0" xfId="0" applyNumberFormat="1" applyFont="1" applyAlignment="1">
      <alignment vertical="top"/>
    </xf>
    <xf numFmtId="168" fontId="32" fillId="0" borderId="0" xfId="0" applyNumberFormat="1" applyFont="1" applyAlignment="1">
      <alignment horizontal="right" vertical="top"/>
    </xf>
    <xf numFmtId="4" fontId="32" fillId="4" borderId="0" xfId="0" applyNumberFormat="1" applyFont="1" applyFill="1" applyAlignment="1">
      <alignment horizontal="right" vertical="top"/>
    </xf>
    <xf numFmtId="0" fontId="32" fillId="0" borderId="0" xfId="0" applyFont="1" applyAlignment="1">
      <alignment vertical="top" wrapText="1"/>
    </xf>
    <xf numFmtId="0" fontId="27" fillId="0" borderId="0" xfId="5" applyFont="1" applyAlignment="1">
      <alignment horizontal="left" vertical="center"/>
    </xf>
    <xf numFmtId="0" fontId="27" fillId="0" borderId="0" xfId="5" applyFont="1"/>
    <xf numFmtId="0" fontId="40" fillId="0" borderId="0" xfId="5" applyFont="1" applyAlignment="1">
      <alignment vertical="center"/>
    </xf>
    <xf numFmtId="0" fontId="27" fillId="0" borderId="0" xfId="5" applyFont="1" applyAlignment="1">
      <alignment vertical="center"/>
    </xf>
    <xf numFmtId="0" fontId="27" fillId="0" borderId="0" xfId="5" applyFont="1" applyAlignment="1">
      <alignment horizontal="right" vertical="center"/>
    </xf>
    <xf numFmtId="167" fontId="40" fillId="0" borderId="0" xfId="5" applyNumberFormat="1" applyFont="1" applyAlignment="1">
      <alignment horizontal="right" vertical="center"/>
    </xf>
    <xf numFmtId="0" fontId="40" fillId="0" borderId="0" xfId="5" applyFont="1" applyAlignment="1">
      <alignment horizontal="left" vertical="center"/>
    </xf>
    <xf numFmtId="0" fontId="40" fillId="0" borderId="0" xfId="5" applyFont="1" applyAlignment="1">
      <alignment horizontal="right" vertical="center"/>
    </xf>
    <xf numFmtId="0" fontId="40" fillId="0" borderId="0" xfId="5" applyFont="1" applyAlignment="1">
      <alignment horizontal="center" vertical="center"/>
    </xf>
    <xf numFmtId="166" fontId="27" fillId="0" borderId="0" xfId="5" applyNumberFormat="1" applyFont="1" applyAlignment="1">
      <alignment horizontal="right" vertical="center"/>
    </xf>
    <xf numFmtId="167" fontId="27" fillId="0" borderId="0" xfId="5" applyNumberFormat="1" applyFont="1" applyAlignment="1">
      <alignment horizontal="right" vertical="center"/>
    </xf>
    <xf numFmtId="4" fontId="29" fillId="0" borderId="0" xfId="0" applyNumberFormat="1" applyFont="1" applyAlignment="1">
      <alignment vertical="center"/>
    </xf>
    <xf numFmtId="4" fontId="30" fillId="0" borderId="0" xfId="0" applyNumberFormat="1" applyFont="1" applyAlignment="1">
      <alignment vertical="center"/>
    </xf>
    <xf numFmtId="4" fontId="29" fillId="4" borderId="0" xfId="0" applyNumberFormat="1" applyFont="1" applyFill="1" applyAlignment="1">
      <alignment vertical="center"/>
    </xf>
    <xf numFmtId="43" fontId="30" fillId="4" borderId="0" xfId="3" applyFont="1" applyFill="1" applyBorder="1" applyAlignment="1">
      <alignment vertical="center"/>
    </xf>
    <xf numFmtId="43" fontId="29" fillId="4" borderId="0" xfId="3" applyFont="1" applyFill="1" applyBorder="1" applyAlignment="1">
      <alignment vertical="center"/>
    </xf>
    <xf numFmtId="43" fontId="46" fillId="4" borderId="0" xfId="3" applyFont="1" applyFill="1" applyBorder="1" applyAlignment="1">
      <alignment vertical="center"/>
    </xf>
    <xf numFmtId="43" fontId="47" fillId="4" borderId="0" xfId="3" applyFont="1" applyFill="1" applyBorder="1" applyAlignment="1">
      <alignment vertical="center"/>
    </xf>
    <xf numFmtId="0" fontId="0" fillId="3" borderId="3" xfId="0" applyFill="1" applyBorder="1"/>
    <xf numFmtId="4" fontId="46" fillId="4" borderId="0" xfId="3" applyNumberFormat="1" applyFont="1" applyFill="1" applyBorder="1" applyAlignment="1">
      <alignment vertical="center"/>
    </xf>
    <xf numFmtId="43" fontId="28" fillId="4" borderId="0" xfId="3" applyFont="1" applyFill="1" applyBorder="1" applyAlignment="1">
      <alignment vertical="center"/>
    </xf>
    <xf numFmtId="43" fontId="31" fillId="4" borderId="0" xfId="3" applyFont="1" applyFill="1" applyBorder="1" applyAlignment="1">
      <alignment vertical="center"/>
    </xf>
    <xf numFmtId="43" fontId="30" fillId="0" borderId="0" xfId="3" applyFont="1" applyBorder="1" applyAlignment="1">
      <alignment vertical="center"/>
    </xf>
    <xf numFmtId="43" fontId="28" fillId="0" borderId="0" xfId="3" applyFont="1" applyBorder="1" applyAlignment="1">
      <alignment vertical="center"/>
    </xf>
    <xf numFmtId="4" fontId="30" fillId="4" borderId="0" xfId="0" applyNumberFormat="1" applyFont="1" applyFill="1" applyAlignment="1">
      <alignment vertical="center"/>
    </xf>
    <xf numFmtId="43" fontId="30" fillId="0" borderId="0" xfId="3" applyFont="1" applyFill="1" applyBorder="1" applyAlignment="1">
      <alignment vertical="center"/>
    </xf>
    <xf numFmtId="43" fontId="46" fillId="0" borderId="0" xfId="3" applyFont="1" applyFill="1" applyBorder="1" applyAlignment="1">
      <alignment vertical="center"/>
    </xf>
    <xf numFmtId="43" fontId="46" fillId="0" borderId="0" xfId="3" applyFont="1" applyBorder="1" applyAlignment="1">
      <alignment vertical="center"/>
    </xf>
    <xf numFmtId="43" fontId="47" fillId="0" borderId="0" xfId="3" applyFont="1" applyFill="1" applyBorder="1" applyAlignment="1">
      <alignment vertical="center"/>
    </xf>
    <xf numFmtId="43" fontId="47" fillId="0" borderId="0" xfId="3" applyFont="1" applyBorder="1" applyAlignment="1">
      <alignment vertical="center"/>
    </xf>
    <xf numFmtId="169" fontId="29" fillId="0" borderId="0" xfId="0" applyNumberFormat="1" applyFont="1" applyAlignment="1">
      <alignment vertical="center"/>
    </xf>
    <xf numFmtId="170" fontId="30" fillId="4" borderId="0" xfId="0" applyNumberFormat="1" applyFont="1" applyFill="1" applyAlignment="1">
      <alignment vertical="center"/>
    </xf>
    <xf numFmtId="169" fontId="29" fillId="4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4" fontId="48" fillId="4" borderId="0" xfId="0" applyNumberFormat="1" applyFont="1" applyFill="1" applyAlignment="1">
      <alignment vertical="center"/>
    </xf>
    <xf numFmtId="4" fontId="43" fillId="4" borderId="0" xfId="0" applyNumberFormat="1" applyFont="1" applyFill="1" applyAlignment="1">
      <alignment vertical="center"/>
    </xf>
    <xf numFmtId="43" fontId="48" fillId="0" borderId="0" xfId="3" applyFont="1" applyAlignment="1">
      <alignment vertical="center"/>
    </xf>
    <xf numFmtId="43" fontId="48" fillId="4" borderId="0" xfId="3" applyFont="1" applyFill="1" applyAlignment="1">
      <alignment vertical="center"/>
    </xf>
    <xf numFmtId="43" fontId="43" fillId="4" borderId="0" xfId="3" applyFont="1" applyFill="1" applyAlignment="1">
      <alignment vertical="center"/>
    </xf>
    <xf numFmtId="170" fontId="48" fillId="4" borderId="0" xfId="0" applyNumberFormat="1" applyFont="1" applyFill="1" applyAlignment="1">
      <alignment vertical="center"/>
    </xf>
    <xf numFmtId="43" fontId="49" fillId="0" borderId="0" xfId="3" applyFont="1" applyAlignment="1">
      <alignment vertical="center"/>
    </xf>
    <xf numFmtId="43" fontId="49" fillId="4" borderId="0" xfId="3" applyFont="1" applyFill="1" applyAlignment="1">
      <alignment vertical="center"/>
    </xf>
    <xf numFmtId="4" fontId="49" fillId="4" borderId="0" xfId="3" applyNumberFormat="1" applyFont="1" applyFill="1" applyAlignment="1">
      <alignment vertical="center"/>
    </xf>
    <xf numFmtId="43" fontId="50" fillId="0" borderId="0" xfId="3" applyFont="1" applyAlignment="1">
      <alignment vertical="center"/>
    </xf>
    <xf numFmtId="43" fontId="51" fillId="0" borderId="0" xfId="3" applyFont="1" applyAlignment="1">
      <alignment vertical="center"/>
    </xf>
    <xf numFmtId="43" fontId="50" fillId="4" borderId="0" xfId="3" applyFont="1" applyFill="1" applyAlignment="1">
      <alignment vertical="center"/>
    </xf>
    <xf numFmtId="169" fontId="43" fillId="4" borderId="0" xfId="0" applyNumberFormat="1" applyFont="1" applyFill="1" applyAlignment="1">
      <alignment vertical="center"/>
    </xf>
    <xf numFmtId="43" fontId="51" fillId="4" borderId="0" xfId="3" applyFont="1" applyFill="1" applyAlignment="1">
      <alignment vertical="center"/>
    </xf>
    <xf numFmtId="43" fontId="52" fillId="4" borderId="0" xfId="3" applyFont="1" applyFill="1" applyAlignment="1">
      <alignment vertical="center"/>
    </xf>
    <xf numFmtId="0" fontId="43" fillId="4" borderId="0" xfId="0" applyFont="1" applyFill="1" applyAlignment="1">
      <alignment vertical="center"/>
    </xf>
    <xf numFmtId="43" fontId="48" fillId="0" borderId="0" xfId="3" applyFont="1" applyBorder="1" applyAlignment="1">
      <alignment vertical="center"/>
    </xf>
    <xf numFmtId="43" fontId="49" fillId="0" borderId="0" xfId="3" applyFont="1" applyBorder="1" applyAlignment="1">
      <alignment vertical="center"/>
    </xf>
    <xf numFmtId="43" fontId="50" fillId="0" borderId="0" xfId="3" applyFont="1" applyBorder="1" applyAlignment="1">
      <alignment vertical="center"/>
    </xf>
    <xf numFmtId="43" fontId="48" fillId="0" borderId="0" xfId="3" applyFont="1" applyFill="1" applyBorder="1" applyAlignment="1">
      <alignment vertical="center"/>
    </xf>
    <xf numFmtId="4" fontId="49" fillId="0" borderId="0" xfId="3" applyNumberFormat="1" applyFont="1" applyFill="1" applyBorder="1" applyAlignment="1">
      <alignment vertical="center"/>
    </xf>
    <xf numFmtId="43" fontId="50" fillId="0" borderId="0" xfId="3" applyFont="1" applyFill="1" applyBorder="1" applyAlignment="1">
      <alignment vertical="center"/>
    </xf>
    <xf numFmtId="4" fontId="49" fillId="0" borderId="0" xfId="3" applyNumberFormat="1" applyFont="1" applyAlignment="1">
      <alignment vertical="center"/>
    </xf>
    <xf numFmtId="43" fontId="49" fillId="0" borderId="0" xfId="3" applyFont="1" applyFill="1" applyBorder="1" applyAlignment="1">
      <alignment vertical="center"/>
    </xf>
    <xf numFmtId="43" fontId="48" fillId="0" borderId="0" xfId="3" applyFont="1" applyFill="1" applyAlignment="1">
      <alignment vertical="center"/>
    </xf>
    <xf numFmtId="43" fontId="50" fillId="0" borderId="0" xfId="3" applyFont="1" applyFill="1" applyAlignment="1">
      <alignment vertical="center"/>
    </xf>
    <xf numFmtId="170" fontId="30" fillId="0" borderId="0" xfId="0" applyNumberFormat="1" applyFont="1" applyAlignment="1">
      <alignment vertical="center"/>
    </xf>
    <xf numFmtId="0" fontId="53" fillId="0" borderId="0" xfId="0" applyFont="1"/>
    <xf numFmtId="4" fontId="53" fillId="0" borderId="0" xfId="0" applyNumberFormat="1" applyFont="1"/>
    <xf numFmtId="0" fontId="54" fillId="0" borderId="0" xfId="0" applyFont="1"/>
    <xf numFmtId="4" fontId="54" fillId="0" borderId="0" xfId="0" applyNumberFormat="1" applyFont="1"/>
    <xf numFmtId="0" fontId="0" fillId="0" borderId="4" xfId="0" applyBorder="1"/>
    <xf numFmtId="165" fontId="0" fillId="0" borderId="4" xfId="0" applyNumberFormat="1" applyBorder="1"/>
    <xf numFmtId="0" fontId="55" fillId="0" borderId="0" xfId="0" applyFont="1"/>
    <xf numFmtId="43" fontId="53" fillId="0" borderId="0" xfId="3" applyFont="1"/>
    <xf numFmtId="43" fontId="54" fillId="0" borderId="0" xfId="3" applyFont="1"/>
    <xf numFmtId="43" fontId="0" fillId="0" borderId="0" xfId="3" applyFont="1"/>
    <xf numFmtId="43" fontId="55" fillId="0" borderId="0" xfId="3" applyFont="1"/>
    <xf numFmtId="0" fontId="0" fillId="0" borderId="0" xfId="0" quotePrefix="1"/>
    <xf numFmtId="0" fontId="0" fillId="6" borderId="0" xfId="0" applyFill="1"/>
    <xf numFmtId="0" fontId="35" fillId="0" borderId="0" xfId="5" applyFont="1" applyAlignment="1">
      <alignment vertical="center"/>
    </xf>
    <xf numFmtId="0" fontId="0" fillId="0" borderId="2" xfId="0" applyBorder="1"/>
    <xf numFmtId="4" fontId="0" fillId="0" borderId="2" xfId="0" applyNumberFormat="1" applyBorder="1"/>
    <xf numFmtId="4" fontId="2" fillId="0" borderId="2" xfId="0" applyNumberFormat="1" applyFont="1" applyBorder="1"/>
    <xf numFmtId="43" fontId="10" fillId="0" borderId="0" xfId="0" applyNumberFormat="1" applyFont="1"/>
    <xf numFmtId="0" fontId="0" fillId="0" borderId="2" xfId="0" applyBorder="1" applyAlignment="1">
      <alignment horizontal="center"/>
    </xf>
    <xf numFmtId="0" fontId="3" fillId="0" borderId="2" xfId="0" applyFont="1" applyBorder="1" applyAlignment="1">
      <alignment horizontal="center"/>
    </xf>
    <xf numFmtId="4" fontId="0" fillId="0" borderId="2" xfId="0" applyNumberForma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2" borderId="2" xfId="0" applyFill="1" applyBorder="1"/>
    <xf numFmtId="2" fontId="0" fillId="0" borderId="2" xfId="0" applyNumberFormat="1" applyBorder="1"/>
    <xf numFmtId="0" fontId="0" fillId="7" borderId="5" xfId="0" applyFill="1" applyBorder="1" applyAlignment="1">
      <alignment horizontal="center"/>
    </xf>
    <xf numFmtId="0" fontId="0" fillId="8" borderId="0" xfId="0" applyFill="1"/>
    <xf numFmtId="0" fontId="7" fillId="0" borderId="0" xfId="0" applyFont="1"/>
    <xf numFmtId="0" fontId="11" fillId="9" borderId="0" xfId="0" applyFont="1" applyFill="1" applyAlignment="1">
      <alignment wrapText="1"/>
    </xf>
    <xf numFmtId="0" fontId="56" fillId="0" borderId="0" xfId="0" applyFont="1"/>
    <xf numFmtId="0" fontId="10" fillId="8" borderId="0" xfId="0" applyFont="1" applyFill="1"/>
    <xf numFmtId="171" fontId="30" fillId="0" borderId="0" xfId="3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43" fontId="29" fillId="0" borderId="0" xfId="3" applyFont="1" applyBorder="1" applyAlignment="1">
      <alignment vertical="center"/>
    </xf>
    <xf numFmtId="171" fontId="29" fillId="0" borderId="0" xfId="3" applyNumberFormat="1" applyFont="1" applyBorder="1" applyAlignment="1">
      <alignment vertical="center"/>
    </xf>
    <xf numFmtId="0" fontId="29" fillId="0" borderId="0" xfId="0" applyFont="1"/>
    <xf numFmtId="171" fontId="29" fillId="0" borderId="0" xfId="3" applyNumberFormat="1" applyFont="1" applyBorder="1"/>
    <xf numFmtId="43" fontId="29" fillId="0" borderId="0" xfId="3" applyFont="1" applyBorder="1"/>
    <xf numFmtId="43" fontId="30" fillId="0" borderId="0" xfId="3" applyFont="1" applyBorder="1" applyAlignment="1">
      <alignment horizontal="right" vertic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43" fillId="0" borderId="0" xfId="0" applyFont="1"/>
    <xf numFmtId="0" fontId="35" fillId="0" borderId="0" xfId="4" applyFont="1" applyAlignment="1">
      <alignment vertical="center"/>
    </xf>
    <xf numFmtId="171" fontId="48" fillId="0" borderId="0" xfId="3" applyNumberFormat="1" applyFont="1" applyAlignment="1">
      <alignment vertical="center"/>
    </xf>
    <xf numFmtId="0" fontId="43" fillId="0" borderId="0" xfId="0" applyFont="1" applyAlignment="1">
      <alignment vertical="center"/>
    </xf>
    <xf numFmtId="171" fontId="43" fillId="0" borderId="0" xfId="3" applyNumberFormat="1" applyFont="1" applyAlignment="1">
      <alignment vertical="center"/>
    </xf>
    <xf numFmtId="171" fontId="43" fillId="0" borderId="0" xfId="3" applyNumberFormat="1" applyFont="1"/>
    <xf numFmtId="0" fontId="0" fillId="7" borderId="6" xfId="0" applyFill="1" applyBorder="1" applyAlignment="1">
      <alignment horizontal="center"/>
    </xf>
    <xf numFmtId="0" fontId="57" fillId="0" borderId="0" xfId="0" applyFont="1"/>
    <xf numFmtId="0" fontId="0" fillId="10" borderId="0" xfId="0" applyFill="1"/>
    <xf numFmtId="2" fontId="7" fillId="0" borderId="0" xfId="0" applyNumberFormat="1" applyFont="1"/>
    <xf numFmtId="43" fontId="0" fillId="0" borderId="0" xfId="0" applyNumberFormat="1"/>
    <xf numFmtId="0" fontId="35" fillId="0" borderId="0" xfId="0" applyFont="1" applyAlignment="1">
      <alignment horizontal="left" vertical="top" wrapText="1"/>
    </xf>
    <xf numFmtId="164" fontId="58" fillId="0" borderId="0" xfId="0" applyNumberFormat="1" applyFont="1"/>
    <xf numFmtId="0" fontId="59" fillId="0" borderId="0" xfId="0" applyFont="1"/>
    <xf numFmtId="0" fontId="0" fillId="7" borderId="3" xfId="0" applyFill="1" applyBorder="1" applyAlignment="1">
      <alignment horizontal="center"/>
    </xf>
    <xf numFmtId="0" fontId="0" fillId="0" borderId="7" xfId="0" applyBorder="1"/>
    <xf numFmtId="171" fontId="30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/>
    <xf numFmtId="0" fontId="60" fillId="0" borderId="0" xfId="0" applyFont="1"/>
    <xf numFmtId="0" fontId="61" fillId="0" borderId="0" xfId="0" applyFont="1"/>
    <xf numFmtId="4" fontId="34" fillId="0" borderId="0" xfId="0" applyNumberFormat="1" applyFont="1"/>
    <xf numFmtId="4" fontId="60" fillId="0" borderId="0" xfId="0" applyNumberFormat="1" applyFont="1"/>
    <xf numFmtId="0" fontId="7" fillId="11" borderId="2" xfId="0" applyFont="1" applyFill="1" applyBorder="1"/>
    <xf numFmtId="0" fontId="7" fillId="11" borderId="7" xfId="0" applyFont="1" applyFill="1" applyBorder="1"/>
    <xf numFmtId="0" fontId="7" fillId="11" borderId="6" xfId="0" applyFont="1" applyFill="1" applyBorder="1"/>
    <xf numFmtId="0" fontId="7" fillId="11" borderId="8" xfId="0" applyFont="1" applyFill="1" applyBorder="1"/>
    <xf numFmtId="0" fontId="62" fillId="0" borderId="0" xfId="0" applyFont="1"/>
    <xf numFmtId="0" fontId="7" fillId="9" borderId="0" xfId="0" applyFont="1" applyFill="1"/>
    <xf numFmtId="0" fontId="16" fillId="0" borderId="0" xfId="0" applyFont="1"/>
    <xf numFmtId="0" fontId="7" fillId="0" borderId="1" xfId="0" applyFont="1" applyBorder="1"/>
    <xf numFmtId="0" fontId="62" fillId="0" borderId="1" xfId="0" applyFont="1" applyBorder="1"/>
    <xf numFmtId="0" fontId="7" fillId="12" borderId="0" xfId="0" applyFont="1" applyFill="1"/>
    <xf numFmtId="0" fontId="12" fillId="9" borderId="0" xfId="0" applyFont="1" applyFill="1"/>
    <xf numFmtId="0" fontId="7" fillId="13" borderId="0" xfId="0" applyFont="1" applyFill="1"/>
    <xf numFmtId="0" fontId="41" fillId="0" borderId="0" xfId="0" applyFont="1" applyAlignment="1">
      <alignment wrapText="1"/>
    </xf>
    <xf numFmtId="0" fontId="63" fillId="0" borderId="0" xfId="0" applyFont="1"/>
    <xf numFmtId="0" fontId="14" fillId="0" borderId="0" xfId="0" applyFont="1"/>
    <xf numFmtId="0" fontId="63" fillId="0" borderId="1" xfId="0" applyFont="1" applyBorder="1"/>
    <xf numFmtId="164" fontId="7" fillId="0" borderId="0" xfId="0" applyNumberFormat="1" applyFont="1"/>
    <xf numFmtId="165" fontId="7" fillId="0" borderId="0" xfId="0" applyNumberFormat="1" applyFont="1"/>
    <xf numFmtId="2" fontId="62" fillId="0" borderId="0" xfId="0" applyNumberFormat="1" applyFont="1"/>
    <xf numFmtId="2" fontId="62" fillId="0" borderId="1" xfId="0" applyNumberFormat="1" applyFont="1" applyBorder="1"/>
    <xf numFmtId="164" fontId="62" fillId="0" borderId="0" xfId="0" applyNumberFormat="1" applyFont="1"/>
    <xf numFmtId="2" fontId="10" fillId="9" borderId="0" xfId="0" applyNumberFormat="1" applyFont="1" applyFill="1" applyAlignment="1">
      <alignment wrapText="1"/>
    </xf>
    <xf numFmtId="0" fontId="7" fillId="5" borderId="0" xfId="0" applyFont="1" applyFill="1"/>
    <xf numFmtId="2" fontId="63" fillId="0" borderId="0" xfId="0" applyNumberFormat="1" applyFont="1"/>
    <xf numFmtId="2" fontId="63" fillId="0" borderId="1" xfId="0" applyNumberFormat="1" applyFont="1" applyBorder="1"/>
    <xf numFmtId="164" fontId="63" fillId="0" borderId="0" xfId="0" applyNumberFormat="1" applyFont="1"/>
    <xf numFmtId="165" fontId="7" fillId="0" borderId="1" xfId="0" applyNumberFormat="1" applyFont="1" applyBorder="1"/>
    <xf numFmtId="2" fontId="7" fillId="13" borderId="0" xfId="0" applyNumberFormat="1" applyFont="1" applyFill="1"/>
    <xf numFmtId="2" fontId="7" fillId="0" borderId="1" xfId="0" applyNumberFormat="1" applyFont="1" applyBorder="1"/>
    <xf numFmtId="2" fontId="36" fillId="0" borderId="0" xfId="0" applyNumberFormat="1" applyFont="1" applyAlignment="1">
      <alignment horizontal="center"/>
    </xf>
    <xf numFmtId="2" fontId="11" fillId="2" borderId="0" xfId="0" applyNumberFormat="1" applyFont="1" applyFill="1" applyAlignment="1">
      <alignment wrapText="1"/>
    </xf>
    <xf numFmtId="2" fontId="10" fillId="2" borderId="0" xfId="0" applyNumberFormat="1" applyFont="1" applyFill="1" applyAlignment="1">
      <alignment wrapText="1"/>
    </xf>
    <xf numFmtId="4" fontId="0" fillId="2" borderId="0" xfId="0" applyNumberFormat="1" applyFill="1"/>
    <xf numFmtId="0" fontId="0" fillId="2" borderId="0" xfId="0" applyFill="1" applyAlignment="1">
      <alignment horizontal="center"/>
    </xf>
    <xf numFmtId="2" fontId="0" fillId="0" borderId="7" xfId="0" applyNumberFormat="1" applyBorder="1"/>
    <xf numFmtId="0" fontId="26" fillId="0" borderId="0" xfId="0" applyFont="1"/>
    <xf numFmtId="164" fontId="26" fillId="0" borderId="0" xfId="0" applyNumberFormat="1" applyFont="1"/>
    <xf numFmtId="165" fontId="26" fillId="0" borderId="0" xfId="0" applyNumberFormat="1" applyFont="1"/>
    <xf numFmtId="2" fontId="26" fillId="0" borderId="0" xfId="0" applyNumberFormat="1" applyFont="1"/>
    <xf numFmtId="2" fontId="26" fillId="13" borderId="0" xfId="0" applyNumberFormat="1" applyFont="1" applyFill="1"/>
    <xf numFmtId="0" fontId="26" fillId="0" borderId="1" xfId="0" applyFont="1" applyBorder="1"/>
    <xf numFmtId="165" fontId="26" fillId="0" borderId="1" xfId="0" applyNumberFormat="1" applyFont="1" applyBorder="1"/>
    <xf numFmtId="0" fontId="26" fillId="13" borderId="0" xfId="0" applyFont="1" applyFill="1"/>
    <xf numFmtId="0" fontId="10" fillId="0" borderId="0" xfId="0" applyFont="1" applyAlignment="1">
      <alignment horizontal="center" wrapText="1"/>
    </xf>
    <xf numFmtId="0" fontId="26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2" fontId="0" fillId="0" borderId="0" xfId="0" applyNumberFormat="1" applyAlignment="1">
      <alignment horizontal="center"/>
    </xf>
    <xf numFmtId="0" fontId="64" fillId="0" borderId="0" xfId="0" applyFont="1"/>
    <xf numFmtId="4" fontId="64" fillId="0" borderId="0" xfId="0" applyNumberFormat="1" applyFont="1"/>
    <xf numFmtId="0" fontId="66" fillId="0" borderId="0" xfId="0" applyFont="1"/>
    <xf numFmtId="2" fontId="61" fillId="0" borderId="0" xfId="0" applyNumberFormat="1" applyFont="1"/>
    <xf numFmtId="4" fontId="66" fillId="0" borderId="0" xfId="0" applyNumberFormat="1" applyFont="1"/>
    <xf numFmtId="0" fontId="26" fillId="0" borderId="0" xfId="0" applyFont="1" applyAlignment="1">
      <alignment horizontal="center" wrapText="1"/>
    </xf>
    <xf numFmtId="0" fontId="42" fillId="0" borderId="0" xfId="0" applyFont="1" applyAlignment="1">
      <alignment horizontal="center" vertical="top" wrapText="1"/>
    </xf>
    <xf numFmtId="4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4" fontId="12" fillId="0" borderId="0" xfId="0" applyNumberFormat="1" applyFont="1"/>
    <xf numFmtId="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65" fillId="0" borderId="0" xfId="0" applyFont="1"/>
    <xf numFmtId="0" fontId="67" fillId="0" borderId="0" xfId="0" applyFont="1"/>
    <xf numFmtId="4" fontId="67" fillId="0" borderId="0" xfId="0" applyNumberFormat="1" applyFont="1"/>
    <xf numFmtId="0" fontId="54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2" fontId="54" fillId="0" borderId="0" xfId="0" applyNumberFormat="1" applyFont="1"/>
    <xf numFmtId="164" fontId="3" fillId="0" borderId="0" xfId="0" applyNumberFormat="1" applyFont="1"/>
    <xf numFmtId="172" fontId="0" fillId="0" borderId="0" xfId="0" applyNumberFormat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 vertical="center"/>
    </xf>
  </cellXfs>
  <cellStyles count="6">
    <cellStyle name="Hyperlink" xfId="1" xr:uid="{00000000-000B-0000-0000-000008000000}"/>
    <cellStyle name="Millares" xfId="3" builtinId="3"/>
    <cellStyle name="Normal" xfId="0" builtinId="0"/>
    <cellStyle name="Normal 2" xfId="4" xr:uid="{99BB6401-551E-4E22-B747-29F0FA92FF61}"/>
    <cellStyle name="Normal 3" xfId="2" xr:uid="{1DAA5709-F98A-4EDE-9267-A0CD362D09E1}"/>
    <cellStyle name="Normal 4" xfId="5" xr:uid="{2BFC3323-0D94-4778-8138-403250333FE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ustomXml" Target="../customXml/item2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85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-57150</xdr:rowOff>
    </xdr:from>
    <xdr:to>
      <xdr:col>0</xdr:col>
      <xdr:colOff>152400</xdr:colOff>
      <xdr:row>0</xdr:row>
      <xdr:rowOff>-57150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7453103-73AE-A94E-252A-889BFD924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-5715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279F5CF-AA71-496D-84C6-C7D69A1B5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43801E-66C5-4723-9061-8253F4775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9DD2-CF49-4084-9954-0817E1E950F4}">
  <dimension ref="A1:F96"/>
  <sheetViews>
    <sheetView workbookViewId="0">
      <selection activeCell="B85" sqref="B85:D97"/>
    </sheetView>
  </sheetViews>
  <sheetFormatPr defaultRowHeight="15"/>
  <cols>
    <col min="1" max="1" width="43.140625" customWidth="1"/>
    <col min="2" max="2" width="54" customWidth="1"/>
    <col min="3" max="3" width="27.85546875" customWidth="1"/>
    <col min="4" max="4" width="30.42578125" customWidth="1"/>
  </cols>
  <sheetData>
    <row r="1" spans="1:4">
      <c r="A1" s="76" t="s">
        <v>0</v>
      </c>
    </row>
    <row r="2" spans="1:4">
      <c r="A2" s="195" t="s">
        <v>1</v>
      </c>
      <c r="B2" s="195" t="s">
        <v>2</v>
      </c>
      <c r="C2" s="195" t="s">
        <v>3</v>
      </c>
      <c r="D2" s="195" t="s">
        <v>4</v>
      </c>
    </row>
    <row r="3" spans="1:4">
      <c r="A3" s="194"/>
      <c r="B3" s="194"/>
      <c r="C3" s="194"/>
      <c r="D3" s="194"/>
    </row>
    <row r="5" spans="1:4">
      <c r="A5" s="76" t="s">
        <v>5</v>
      </c>
    </row>
    <row r="6" spans="1:4">
      <c r="A6" s="195" t="s">
        <v>6</v>
      </c>
      <c r="B6" s="195" t="s">
        <v>7</v>
      </c>
    </row>
    <row r="7" spans="1:4">
      <c r="A7" s="191" t="s">
        <v>8</v>
      </c>
      <c r="B7" s="191" t="s">
        <v>8</v>
      </c>
    </row>
    <row r="8" spans="1:4">
      <c r="A8" s="191" t="s">
        <v>9</v>
      </c>
      <c r="B8" s="191" t="s">
        <v>9</v>
      </c>
    </row>
    <row r="9" spans="1:4">
      <c r="A9" s="191"/>
      <c r="B9" s="191"/>
    </row>
    <row r="11" spans="1:4">
      <c r="A11" s="19"/>
    </row>
    <row r="12" spans="1:4">
      <c r="A12" s="76" t="s">
        <v>10</v>
      </c>
    </row>
    <row r="13" spans="1:4">
      <c r="A13" s="195" t="s">
        <v>11</v>
      </c>
      <c r="B13" s="195" t="s">
        <v>12</v>
      </c>
      <c r="C13" s="195" t="s">
        <v>13</v>
      </c>
    </row>
    <row r="14" spans="1:4">
      <c r="A14" s="191" t="s">
        <v>14</v>
      </c>
      <c r="B14" s="191">
        <v>1</v>
      </c>
      <c r="C14" s="194"/>
    </row>
    <row r="15" spans="1:4">
      <c r="A15" s="191" t="s">
        <v>15</v>
      </c>
      <c r="B15" s="191">
        <v>2</v>
      </c>
      <c r="C15" s="194"/>
    </row>
    <row r="16" spans="1:4">
      <c r="B16" s="191">
        <v>3</v>
      </c>
      <c r="C16" s="194"/>
    </row>
    <row r="17" spans="1:4">
      <c r="B17" s="191">
        <v>4</v>
      </c>
      <c r="C17" s="194"/>
    </row>
    <row r="24" spans="1:4">
      <c r="A24" s="76" t="s">
        <v>16</v>
      </c>
    </row>
    <row r="25" spans="1:4">
      <c r="A25" s="192"/>
      <c r="B25" s="195" t="s">
        <v>17</v>
      </c>
      <c r="C25" s="195" t="s">
        <v>18</v>
      </c>
      <c r="D25" s="76"/>
    </row>
    <row r="26" spans="1:4">
      <c r="A26" s="306" t="s">
        <v>19</v>
      </c>
      <c r="B26" s="194"/>
      <c r="C26" s="194"/>
    </row>
    <row r="27" spans="1:4">
      <c r="A27" s="306" t="s">
        <v>20</v>
      </c>
      <c r="B27" s="194"/>
      <c r="C27" s="194"/>
    </row>
    <row r="28" spans="1:4">
      <c r="A28" s="306" t="s">
        <v>21</v>
      </c>
      <c r="B28" s="194"/>
      <c r="C28" s="194"/>
    </row>
    <row r="29" spans="1:4">
      <c r="A29" s="306" t="s">
        <v>22</v>
      </c>
      <c r="B29" s="194"/>
      <c r="C29" s="194"/>
    </row>
    <row r="30" spans="1:4">
      <c r="A30" s="306" t="s">
        <v>23</v>
      </c>
      <c r="B30" s="194"/>
      <c r="C30" s="194"/>
    </row>
    <row r="31" spans="1:4">
      <c r="A31" s="306" t="s">
        <v>24</v>
      </c>
      <c r="B31" s="194"/>
      <c r="C31" s="194"/>
    </row>
    <row r="32" spans="1:4">
      <c r="A32" s="306" t="s">
        <v>25</v>
      </c>
      <c r="B32" s="194"/>
      <c r="C32" s="194"/>
    </row>
    <row r="33" spans="1:3">
      <c r="A33" s="306" t="s">
        <v>26</v>
      </c>
      <c r="B33" s="194"/>
      <c r="C33" s="194"/>
    </row>
    <row r="34" spans="1:3">
      <c r="A34" s="306" t="s">
        <v>27</v>
      </c>
      <c r="B34" s="194"/>
      <c r="C34" s="194"/>
    </row>
    <row r="35" spans="1:3">
      <c r="A35" s="306" t="s">
        <v>28</v>
      </c>
      <c r="B35" s="194"/>
      <c r="C35" s="194"/>
    </row>
    <row r="36" spans="1:3">
      <c r="A36" s="306" t="s">
        <v>29</v>
      </c>
      <c r="B36" s="194"/>
      <c r="C36" s="194"/>
    </row>
    <row r="37" spans="1:3">
      <c r="A37" s="306" t="s">
        <v>30</v>
      </c>
      <c r="B37" s="194"/>
      <c r="C37" s="194"/>
    </row>
    <row r="38" spans="1:3">
      <c r="A38" s="306" t="s">
        <v>31</v>
      </c>
      <c r="B38" s="194"/>
      <c r="C38" s="194"/>
    </row>
    <row r="39" spans="1:3">
      <c r="A39" s="191" t="s">
        <v>32</v>
      </c>
      <c r="B39" s="194"/>
      <c r="C39" s="194"/>
    </row>
    <row r="40" spans="1:3">
      <c r="A40" s="191" t="s">
        <v>33</v>
      </c>
      <c r="B40" s="194"/>
      <c r="C40" s="194"/>
    </row>
    <row r="41" spans="1:3">
      <c r="A41" s="191" t="s">
        <v>34</v>
      </c>
      <c r="B41" s="194"/>
      <c r="C41" s="194"/>
    </row>
    <row r="42" spans="1:3">
      <c r="A42" s="191" t="s">
        <v>35</v>
      </c>
      <c r="B42" s="194"/>
      <c r="C42" s="194"/>
    </row>
    <row r="43" spans="1:3">
      <c r="A43" s="191" t="s">
        <v>36</v>
      </c>
      <c r="B43" s="194"/>
      <c r="C43" s="194"/>
    </row>
    <row r="44" spans="1:3">
      <c r="A44" s="191" t="s">
        <v>37</v>
      </c>
      <c r="B44" s="194"/>
      <c r="C44" s="194"/>
    </row>
    <row r="45" spans="1:3">
      <c r="A45" s="191" t="s">
        <v>38</v>
      </c>
      <c r="B45" s="194"/>
      <c r="C45" s="194"/>
    </row>
    <row r="46" spans="1:3">
      <c r="A46" s="191" t="s">
        <v>39</v>
      </c>
      <c r="B46" s="194"/>
      <c r="C46" s="194"/>
    </row>
    <row r="47" spans="1:3">
      <c r="A47" s="191" t="s">
        <v>40</v>
      </c>
      <c r="B47" s="194"/>
      <c r="C47" s="194"/>
    </row>
    <row r="48" spans="1:3">
      <c r="A48" s="191" t="s">
        <v>41</v>
      </c>
      <c r="B48" s="194"/>
      <c r="C48" s="194"/>
    </row>
    <row r="49" spans="1:3">
      <c r="A49" s="191" t="s">
        <v>42</v>
      </c>
      <c r="B49" s="194"/>
      <c r="C49" s="194"/>
    </row>
    <row r="50" spans="1:3">
      <c r="A50" s="191" t="s">
        <v>43</v>
      </c>
      <c r="B50" s="194"/>
      <c r="C50" s="194"/>
    </row>
    <row r="51" spans="1:3">
      <c r="A51" s="191" t="s">
        <v>44</v>
      </c>
      <c r="B51" s="194"/>
      <c r="C51" s="194"/>
    </row>
    <row r="52" spans="1:3">
      <c r="A52" s="191" t="s">
        <v>45</v>
      </c>
      <c r="B52" s="194"/>
      <c r="C52" s="194"/>
    </row>
    <row r="53" spans="1:3">
      <c r="A53" s="191" t="s">
        <v>46</v>
      </c>
      <c r="B53" s="194"/>
      <c r="C53" s="194"/>
    </row>
    <row r="54" spans="1:3">
      <c r="A54" s="191" t="s">
        <v>47</v>
      </c>
      <c r="B54" s="194"/>
      <c r="C54" s="194"/>
    </row>
    <row r="55" spans="1:3">
      <c r="A55" s="191" t="s">
        <v>48</v>
      </c>
      <c r="B55" s="194"/>
      <c r="C55" s="194"/>
    </row>
    <row r="56" spans="1:3">
      <c r="A56" s="191" t="s">
        <v>49</v>
      </c>
      <c r="B56" s="194"/>
      <c r="C56" s="194"/>
    </row>
    <row r="57" spans="1:3">
      <c r="A57" s="191" t="s">
        <v>50</v>
      </c>
      <c r="B57" s="194"/>
      <c r="C57" s="194"/>
    </row>
    <row r="58" spans="1:3">
      <c r="A58" s="191" t="s">
        <v>51</v>
      </c>
      <c r="B58" s="194"/>
      <c r="C58" s="194"/>
    </row>
    <row r="59" spans="1:3">
      <c r="A59" s="191" t="s">
        <v>52</v>
      </c>
      <c r="B59" s="194"/>
      <c r="C59" s="194"/>
    </row>
    <row r="60" spans="1:3">
      <c r="A60" s="191" t="s">
        <v>53</v>
      </c>
      <c r="B60" s="194"/>
      <c r="C60" s="194"/>
    </row>
    <row r="61" spans="1:3">
      <c r="A61" s="191" t="s">
        <v>54</v>
      </c>
      <c r="B61" s="194"/>
      <c r="C61" s="194"/>
    </row>
    <row r="62" spans="1:3">
      <c r="A62" s="191" t="s">
        <v>55</v>
      </c>
      <c r="B62" s="194"/>
      <c r="C62" s="194"/>
    </row>
    <row r="63" spans="1:3">
      <c r="A63" s="191" t="s">
        <v>56</v>
      </c>
      <c r="B63" s="194"/>
      <c r="C63" s="194"/>
    </row>
    <row r="64" spans="1:3">
      <c r="A64" s="191" t="s">
        <v>57</v>
      </c>
      <c r="B64" s="194"/>
      <c r="C64" s="194"/>
    </row>
    <row r="65" spans="1:3">
      <c r="A65" s="191" t="s">
        <v>58</v>
      </c>
      <c r="B65" s="194"/>
      <c r="C65" s="194"/>
    </row>
    <row r="66" spans="1:3">
      <c r="A66" s="191" t="s">
        <v>59</v>
      </c>
      <c r="B66" s="194"/>
      <c r="C66" s="194"/>
    </row>
    <row r="67" spans="1:3">
      <c r="A67" s="191" t="s">
        <v>60</v>
      </c>
      <c r="B67" s="194"/>
      <c r="C67" s="194"/>
    </row>
    <row r="68" spans="1:3">
      <c r="A68" s="191" t="s">
        <v>61</v>
      </c>
      <c r="B68" s="194"/>
      <c r="C68" s="194"/>
    </row>
    <row r="69" spans="1:3">
      <c r="A69" s="191" t="s">
        <v>62</v>
      </c>
      <c r="B69" s="194"/>
      <c r="C69" s="194"/>
    </row>
    <row r="70" spans="1:3">
      <c r="A70" s="191" t="s">
        <v>63</v>
      </c>
      <c r="B70" s="194"/>
      <c r="C70" s="194"/>
    </row>
    <row r="71" spans="1:3">
      <c r="A71" s="191" t="s">
        <v>64</v>
      </c>
      <c r="B71" s="194"/>
      <c r="C71" s="194"/>
    </row>
    <row r="72" spans="1:3">
      <c r="A72" s="191" t="s">
        <v>65</v>
      </c>
      <c r="B72" s="194"/>
      <c r="C72" s="194"/>
    </row>
    <row r="73" spans="1:3">
      <c r="A73" s="191" t="s">
        <v>66</v>
      </c>
      <c r="B73" s="194"/>
      <c r="C73" s="194"/>
    </row>
    <row r="74" spans="1:3">
      <c r="A74" s="191" t="s">
        <v>67</v>
      </c>
      <c r="B74" s="194"/>
      <c r="C74" s="194"/>
    </row>
    <row r="75" spans="1:3">
      <c r="A75" s="191" t="s">
        <v>68</v>
      </c>
      <c r="B75" s="194"/>
      <c r="C75" s="194"/>
    </row>
    <row r="76" spans="1:3">
      <c r="A76" s="191" t="s">
        <v>69</v>
      </c>
      <c r="B76" s="194"/>
      <c r="C76" s="194"/>
    </row>
    <row r="77" spans="1:3">
      <c r="A77" s="191" t="s">
        <v>70</v>
      </c>
      <c r="B77" s="194"/>
      <c r="C77" s="194"/>
    </row>
    <row r="78" spans="1:3">
      <c r="A78" s="191" t="s">
        <v>71</v>
      </c>
      <c r="B78" s="194"/>
      <c r="C78" s="194"/>
    </row>
    <row r="79" spans="1:3">
      <c r="A79" s="19"/>
    </row>
    <row r="80" spans="1:3">
      <c r="A80" s="19"/>
    </row>
    <row r="81" spans="1:6">
      <c r="A81" s="19"/>
    </row>
    <row r="82" spans="1:6">
      <c r="A82" s="19"/>
    </row>
    <row r="83" spans="1:6">
      <c r="A83" s="76" t="s">
        <v>72</v>
      </c>
      <c r="E83" s="29"/>
      <c r="F83" s="29"/>
    </row>
    <row r="84" spans="1:6">
      <c r="B84" s="198" t="s">
        <v>17</v>
      </c>
      <c r="C84" s="198" t="s">
        <v>73</v>
      </c>
    </row>
    <row r="85" spans="1:6">
      <c r="A85" t="s">
        <v>74</v>
      </c>
      <c r="B85" s="196"/>
      <c r="C85" s="196"/>
    </row>
    <row r="86" spans="1:6">
      <c r="A86" t="s">
        <v>75</v>
      </c>
      <c r="B86" s="196"/>
      <c r="C86" s="196"/>
    </row>
    <row r="87" spans="1:6">
      <c r="A87" t="s">
        <v>76</v>
      </c>
      <c r="B87" s="196"/>
      <c r="C87" s="196"/>
    </row>
    <row r="88" spans="1:6">
      <c r="A88" t="s">
        <v>77</v>
      </c>
      <c r="B88" s="196"/>
      <c r="C88" s="196"/>
    </row>
    <row r="89" spans="1:6">
      <c r="A89" t="s">
        <v>78</v>
      </c>
      <c r="B89" s="196"/>
      <c r="C89" s="196"/>
    </row>
    <row r="90" spans="1:6">
      <c r="A90" t="s">
        <v>79</v>
      </c>
      <c r="B90" s="196"/>
      <c r="C90" s="187"/>
    </row>
    <row r="91" spans="1:6">
      <c r="A91" t="s">
        <v>80</v>
      </c>
      <c r="B91" s="196"/>
      <c r="C91" s="196"/>
    </row>
    <row r="92" spans="1:6">
      <c r="A92" t="s">
        <v>81</v>
      </c>
      <c r="B92" s="196"/>
      <c r="C92" s="196"/>
    </row>
    <row r="93" spans="1:6">
      <c r="A93" t="s">
        <v>82</v>
      </c>
      <c r="B93" s="196"/>
      <c r="C93" s="196"/>
    </row>
    <row r="94" spans="1:6">
      <c r="A94" t="s">
        <v>83</v>
      </c>
      <c r="B94" s="196"/>
      <c r="C94" s="187"/>
    </row>
    <row r="95" spans="1:6">
      <c r="A95" t="s">
        <v>84</v>
      </c>
      <c r="B95" s="196"/>
      <c r="C95" s="187"/>
    </row>
    <row r="96" spans="1:6">
      <c r="A96" t="s">
        <v>85</v>
      </c>
      <c r="B96" s="196"/>
      <c r="C96" s="18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D93A6-4392-4E48-8DBB-E5B75B3CD51C}">
  <sheetPr>
    <tabColor rgb="FF00B050"/>
  </sheetPr>
  <dimension ref="A1:AG110"/>
  <sheetViews>
    <sheetView topLeftCell="A83" workbookViewId="0">
      <selection activeCell="D5" sqref="D5"/>
    </sheetView>
  </sheetViews>
  <sheetFormatPr defaultRowHeight="15"/>
  <cols>
    <col min="1" max="1" width="66" customWidth="1"/>
    <col min="2" max="2" width="21.28515625" customWidth="1"/>
    <col min="3" max="3" width="17.28515625" customWidth="1"/>
    <col min="4" max="4" width="27.28515625" customWidth="1"/>
    <col min="5" max="5" width="23" customWidth="1"/>
    <col min="6" max="6" width="15.5703125" customWidth="1"/>
    <col min="7" max="7" width="13" customWidth="1"/>
    <col min="8" max="8" width="14" customWidth="1"/>
    <col min="9" max="9" width="15" customWidth="1"/>
    <col min="10" max="10" width="13.7109375" customWidth="1"/>
    <col min="11" max="11" width="9.85546875" bestFit="1" customWidth="1"/>
    <col min="12" max="12" width="23.5703125" customWidth="1"/>
    <col min="13" max="13" width="19.42578125" customWidth="1"/>
    <col min="14" max="14" width="14.5703125" customWidth="1"/>
    <col min="15" max="15" width="18" customWidth="1"/>
    <col min="16" max="16" width="17.140625" customWidth="1"/>
    <col min="17" max="17" width="19.140625" customWidth="1"/>
    <col min="18" max="18" width="13.85546875" customWidth="1"/>
    <col min="19" max="19" width="13.7109375" customWidth="1"/>
    <col min="20" max="20" width="14.5703125" customWidth="1"/>
    <col min="21" max="21" width="14" customWidth="1"/>
    <col min="22" max="22" width="13.42578125" customWidth="1"/>
    <col min="23" max="23" width="19.42578125" customWidth="1"/>
    <col min="24" max="24" width="13.42578125" customWidth="1"/>
    <col min="25" max="25" width="15.28515625" customWidth="1"/>
    <col min="26" max="26" width="19.5703125" customWidth="1"/>
    <col min="27" max="27" width="16.7109375" customWidth="1"/>
    <col min="28" max="28" width="17.85546875" customWidth="1"/>
    <col min="29" max="29" width="23" customWidth="1"/>
    <col min="31" max="31" width="15.85546875" customWidth="1"/>
    <col min="32" max="33" width="16" customWidth="1"/>
    <col min="34" max="34" width="9.28515625" bestFit="1" customWidth="1"/>
  </cols>
  <sheetData>
    <row r="1" spans="1:28">
      <c r="A1" s="67" t="s">
        <v>86</v>
      </c>
      <c r="B1" s="2"/>
      <c r="C1" s="2"/>
      <c r="D1" s="2"/>
    </row>
    <row r="2" spans="1:28">
      <c r="A2" s="1" t="s">
        <v>87</v>
      </c>
      <c r="B2" s="195" t="s">
        <v>88</v>
      </c>
      <c r="C2" s="195" t="s">
        <v>89</v>
      </c>
      <c r="D2" s="195" t="s">
        <v>90</v>
      </c>
      <c r="E2" s="195" t="s">
        <v>91</v>
      </c>
      <c r="F2" s="195" t="s">
        <v>92</v>
      </c>
    </row>
    <row r="3" spans="1:28">
      <c r="A3" s="67"/>
      <c r="B3" s="194">
        <v>450</v>
      </c>
      <c r="C3" s="194">
        <v>800</v>
      </c>
      <c r="D3" s="194">
        <v>180</v>
      </c>
      <c r="E3" s="270" t="s">
        <v>8</v>
      </c>
      <c r="F3" s="193" cm="1">
        <f t="array" ref="F3">_xlfn.IFS(E3="SI",'Obras provisionales'!K7,E3="NO",'Obras provisionales'!K7-SUM('Obras provisionales'!J74:J83))</f>
        <v>383066.40658365958</v>
      </c>
      <c r="G3" s="29"/>
    </row>
    <row r="4" spans="1:28">
      <c r="A4" s="1" t="s">
        <v>10</v>
      </c>
      <c r="B4" s="195" t="s">
        <v>93</v>
      </c>
      <c r="C4" s="195" t="s">
        <v>94</v>
      </c>
      <c r="D4" s="195" t="s">
        <v>95</v>
      </c>
      <c r="E4" s="195" t="s">
        <v>96</v>
      </c>
      <c r="F4" s="195" t="s">
        <v>92</v>
      </c>
    </row>
    <row r="5" spans="1:28">
      <c r="B5" s="194">
        <v>120</v>
      </c>
      <c r="C5" s="191">
        <v>1</v>
      </c>
      <c r="D5" s="194" t="s">
        <v>97</v>
      </c>
      <c r="E5" s="191">
        <f>IF(D5="zapatas y vigas de cimentación",IF(B5&gt;0,'Cimentación 1 piso'!N4,0),'Platea de Cimentacion'!N4)</f>
        <v>841.28128819114545</v>
      </c>
      <c r="F5" s="193">
        <f>B5*E5</f>
        <v>100953.75458293746</v>
      </c>
    </row>
    <row r="6" spans="1:28">
      <c r="B6" s="194">
        <v>80</v>
      </c>
      <c r="C6" s="191">
        <v>2</v>
      </c>
      <c r="D6" s="194" t="s">
        <v>98</v>
      </c>
      <c r="E6" s="191">
        <f>IF(D6="zapatas y vigas de cimentación",IF(B6&gt;0,'Cimentación 2 pisos '!N4,0),'Platea de Cimentacion'!N4)</f>
        <v>1672.0230163242159</v>
      </c>
      <c r="F6" s="193">
        <f>B6*E6</f>
        <v>133761.84130593727</v>
      </c>
    </row>
    <row r="7" spans="1:28">
      <c r="B7" s="194">
        <v>10</v>
      </c>
      <c r="C7" s="191">
        <v>3</v>
      </c>
      <c r="D7" s="194" t="s">
        <v>97</v>
      </c>
      <c r="E7" s="191">
        <f>IF(D7="zapatas y vigas de cimentación",IF(B7&gt;0,'Cimentación 3 pisos'!N4,0),'Platea de Cimentacion'!N4)</f>
        <v>1083.8461163927825</v>
      </c>
      <c r="F7" s="193">
        <f>B7*E7</f>
        <v>10838.461163927825</v>
      </c>
    </row>
    <row r="8" spans="1:28">
      <c r="B8" s="194">
        <v>10</v>
      </c>
      <c r="C8" s="191">
        <v>4</v>
      </c>
      <c r="D8" s="194" t="s">
        <v>97</v>
      </c>
      <c r="E8" s="191">
        <f>IF(D8="zapatas y vigas de cimentación",IF(B8&gt;0,'Cimentación 4 pisos'!N4,0),'Platea de Cimentacion'!N4)</f>
        <v>1126.3952413475306</v>
      </c>
      <c r="F8" s="193">
        <f>B8*E8</f>
        <v>11263.952413475306</v>
      </c>
    </row>
    <row r="9" spans="1:28">
      <c r="J9" s="29"/>
    </row>
    <row r="10" spans="1:28">
      <c r="A10" s="1" t="s">
        <v>99</v>
      </c>
      <c r="B10" s="195" t="s">
        <v>88</v>
      </c>
      <c r="C10" s="195"/>
      <c r="D10" s="195" t="s">
        <v>100</v>
      </c>
      <c r="E10" s="195" t="s">
        <v>96</v>
      </c>
      <c r="F10" s="195" t="s">
        <v>92</v>
      </c>
    </row>
    <row r="11" spans="1:28">
      <c r="B11" s="194">
        <v>1</v>
      </c>
      <c r="C11" s="191"/>
      <c r="D11" s="270" t="s">
        <v>8</v>
      </c>
      <c r="E11" s="191" cm="1">
        <f t="array" ref="E11">_xlfn.IFS(D11="NO",'Estructura 1'!M4,D11="SI",'Estructura 1'!M4+'Estructura 2'!M4)</f>
        <v>858.86573912465121</v>
      </c>
      <c r="F11" s="193">
        <f>B11*E11</f>
        <v>858.86573912465121</v>
      </c>
    </row>
    <row r="12" spans="1:28">
      <c r="B12" s="195" t="s">
        <v>101</v>
      </c>
      <c r="C12" s="195"/>
      <c r="D12" s="195"/>
      <c r="E12" s="195" t="s">
        <v>96</v>
      </c>
      <c r="F12" s="195" t="s">
        <v>92</v>
      </c>
      <c r="H12" s="29"/>
    </row>
    <row r="13" spans="1:28">
      <c r="B13" s="194">
        <v>1</v>
      </c>
      <c r="C13" s="191"/>
      <c r="D13" s="192"/>
      <c r="E13" s="191" cm="1">
        <f t="array" ref="E13">_xlfn.IFS(B13=0,0,B13&gt;0,Escalera!N4)</f>
        <v>601.62699272668385</v>
      </c>
      <c r="F13" s="193">
        <f t="shared" ref="F13" si="0">B13*E13</f>
        <v>601.62699272668385</v>
      </c>
      <c r="M13" s="29"/>
      <c r="N13" s="291"/>
      <c r="O13" s="292"/>
      <c r="P13" s="292"/>
      <c r="Q13" s="29"/>
      <c r="R13" s="291"/>
      <c r="S13" s="292"/>
      <c r="T13" s="29"/>
      <c r="U13" s="291"/>
      <c r="V13" s="292"/>
      <c r="W13" s="29"/>
      <c r="X13" s="291"/>
      <c r="Y13" s="292"/>
      <c r="Z13" s="29"/>
      <c r="AA13" s="291"/>
      <c r="AB13" s="292"/>
    </row>
    <row r="14" spans="1:28">
      <c r="A14" s="1" t="s">
        <v>16</v>
      </c>
      <c r="G14" s="29"/>
      <c r="M14" s="29"/>
      <c r="N14" s="291"/>
      <c r="O14" s="292"/>
      <c r="P14" s="292"/>
      <c r="Q14" s="29"/>
      <c r="R14" s="291"/>
      <c r="S14" s="292"/>
      <c r="T14" s="29"/>
      <c r="U14" s="291"/>
      <c r="V14" s="292"/>
      <c r="W14" s="29"/>
      <c r="X14" s="291"/>
      <c r="Y14" s="292"/>
      <c r="Z14" s="29"/>
      <c r="AA14" s="291"/>
      <c r="AB14" s="292"/>
    </row>
    <row r="15" spans="1:28">
      <c r="A15" s="192"/>
      <c r="B15" s="195" t="s">
        <v>17</v>
      </c>
      <c r="C15" s="228" t="s">
        <v>102</v>
      </c>
      <c r="D15" s="195" t="s">
        <v>103</v>
      </c>
      <c r="E15" s="19"/>
      <c r="F15" s="19"/>
      <c r="G15" s="19"/>
      <c r="H15" s="19"/>
      <c r="M15" s="29"/>
      <c r="N15" s="291"/>
      <c r="O15" s="292"/>
      <c r="P15" s="292"/>
      <c r="Q15" s="29"/>
      <c r="R15" s="291"/>
      <c r="S15" s="292"/>
      <c r="T15" s="29"/>
      <c r="U15" s="291"/>
      <c r="V15" s="292"/>
      <c r="W15" s="29"/>
      <c r="X15" s="291"/>
      <c r="Y15" s="292"/>
      <c r="Z15" s="29"/>
      <c r="AA15" s="291"/>
      <c r="AB15" s="292"/>
    </row>
    <row r="16" spans="1:28">
      <c r="A16" s="306" t="s">
        <v>19</v>
      </c>
      <c r="B16" s="194">
        <v>1</v>
      </c>
      <c r="C16" s="194">
        <v>120</v>
      </c>
      <c r="D16" s="191">
        <f>B16*C16</f>
        <v>120</v>
      </c>
      <c r="E16" s="19"/>
      <c r="F16" s="19"/>
      <c r="G16" s="19"/>
      <c r="H16" s="19"/>
      <c r="M16" s="29"/>
      <c r="N16" s="291"/>
      <c r="O16" s="292"/>
      <c r="P16" s="292"/>
      <c r="Q16" s="29"/>
      <c r="R16" s="291"/>
      <c r="S16" s="292"/>
      <c r="T16" s="29"/>
      <c r="U16" s="291"/>
      <c r="V16" s="292"/>
      <c r="W16" s="29"/>
      <c r="X16" s="291"/>
      <c r="Y16" s="292"/>
      <c r="Z16" s="29"/>
      <c r="AA16" s="291"/>
      <c r="AB16" s="292"/>
    </row>
    <row r="17" spans="1:32">
      <c r="A17" s="306" t="s">
        <v>20</v>
      </c>
      <c r="B17" s="194">
        <v>2</v>
      </c>
      <c r="C17" s="194">
        <v>80</v>
      </c>
      <c r="D17" s="307">
        <f>B17*C17</f>
        <v>160</v>
      </c>
      <c r="E17" s="19"/>
      <c r="G17" s="19"/>
      <c r="H17" s="19"/>
      <c r="I17" s="19"/>
      <c r="M17" s="29"/>
      <c r="N17" s="291"/>
      <c r="O17" s="292"/>
      <c r="P17" s="292"/>
      <c r="Q17" s="29"/>
      <c r="R17" s="291"/>
      <c r="S17" s="292"/>
      <c r="T17" s="29"/>
      <c r="U17" s="291"/>
      <c r="V17" s="292"/>
      <c r="W17" s="29"/>
      <c r="X17" s="291"/>
      <c r="Y17" s="292"/>
      <c r="Z17" s="29"/>
      <c r="AA17" s="291"/>
      <c r="AB17" s="292"/>
    </row>
    <row r="18" spans="1:32">
      <c r="A18" s="306" t="s">
        <v>21</v>
      </c>
      <c r="B18" s="194">
        <v>1</v>
      </c>
      <c r="C18" s="194">
        <v>10</v>
      </c>
      <c r="D18" s="307">
        <f t="shared" ref="D18:D68" si="1">B18*C18</f>
        <v>10</v>
      </c>
      <c r="E18" s="19"/>
      <c r="G18" s="19"/>
      <c r="H18" s="19"/>
      <c r="I18" s="19"/>
      <c r="M18" s="29"/>
      <c r="N18" s="291"/>
      <c r="O18" s="292"/>
      <c r="P18" s="292"/>
      <c r="Q18" s="29"/>
      <c r="R18" s="291"/>
      <c r="S18" s="292"/>
      <c r="T18" s="29"/>
      <c r="U18" s="291"/>
      <c r="V18" s="292"/>
      <c r="W18" s="29"/>
      <c r="X18" s="291"/>
      <c r="Y18" s="292"/>
      <c r="Z18" s="29"/>
      <c r="AA18" s="291"/>
      <c r="AB18" s="292"/>
    </row>
    <row r="19" spans="1:32">
      <c r="A19" s="306" t="s">
        <v>22</v>
      </c>
      <c r="B19" s="194">
        <v>1</v>
      </c>
      <c r="C19" s="194">
        <v>10</v>
      </c>
      <c r="D19" s="307">
        <f t="shared" si="1"/>
        <v>10</v>
      </c>
      <c r="E19" s="19"/>
      <c r="G19" s="19"/>
      <c r="H19" s="19"/>
      <c r="I19" s="19"/>
      <c r="M19" s="29"/>
      <c r="N19" s="291"/>
      <c r="O19" s="292"/>
      <c r="P19" s="292"/>
      <c r="Q19" s="29"/>
      <c r="R19" s="291"/>
      <c r="S19" s="292"/>
      <c r="T19" s="29"/>
      <c r="U19" s="291"/>
      <c r="V19" s="292"/>
      <c r="W19" s="29"/>
      <c r="X19" s="291"/>
      <c r="Y19" s="292"/>
      <c r="Z19" s="29"/>
      <c r="AA19" s="291"/>
      <c r="AB19" s="292"/>
    </row>
    <row r="20" spans="1:32">
      <c r="A20" s="306" t="s">
        <v>23</v>
      </c>
      <c r="B20" s="194">
        <v>1</v>
      </c>
      <c r="C20" s="194">
        <v>10</v>
      </c>
      <c r="D20" s="307">
        <f t="shared" si="1"/>
        <v>10</v>
      </c>
      <c r="E20" s="19"/>
      <c r="G20" s="19"/>
      <c r="H20" s="19"/>
      <c r="I20" s="19"/>
      <c r="M20" s="29"/>
      <c r="N20" s="291"/>
      <c r="O20" s="292"/>
      <c r="P20" s="292"/>
      <c r="Q20" s="29"/>
      <c r="R20" s="291"/>
      <c r="S20" s="292"/>
      <c r="T20" s="29"/>
      <c r="U20" s="291"/>
      <c r="V20" s="292"/>
      <c r="W20" s="29"/>
      <c r="X20" s="291"/>
      <c r="Y20" s="292"/>
      <c r="Z20" s="29"/>
      <c r="AA20" s="291"/>
      <c r="AB20" s="292"/>
    </row>
    <row r="21" spans="1:32">
      <c r="A21" s="306" t="s">
        <v>24</v>
      </c>
      <c r="B21" s="194">
        <v>1</v>
      </c>
      <c r="C21" s="194">
        <v>10</v>
      </c>
      <c r="D21" s="307">
        <f t="shared" si="1"/>
        <v>10</v>
      </c>
      <c r="E21" s="19"/>
      <c r="G21" s="19"/>
      <c r="H21" s="19"/>
      <c r="I21" s="19"/>
      <c r="M21" s="29"/>
    </row>
    <row r="22" spans="1:32">
      <c r="A22" s="306" t="s">
        <v>25</v>
      </c>
      <c r="B22" s="194">
        <v>1</v>
      </c>
      <c r="C22" s="194">
        <v>10</v>
      </c>
      <c r="D22" s="307">
        <f t="shared" si="1"/>
        <v>10</v>
      </c>
      <c r="E22" s="19"/>
      <c r="G22" s="19"/>
      <c r="H22" s="19"/>
      <c r="I22" s="19"/>
      <c r="M22" s="29"/>
    </row>
    <row r="23" spans="1:32">
      <c r="A23" s="306" t="s">
        <v>26</v>
      </c>
      <c r="B23" s="194">
        <v>1</v>
      </c>
      <c r="C23" s="194">
        <v>10</v>
      </c>
      <c r="D23" s="307">
        <f t="shared" si="1"/>
        <v>10</v>
      </c>
      <c r="E23" s="19"/>
      <c r="G23" s="19"/>
      <c r="H23" s="19"/>
      <c r="I23" s="19"/>
      <c r="M23" s="293"/>
      <c r="N23" s="293"/>
      <c r="O23" s="293"/>
      <c r="P23" s="293"/>
      <c r="Q23" s="293"/>
      <c r="R23" s="293"/>
      <c r="S23" s="293"/>
      <c r="T23" s="293"/>
      <c r="U23" s="293"/>
      <c r="V23" s="293"/>
      <c r="W23" s="293"/>
      <c r="X23" s="293"/>
      <c r="Y23" s="293"/>
    </row>
    <row r="24" spans="1:32">
      <c r="A24" s="306" t="s">
        <v>27</v>
      </c>
      <c r="B24" s="194">
        <v>1</v>
      </c>
      <c r="C24" s="194">
        <v>10</v>
      </c>
      <c r="D24" s="307">
        <f t="shared" si="1"/>
        <v>10</v>
      </c>
      <c r="E24" s="19"/>
      <c r="G24" s="19"/>
      <c r="H24" s="19"/>
      <c r="I24" s="19"/>
    </row>
    <row r="25" spans="1:32">
      <c r="A25" s="306" t="s">
        <v>28</v>
      </c>
      <c r="B25" s="194">
        <v>1</v>
      </c>
      <c r="C25" s="194">
        <v>10</v>
      </c>
      <c r="D25" s="307">
        <f t="shared" si="1"/>
        <v>10</v>
      </c>
      <c r="E25" s="19"/>
      <c r="G25" s="19"/>
      <c r="H25" s="19"/>
      <c r="I25" s="19"/>
    </row>
    <row r="26" spans="1:32">
      <c r="A26" s="306" t="s">
        <v>29</v>
      </c>
      <c r="B26" s="194">
        <v>1</v>
      </c>
      <c r="C26" s="194">
        <v>10</v>
      </c>
      <c r="D26" s="307">
        <f t="shared" si="1"/>
        <v>10</v>
      </c>
      <c r="E26" s="19"/>
      <c r="G26" s="19"/>
      <c r="H26" s="19"/>
      <c r="I26" s="19"/>
    </row>
    <row r="27" spans="1:32">
      <c r="A27" s="306" t="s">
        <v>30</v>
      </c>
      <c r="B27" s="194">
        <v>1</v>
      </c>
      <c r="C27" s="194">
        <v>10</v>
      </c>
      <c r="D27" s="307">
        <f t="shared" si="1"/>
        <v>10</v>
      </c>
      <c r="E27" s="19"/>
      <c r="G27" s="19"/>
      <c r="H27" s="19"/>
      <c r="I27" s="19"/>
      <c r="O27" s="1"/>
    </row>
    <row r="28" spans="1:32">
      <c r="A28" s="306" t="s">
        <v>31</v>
      </c>
      <c r="B28" s="194">
        <v>1</v>
      </c>
      <c r="C28" s="194">
        <v>10</v>
      </c>
      <c r="D28" s="307">
        <f t="shared" si="1"/>
        <v>10</v>
      </c>
      <c r="E28" s="19"/>
      <c r="G28" s="19"/>
      <c r="H28" s="19"/>
      <c r="I28" s="19"/>
      <c r="M28" s="29"/>
      <c r="N28" s="293"/>
      <c r="O28" s="291"/>
      <c r="P28" s="292"/>
      <c r="Q28" s="29"/>
      <c r="R28" s="293"/>
      <c r="S28" s="291"/>
      <c r="T28" s="292"/>
      <c r="U28" s="29"/>
      <c r="V28" s="293"/>
      <c r="W28" s="291"/>
      <c r="X28" s="292"/>
      <c r="Y28" s="29"/>
      <c r="Z28" s="293"/>
      <c r="AA28" s="291"/>
      <c r="AB28" s="292"/>
      <c r="AC28" s="29"/>
      <c r="AD28" s="293"/>
      <c r="AE28" s="291"/>
      <c r="AF28" s="292"/>
    </row>
    <row r="29" spans="1:32">
      <c r="A29" s="306" t="s">
        <v>32</v>
      </c>
      <c r="B29" s="194">
        <v>1</v>
      </c>
      <c r="C29" s="194">
        <v>10</v>
      </c>
      <c r="D29" s="191">
        <f t="shared" si="1"/>
        <v>10</v>
      </c>
      <c r="E29" s="19"/>
      <c r="G29" s="19"/>
      <c r="H29" s="19"/>
      <c r="I29" s="19"/>
      <c r="M29" s="29"/>
      <c r="N29" s="293"/>
      <c r="O29" s="291"/>
      <c r="P29" s="292"/>
      <c r="Q29" s="29"/>
      <c r="R29" s="293"/>
      <c r="S29" s="291"/>
      <c r="T29" s="292"/>
      <c r="U29" s="29"/>
      <c r="V29" s="293"/>
      <c r="W29" s="291"/>
      <c r="X29" s="292"/>
      <c r="Y29" s="29"/>
      <c r="Z29" s="293"/>
      <c r="AA29" s="291"/>
      <c r="AB29" s="292"/>
      <c r="AC29" s="29"/>
      <c r="AD29" s="293"/>
      <c r="AE29" s="291"/>
      <c r="AF29" s="292"/>
    </row>
    <row r="30" spans="1:32">
      <c r="A30" s="306" t="s">
        <v>33</v>
      </c>
      <c r="B30" s="194">
        <v>1</v>
      </c>
      <c r="C30" s="194">
        <v>10</v>
      </c>
      <c r="D30" s="191">
        <f t="shared" si="1"/>
        <v>10</v>
      </c>
      <c r="E30" s="19"/>
      <c r="G30" s="19"/>
      <c r="H30" s="19"/>
      <c r="I30" s="19"/>
      <c r="M30" s="29"/>
      <c r="N30" s="293"/>
      <c r="O30" s="291"/>
      <c r="P30" s="292"/>
      <c r="Q30" s="29"/>
      <c r="R30" s="293"/>
      <c r="S30" s="291"/>
      <c r="T30" s="292"/>
      <c r="U30" s="29"/>
      <c r="V30" s="293"/>
      <c r="W30" s="291"/>
      <c r="X30" s="292"/>
      <c r="Y30" s="29"/>
      <c r="Z30" s="293"/>
      <c r="AA30" s="291"/>
      <c r="AB30" s="292"/>
      <c r="AC30" s="29"/>
      <c r="AD30" s="293"/>
      <c r="AE30" s="291"/>
      <c r="AF30" s="292"/>
    </row>
    <row r="31" spans="1:32">
      <c r="A31" s="306" t="s">
        <v>34</v>
      </c>
      <c r="B31" s="194">
        <v>1</v>
      </c>
      <c r="C31" s="194">
        <v>10</v>
      </c>
      <c r="D31" s="191">
        <f t="shared" si="1"/>
        <v>10</v>
      </c>
      <c r="E31" s="19"/>
      <c r="G31" s="19"/>
      <c r="H31" s="19"/>
      <c r="I31" s="19"/>
      <c r="M31" s="29"/>
      <c r="N31" s="293"/>
      <c r="O31" s="291"/>
      <c r="P31" s="292"/>
      <c r="Q31" s="29"/>
      <c r="R31" s="293"/>
      <c r="S31" s="291"/>
      <c r="T31" s="292"/>
      <c r="U31" s="29"/>
      <c r="V31" s="293"/>
      <c r="W31" s="291"/>
      <c r="X31" s="292"/>
      <c r="Y31" s="29"/>
      <c r="Z31" s="293"/>
      <c r="AA31" s="291"/>
      <c r="AB31" s="292"/>
      <c r="AC31" s="29"/>
      <c r="AD31" s="293"/>
      <c r="AE31" s="291"/>
      <c r="AF31" s="292"/>
    </row>
    <row r="32" spans="1:32">
      <c r="A32" s="306" t="s">
        <v>35</v>
      </c>
      <c r="B32" s="194">
        <v>1</v>
      </c>
      <c r="C32" s="194">
        <v>10</v>
      </c>
      <c r="D32" s="191">
        <f t="shared" si="1"/>
        <v>10</v>
      </c>
      <c r="E32" s="19"/>
      <c r="F32" s="19"/>
      <c r="G32" s="19"/>
      <c r="H32" s="19"/>
      <c r="M32" s="29"/>
      <c r="N32" s="293"/>
      <c r="O32" s="291"/>
      <c r="P32" s="292"/>
      <c r="Q32" s="29"/>
      <c r="R32" s="293"/>
      <c r="S32" s="291"/>
      <c r="T32" s="292"/>
      <c r="U32" s="29"/>
      <c r="V32" s="293"/>
      <c r="W32" s="291"/>
      <c r="X32" s="292"/>
      <c r="Y32" s="29"/>
      <c r="Z32" s="293"/>
      <c r="AA32" s="291"/>
      <c r="AB32" s="292"/>
      <c r="AC32" s="29"/>
      <c r="AD32" s="293"/>
      <c r="AE32" s="291"/>
      <c r="AF32" s="292"/>
    </row>
    <row r="33" spans="1:32">
      <c r="A33" s="306" t="s">
        <v>36</v>
      </c>
      <c r="B33" s="194">
        <v>1</v>
      </c>
      <c r="C33" s="194">
        <v>10</v>
      </c>
      <c r="D33" s="191">
        <f t="shared" si="1"/>
        <v>10</v>
      </c>
      <c r="E33" s="19"/>
      <c r="F33" s="19"/>
      <c r="G33" s="19"/>
      <c r="H33" s="19"/>
      <c r="M33" s="29"/>
      <c r="N33" s="293"/>
      <c r="O33" s="291"/>
      <c r="P33" s="292"/>
      <c r="Q33" s="29"/>
      <c r="R33" s="293"/>
      <c r="S33" s="291"/>
      <c r="T33" s="292"/>
      <c r="U33" s="29"/>
      <c r="V33" s="293"/>
      <c r="W33" s="291"/>
      <c r="X33" s="292"/>
      <c r="Y33" s="29"/>
      <c r="Z33" s="293"/>
      <c r="AA33" s="291"/>
      <c r="AB33" s="292"/>
      <c r="AC33" s="29"/>
      <c r="AD33" s="293"/>
      <c r="AE33" s="291"/>
      <c r="AF33" s="292"/>
    </row>
    <row r="34" spans="1:32">
      <c r="A34" s="306" t="s">
        <v>37</v>
      </c>
      <c r="B34" s="194">
        <v>1</v>
      </c>
      <c r="C34" s="194">
        <v>10</v>
      </c>
      <c r="D34" s="191">
        <f t="shared" si="1"/>
        <v>10</v>
      </c>
      <c r="E34" s="19"/>
      <c r="F34" s="19"/>
      <c r="G34" s="19"/>
      <c r="H34" s="19"/>
      <c r="M34" s="29"/>
      <c r="N34" s="293"/>
      <c r="O34" s="291"/>
      <c r="P34" s="292"/>
      <c r="Q34" s="29"/>
      <c r="R34" s="293"/>
      <c r="S34" s="291"/>
      <c r="T34" s="292"/>
      <c r="U34" s="29"/>
      <c r="V34" s="293"/>
      <c r="W34" s="291"/>
      <c r="X34" s="292"/>
      <c r="Y34" s="29"/>
      <c r="Z34" s="293"/>
      <c r="AA34" s="291"/>
      <c r="AB34" s="292"/>
      <c r="AC34" s="29"/>
      <c r="AD34" s="293"/>
      <c r="AE34" s="291"/>
      <c r="AF34" s="292"/>
    </row>
    <row r="35" spans="1:32">
      <c r="A35" s="306" t="s">
        <v>38</v>
      </c>
      <c r="B35" s="194">
        <v>1</v>
      </c>
      <c r="C35" s="194">
        <v>10</v>
      </c>
      <c r="D35" s="191">
        <f t="shared" si="1"/>
        <v>10</v>
      </c>
      <c r="E35" s="19"/>
      <c r="F35" s="19"/>
      <c r="G35" s="19"/>
      <c r="H35" s="19"/>
      <c r="M35" s="29"/>
      <c r="N35" s="293"/>
      <c r="O35" s="291"/>
      <c r="P35" s="292"/>
      <c r="Q35" s="29"/>
      <c r="R35" s="293"/>
      <c r="S35" s="291"/>
      <c r="T35" s="292"/>
      <c r="U35" s="29"/>
      <c r="V35" s="293"/>
      <c r="W35" s="291"/>
      <c r="X35" s="292"/>
      <c r="Y35" s="29"/>
      <c r="Z35" s="293"/>
      <c r="AA35" s="291"/>
      <c r="AB35" s="292"/>
      <c r="AC35" s="29"/>
      <c r="AD35" s="293"/>
      <c r="AE35" s="291"/>
      <c r="AF35" s="292"/>
    </row>
    <row r="36" spans="1:32">
      <c r="A36" s="306" t="s">
        <v>39</v>
      </c>
      <c r="B36" s="194">
        <v>1</v>
      </c>
      <c r="C36" s="194">
        <v>10</v>
      </c>
      <c r="D36" s="191">
        <f t="shared" si="1"/>
        <v>10</v>
      </c>
      <c r="E36" s="19"/>
      <c r="F36" s="19"/>
      <c r="G36" s="19"/>
      <c r="H36" s="19"/>
      <c r="M36" s="29"/>
      <c r="N36" s="293"/>
      <c r="O36" s="29"/>
      <c r="P36" s="292"/>
      <c r="Q36" s="29"/>
      <c r="R36" s="293"/>
      <c r="S36" s="29"/>
      <c r="T36" s="292"/>
      <c r="U36" s="29"/>
      <c r="V36" s="293"/>
      <c r="W36" s="29"/>
      <c r="X36" s="292"/>
      <c r="Y36" s="29"/>
      <c r="Z36" s="293"/>
      <c r="AA36" s="29"/>
      <c r="AB36" s="292"/>
      <c r="AC36" s="29"/>
      <c r="AD36" s="292"/>
      <c r="AE36" s="291"/>
      <c r="AF36" s="292"/>
    </row>
    <row r="37" spans="1:32">
      <c r="A37" s="306" t="s">
        <v>40</v>
      </c>
      <c r="B37" s="194">
        <v>1</v>
      </c>
      <c r="C37" s="194">
        <v>10</v>
      </c>
      <c r="D37" s="191">
        <f t="shared" si="1"/>
        <v>10</v>
      </c>
      <c r="E37" s="19"/>
      <c r="F37" s="19"/>
      <c r="G37" s="19"/>
      <c r="H37" s="19"/>
      <c r="M37" s="29"/>
      <c r="N37" s="293"/>
      <c r="O37" s="29"/>
      <c r="P37" s="292"/>
      <c r="Q37" s="29"/>
      <c r="R37" s="293"/>
      <c r="S37" s="29"/>
      <c r="T37" s="292"/>
      <c r="U37" s="29"/>
      <c r="V37" s="293"/>
      <c r="W37" s="29"/>
      <c r="X37" s="292"/>
      <c r="Y37" s="29"/>
      <c r="Z37" s="293"/>
      <c r="AA37" s="29"/>
      <c r="AB37" s="292"/>
      <c r="AC37" s="29"/>
      <c r="AD37" s="292"/>
      <c r="AE37" s="291"/>
      <c r="AF37" s="292"/>
    </row>
    <row r="38" spans="1:32">
      <c r="A38" s="306" t="s">
        <v>41</v>
      </c>
      <c r="B38" s="194">
        <v>1</v>
      </c>
      <c r="C38" s="194">
        <v>10</v>
      </c>
      <c r="D38" s="191">
        <f t="shared" si="1"/>
        <v>10</v>
      </c>
      <c r="E38" s="19"/>
      <c r="F38" s="19"/>
      <c r="M38" s="29"/>
    </row>
    <row r="39" spans="1:32">
      <c r="A39" s="306" t="s">
        <v>42</v>
      </c>
      <c r="B39" s="194">
        <v>1</v>
      </c>
      <c r="C39" s="194">
        <v>10</v>
      </c>
      <c r="D39" s="191">
        <f t="shared" si="1"/>
        <v>10</v>
      </c>
      <c r="E39" s="19"/>
      <c r="F39" s="19"/>
      <c r="M39" s="29"/>
    </row>
    <row r="40" spans="1:32">
      <c r="A40" s="306" t="s">
        <v>43</v>
      </c>
      <c r="B40" s="194">
        <v>1</v>
      </c>
      <c r="C40" s="194">
        <v>10</v>
      </c>
      <c r="D40" s="191">
        <f t="shared" si="1"/>
        <v>10</v>
      </c>
      <c r="E40" s="19"/>
      <c r="F40" s="19"/>
      <c r="M40" s="29"/>
    </row>
    <row r="41" spans="1:32">
      <c r="A41" s="306" t="s">
        <v>44</v>
      </c>
      <c r="B41" s="194">
        <v>1</v>
      </c>
      <c r="C41" s="194">
        <v>10</v>
      </c>
      <c r="D41" s="191">
        <f t="shared" si="1"/>
        <v>10</v>
      </c>
      <c r="E41" s="19"/>
      <c r="F41" s="19"/>
      <c r="M41" s="29"/>
    </row>
    <row r="42" spans="1:32">
      <c r="A42" s="306" t="s">
        <v>45</v>
      </c>
      <c r="B42" s="194">
        <v>1</v>
      </c>
      <c r="C42" s="194">
        <v>10</v>
      </c>
      <c r="D42" s="191">
        <f t="shared" si="1"/>
        <v>10</v>
      </c>
      <c r="E42" s="19"/>
      <c r="F42" s="19"/>
      <c r="M42" s="29"/>
    </row>
    <row r="43" spans="1:32">
      <c r="A43" s="306" t="s">
        <v>46</v>
      </c>
      <c r="B43" s="194">
        <v>1</v>
      </c>
      <c r="C43" s="194">
        <v>10</v>
      </c>
      <c r="D43" s="191">
        <f t="shared" si="1"/>
        <v>10</v>
      </c>
      <c r="E43" s="19"/>
      <c r="F43" s="19"/>
      <c r="M43" s="29"/>
    </row>
    <row r="44" spans="1:32">
      <c r="A44" s="306" t="s">
        <v>47</v>
      </c>
      <c r="B44" s="194">
        <v>1</v>
      </c>
      <c r="C44" s="194">
        <v>10</v>
      </c>
      <c r="D44" s="191">
        <f t="shared" si="1"/>
        <v>10</v>
      </c>
      <c r="E44" s="19"/>
      <c r="F44" s="19"/>
    </row>
    <row r="45" spans="1:32">
      <c r="A45" s="306" t="s">
        <v>48</v>
      </c>
      <c r="B45" s="194">
        <v>1</v>
      </c>
      <c r="C45" s="194">
        <v>10</v>
      </c>
      <c r="D45" s="191">
        <f>B45*C45</f>
        <v>10</v>
      </c>
      <c r="E45" s="19"/>
      <c r="F45" s="19"/>
    </row>
    <row r="46" spans="1:32">
      <c r="A46" s="306" t="s">
        <v>49</v>
      </c>
      <c r="B46" s="194">
        <v>1</v>
      </c>
      <c r="C46" s="194">
        <v>10</v>
      </c>
      <c r="D46" s="191">
        <f t="shared" si="1"/>
        <v>10</v>
      </c>
      <c r="E46" s="19"/>
      <c r="F46" s="19"/>
    </row>
    <row r="47" spans="1:32">
      <c r="A47" s="306" t="s">
        <v>50</v>
      </c>
      <c r="B47" s="194">
        <v>1</v>
      </c>
      <c r="C47" s="194">
        <v>10</v>
      </c>
      <c r="D47" s="191">
        <f t="shared" si="1"/>
        <v>10</v>
      </c>
      <c r="E47" s="19"/>
      <c r="F47" s="19"/>
    </row>
    <row r="48" spans="1:32">
      <c r="A48" s="306" t="s">
        <v>51</v>
      </c>
      <c r="B48" s="194">
        <v>1</v>
      </c>
      <c r="C48" s="194">
        <v>10</v>
      </c>
      <c r="D48" s="191">
        <f t="shared" si="1"/>
        <v>10</v>
      </c>
      <c r="E48" s="19"/>
      <c r="F48" s="19"/>
    </row>
    <row r="49" spans="1:18">
      <c r="A49" s="306" t="s">
        <v>52</v>
      </c>
      <c r="B49" s="194">
        <v>1</v>
      </c>
      <c r="C49" s="194">
        <v>10</v>
      </c>
      <c r="D49" s="191">
        <f t="shared" si="1"/>
        <v>10</v>
      </c>
      <c r="E49" s="19"/>
      <c r="F49" s="19"/>
    </row>
    <row r="50" spans="1:18">
      <c r="A50" s="306" t="s">
        <v>53</v>
      </c>
      <c r="B50" s="194">
        <v>1</v>
      </c>
      <c r="C50" s="194">
        <v>10</v>
      </c>
      <c r="D50" s="191">
        <f t="shared" si="1"/>
        <v>10</v>
      </c>
      <c r="E50" s="19"/>
      <c r="F50" s="19"/>
    </row>
    <row r="51" spans="1:18">
      <c r="A51" s="306" t="s">
        <v>54</v>
      </c>
      <c r="B51" s="194">
        <v>1</v>
      </c>
      <c r="C51" s="194">
        <v>10</v>
      </c>
      <c r="D51" s="191">
        <f t="shared" si="1"/>
        <v>10</v>
      </c>
      <c r="E51" s="19"/>
      <c r="F51" s="19"/>
    </row>
    <row r="52" spans="1:18">
      <c r="A52" s="306" t="s">
        <v>55</v>
      </c>
      <c r="B52" s="194">
        <v>1</v>
      </c>
      <c r="C52" s="194">
        <v>10</v>
      </c>
      <c r="D52" s="191">
        <f t="shared" si="1"/>
        <v>10</v>
      </c>
      <c r="E52" s="19"/>
      <c r="F52" s="19"/>
      <c r="R52" s="29"/>
    </row>
    <row r="53" spans="1:18">
      <c r="A53" s="306" t="s">
        <v>56</v>
      </c>
      <c r="B53" s="194">
        <v>1</v>
      </c>
      <c r="C53" s="194">
        <v>10</v>
      </c>
      <c r="D53" s="191">
        <f t="shared" si="1"/>
        <v>10</v>
      </c>
      <c r="E53" s="19"/>
      <c r="F53" s="19"/>
      <c r="R53" s="29"/>
    </row>
    <row r="54" spans="1:18">
      <c r="A54" s="306" t="s">
        <v>57</v>
      </c>
      <c r="B54" s="194">
        <v>1</v>
      </c>
      <c r="C54" s="194">
        <v>10</v>
      </c>
      <c r="D54" s="191">
        <f t="shared" si="1"/>
        <v>10</v>
      </c>
      <c r="E54" s="19"/>
      <c r="F54" s="19"/>
      <c r="R54" s="29"/>
    </row>
    <row r="55" spans="1:18">
      <c r="A55" s="306" t="s">
        <v>58</v>
      </c>
      <c r="B55" s="194">
        <v>1</v>
      </c>
      <c r="C55" s="194">
        <v>10</v>
      </c>
      <c r="D55" s="191">
        <f t="shared" si="1"/>
        <v>10</v>
      </c>
      <c r="E55" s="19"/>
      <c r="F55" s="19"/>
      <c r="R55" s="29"/>
    </row>
    <row r="56" spans="1:18">
      <c r="A56" s="306" t="s">
        <v>59</v>
      </c>
      <c r="B56" s="194">
        <v>1</v>
      </c>
      <c r="C56" s="194">
        <v>10</v>
      </c>
      <c r="D56" s="191">
        <f t="shared" si="1"/>
        <v>10</v>
      </c>
      <c r="E56" s="19"/>
      <c r="F56" s="19"/>
      <c r="R56" s="29"/>
    </row>
    <row r="57" spans="1:18">
      <c r="A57" s="306" t="s">
        <v>60</v>
      </c>
      <c r="B57" s="194">
        <v>1</v>
      </c>
      <c r="C57" s="194">
        <v>10</v>
      </c>
      <c r="D57" s="191">
        <f t="shared" si="1"/>
        <v>10</v>
      </c>
      <c r="E57" s="19"/>
      <c r="F57" s="19"/>
      <c r="R57" s="29"/>
    </row>
    <row r="58" spans="1:18">
      <c r="A58" s="306" t="s">
        <v>61</v>
      </c>
      <c r="B58" s="194">
        <v>1</v>
      </c>
      <c r="C58" s="194">
        <v>10</v>
      </c>
      <c r="D58" s="191">
        <f t="shared" si="1"/>
        <v>10</v>
      </c>
      <c r="E58" s="19"/>
      <c r="F58" s="19"/>
      <c r="R58" s="29"/>
    </row>
    <row r="59" spans="1:18">
      <c r="A59" s="306" t="s">
        <v>62</v>
      </c>
      <c r="B59" s="194">
        <v>1</v>
      </c>
      <c r="C59" s="194">
        <v>10</v>
      </c>
      <c r="D59" s="191">
        <f t="shared" si="1"/>
        <v>10</v>
      </c>
      <c r="E59" s="19"/>
      <c r="F59" s="19"/>
      <c r="R59" s="29"/>
    </row>
    <row r="60" spans="1:18">
      <c r="A60" s="306" t="s">
        <v>63</v>
      </c>
      <c r="B60" s="194">
        <v>1</v>
      </c>
      <c r="C60" s="194">
        <v>10</v>
      </c>
      <c r="D60" s="191">
        <f t="shared" si="1"/>
        <v>10</v>
      </c>
      <c r="E60" s="19"/>
      <c r="F60" s="19"/>
      <c r="G60" s="19"/>
      <c r="H60" s="19"/>
      <c r="R60" s="29"/>
    </row>
    <row r="61" spans="1:18">
      <c r="A61" s="306" t="s">
        <v>64</v>
      </c>
      <c r="B61" s="194">
        <v>1</v>
      </c>
      <c r="C61" s="194">
        <v>10</v>
      </c>
      <c r="D61" s="191">
        <f t="shared" si="1"/>
        <v>10</v>
      </c>
      <c r="E61" s="19"/>
      <c r="F61" s="19"/>
      <c r="G61" s="19"/>
      <c r="H61" s="19"/>
      <c r="R61" s="29"/>
    </row>
    <row r="62" spans="1:18">
      <c r="A62" s="306" t="s">
        <v>65</v>
      </c>
      <c r="B62" s="194">
        <v>1</v>
      </c>
      <c r="C62" s="194">
        <v>10</v>
      </c>
      <c r="D62" s="191">
        <f t="shared" si="1"/>
        <v>10</v>
      </c>
      <c r="E62" s="19"/>
      <c r="F62" s="19"/>
      <c r="G62" s="19"/>
      <c r="H62" s="19"/>
    </row>
    <row r="63" spans="1:18">
      <c r="A63" s="306" t="s">
        <v>66</v>
      </c>
      <c r="B63" s="194">
        <v>1</v>
      </c>
      <c r="C63" s="194">
        <v>10</v>
      </c>
      <c r="D63" s="191">
        <f t="shared" si="1"/>
        <v>10</v>
      </c>
      <c r="E63" s="19"/>
      <c r="F63" s="19"/>
      <c r="G63" s="19"/>
      <c r="H63" s="19"/>
    </row>
    <row r="64" spans="1:18">
      <c r="A64" s="306" t="s">
        <v>67</v>
      </c>
      <c r="B64" s="194">
        <v>1</v>
      </c>
      <c r="C64" s="194">
        <v>10</v>
      </c>
      <c r="D64" s="191">
        <f t="shared" si="1"/>
        <v>10</v>
      </c>
      <c r="E64" s="19"/>
      <c r="F64" s="19"/>
      <c r="G64" s="19"/>
      <c r="H64" s="19"/>
    </row>
    <row r="65" spans="1:28">
      <c r="A65" s="306" t="s">
        <v>68</v>
      </c>
      <c r="B65" s="194">
        <v>1</v>
      </c>
      <c r="C65" s="194">
        <v>10</v>
      </c>
      <c r="D65" s="191">
        <f t="shared" si="1"/>
        <v>10</v>
      </c>
      <c r="E65" s="19"/>
      <c r="F65" s="19"/>
      <c r="G65" s="19"/>
      <c r="H65" s="19"/>
    </row>
    <row r="66" spans="1:28">
      <c r="A66" s="306" t="s">
        <v>69</v>
      </c>
      <c r="B66" s="194">
        <v>1</v>
      </c>
      <c r="C66" s="194">
        <v>10</v>
      </c>
      <c r="D66" s="191">
        <f t="shared" si="1"/>
        <v>10</v>
      </c>
      <c r="E66" s="19"/>
      <c r="F66" s="19"/>
      <c r="G66" s="19"/>
      <c r="H66" s="19"/>
    </row>
    <row r="67" spans="1:28">
      <c r="A67" s="306" t="s">
        <v>70</v>
      </c>
      <c r="B67" s="194">
        <v>1</v>
      </c>
      <c r="C67" s="194">
        <v>10</v>
      </c>
      <c r="D67" s="191">
        <f t="shared" si="1"/>
        <v>10</v>
      </c>
      <c r="E67" s="19"/>
      <c r="F67" s="19"/>
      <c r="G67" s="19"/>
      <c r="H67" s="19"/>
    </row>
    <row r="68" spans="1:28">
      <c r="A68" s="306" t="s">
        <v>71</v>
      </c>
      <c r="B68" s="194">
        <v>1</v>
      </c>
      <c r="C68" s="194">
        <v>10</v>
      </c>
      <c r="D68" s="191">
        <f t="shared" si="1"/>
        <v>10</v>
      </c>
      <c r="E68" s="19"/>
      <c r="F68" s="19"/>
      <c r="G68" s="19"/>
      <c r="H68" s="19"/>
    </row>
    <row r="69" spans="1:28">
      <c r="A69" s="191" t="s">
        <v>104</v>
      </c>
      <c r="B69" s="191">
        <f>SUM(B16:B68)</f>
        <v>54</v>
      </c>
      <c r="D69" s="29"/>
      <c r="E69" s="29"/>
      <c r="F69" s="29"/>
      <c r="G69" s="29"/>
      <c r="H69" s="29"/>
      <c r="N69" s="1"/>
    </row>
    <row r="70" spans="1:28">
      <c r="E70" s="29"/>
      <c r="F70" s="29"/>
      <c r="G70" s="29"/>
      <c r="H70" s="29"/>
      <c r="M70" s="29"/>
      <c r="N70" s="291"/>
      <c r="O70" s="292"/>
      <c r="P70" s="29"/>
      <c r="Q70" s="291"/>
      <c r="R70" s="292"/>
      <c r="S70" s="29"/>
      <c r="T70" s="291"/>
      <c r="U70" s="292"/>
      <c r="V70" s="29"/>
      <c r="W70" s="294"/>
      <c r="X70" s="292"/>
      <c r="Y70" s="29"/>
      <c r="Z70" s="291"/>
      <c r="AA70" s="292"/>
    </row>
    <row r="71" spans="1:28">
      <c r="A71" s="1" t="s">
        <v>72</v>
      </c>
      <c r="B71" s="198" t="s">
        <v>17</v>
      </c>
      <c r="C71" s="198" t="s">
        <v>73</v>
      </c>
      <c r="D71" s="198" t="s">
        <v>105</v>
      </c>
      <c r="E71" s="198" t="s">
        <v>106</v>
      </c>
      <c r="M71" s="29"/>
      <c r="N71" s="291"/>
      <c r="O71" s="292"/>
      <c r="P71" s="29"/>
      <c r="Q71" s="291"/>
      <c r="R71" s="292"/>
      <c r="S71" s="29"/>
      <c r="T71" s="291"/>
      <c r="U71" s="292"/>
      <c r="V71" s="29"/>
      <c r="W71" s="294"/>
      <c r="X71" s="292"/>
      <c r="Y71" s="29"/>
      <c r="Z71" s="291"/>
      <c r="AA71" s="292"/>
    </row>
    <row r="72" spans="1:28">
      <c r="A72" t="s">
        <v>74</v>
      </c>
      <c r="B72" s="196">
        <v>1</v>
      </c>
      <c r="C72" s="196">
        <v>300</v>
      </c>
      <c r="D72" s="187"/>
      <c r="E72" s="229">
        <f>B72*C72</f>
        <v>300</v>
      </c>
      <c r="M72" s="29"/>
      <c r="N72" s="291"/>
      <c r="O72" s="292"/>
      <c r="P72" s="29"/>
      <c r="Q72" s="291"/>
      <c r="R72" s="292"/>
      <c r="S72" s="29"/>
      <c r="T72" s="291"/>
      <c r="U72" s="292"/>
      <c r="V72" s="29"/>
      <c r="W72" s="294"/>
      <c r="X72" s="292"/>
      <c r="Y72" s="29"/>
      <c r="Z72" s="291"/>
      <c r="AA72" s="292"/>
      <c r="AB72" s="29"/>
    </row>
    <row r="73" spans="1:28">
      <c r="A73" t="s">
        <v>75</v>
      </c>
      <c r="B73" s="196">
        <v>1</v>
      </c>
      <c r="C73" s="196">
        <v>10</v>
      </c>
      <c r="D73" s="187"/>
      <c r="E73" s="229">
        <f>B73*C73</f>
        <v>10</v>
      </c>
      <c r="M73" s="29"/>
      <c r="N73" s="291"/>
      <c r="O73" s="292"/>
      <c r="P73" s="29"/>
      <c r="Q73" s="291"/>
      <c r="R73" s="292"/>
      <c r="S73" s="29"/>
      <c r="T73" s="291"/>
      <c r="U73" s="292"/>
      <c r="V73" s="29"/>
      <c r="W73" s="294"/>
      <c r="X73" s="292"/>
      <c r="Y73" s="29"/>
      <c r="Z73" s="291"/>
      <c r="AA73" s="292"/>
    </row>
    <row r="74" spans="1:28">
      <c r="A74" t="s">
        <v>107</v>
      </c>
      <c r="B74" s="196">
        <v>1</v>
      </c>
      <c r="C74" s="196">
        <v>10</v>
      </c>
      <c r="D74" s="187"/>
      <c r="E74" s="229">
        <f>B74*C74</f>
        <v>10</v>
      </c>
      <c r="M74" s="29"/>
      <c r="N74" s="291"/>
      <c r="O74" s="292"/>
      <c r="P74" s="29"/>
      <c r="Q74" s="291"/>
      <c r="R74" s="292"/>
      <c r="S74" s="29"/>
      <c r="T74" s="291"/>
      <c r="U74" s="292"/>
      <c r="V74" s="29"/>
      <c r="W74" s="294"/>
      <c r="X74" s="292"/>
      <c r="Y74" s="29"/>
      <c r="Z74" s="291"/>
      <c r="AA74" s="292"/>
    </row>
    <row r="75" spans="1:28">
      <c r="A75" t="s">
        <v>108</v>
      </c>
      <c r="B75" s="196">
        <v>1</v>
      </c>
      <c r="C75" s="196">
        <v>10</v>
      </c>
      <c r="D75" s="187"/>
      <c r="E75" s="229">
        <f>B75*C75</f>
        <v>10</v>
      </c>
      <c r="M75" s="29"/>
      <c r="N75" s="291"/>
      <c r="O75" s="292"/>
      <c r="P75" s="29"/>
      <c r="Q75" s="291"/>
      <c r="R75" s="292"/>
      <c r="S75" s="29"/>
      <c r="T75" s="291"/>
      <c r="U75" s="292"/>
      <c r="V75" s="29"/>
      <c r="W75" s="294"/>
      <c r="X75" s="292"/>
      <c r="Y75" s="29"/>
      <c r="Z75" s="291"/>
      <c r="AA75" s="292"/>
    </row>
    <row r="76" spans="1:28">
      <c r="A76" t="s">
        <v>109</v>
      </c>
      <c r="B76" s="196">
        <v>1</v>
      </c>
      <c r="C76" s="196">
        <v>10</v>
      </c>
      <c r="D76" s="187"/>
      <c r="E76" s="229">
        <f>B76*C76</f>
        <v>10</v>
      </c>
      <c r="M76" s="29"/>
      <c r="N76" s="28"/>
      <c r="O76" s="292"/>
      <c r="P76" s="29"/>
      <c r="Q76" s="291"/>
      <c r="R76" s="292"/>
      <c r="S76" s="29"/>
      <c r="T76" s="291"/>
      <c r="U76" s="292"/>
      <c r="V76" s="29"/>
      <c r="W76" s="291"/>
      <c r="X76" s="292"/>
      <c r="Y76" s="29"/>
      <c r="Z76" s="291"/>
      <c r="AA76" s="292"/>
      <c r="AB76" s="291"/>
    </row>
    <row r="77" spans="1:28">
      <c r="A77" t="s">
        <v>79</v>
      </c>
      <c r="B77" s="196">
        <v>1</v>
      </c>
      <c r="C77" s="187"/>
      <c r="D77" s="187"/>
      <c r="E77" s="229">
        <f>B77</f>
        <v>1</v>
      </c>
      <c r="M77" s="29"/>
      <c r="N77" s="294"/>
      <c r="O77" s="292"/>
      <c r="P77" s="29"/>
      <c r="Q77" s="291"/>
      <c r="R77" s="292"/>
      <c r="S77" s="29"/>
      <c r="T77" s="294"/>
      <c r="U77" s="292"/>
      <c r="V77" s="29"/>
      <c r="W77" s="294"/>
      <c r="X77" s="292"/>
      <c r="Y77" s="29"/>
      <c r="Z77" s="294"/>
      <c r="AA77" s="292"/>
      <c r="AB77" s="291"/>
    </row>
    <row r="78" spans="1:28">
      <c r="A78" t="s">
        <v>80</v>
      </c>
      <c r="B78" s="196">
        <v>1</v>
      </c>
      <c r="C78" s="196">
        <v>10</v>
      </c>
      <c r="D78" s="187"/>
      <c r="E78" s="229">
        <f>B78*C78</f>
        <v>10</v>
      </c>
    </row>
    <row r="79" spans="1:28">
      <c r="A79" t="s">
        <v>81</v>
      </c>
      <c r="B79" s="196">
        <v>1</v>
      </c>
      <c r="C79" s="196">
        <v>10</v>
      </c>
      <c r="D79" s="187"/>
      <c r="E79" s="229">
        <f>B79*C79</f>
        <v>10</v>
      </c>
    </row>
    <row r="80" spans="1:28">
      <c r="A80" t="s">
        <v>82</v>
      </c>
      <c r="B80" s="196">
        <v>1</v>
      </c>
      <c r="C80" s="196">
        <v>10</v>
      </c>
      <c r="D80" s="187"/>
      <c r="E80" s="229">
        <f>B80*C80</f>
        <v>10</v>
      </c>
      <c r="N80" s="1"/>
    </row>
    <row r="81" spans="1:31">
      <c r="A81" t="s">
        <v>83</v>
      </c>
      <c r="B81" s="196">
        <v>1</v>
      </c>
      <c r="C81" s="187"/>
      <c r="D81" s="187"/>
      <c r="E81" s="229">
        <f>B81</f>
        <v>1</v>
      </c>
      <c r="M81" s="29"/>
      <c r="N81" s="294"/>
      <c r="O81" s="292"/>
      <c r="P81" s="29"/>
      <c r="Q81" s="291"/>
      <c r="R81" s="292"/>
      <c r="S81" s="29"/>
      <c r="T81" s="294"/>
      <c r="U81" s="292"/>
      <c r="V81" s="29"/>
      <c r="W81" s="294"/>
      <c r="X81" s="292"/>
      <c r="Y81" s="29"/>
      <c r="Z81" s="291"/>
      <c r="AA81" s="292"/>
      <c r="AE81" s="291"/>
    </row>
    <row r="82" spans="1:31">
      <c r="A82" t="s">
        <v>110</v>
      </c>
      <c r="B82" s="196">
        <v>1</v>
      </c>
      <c r="C82" s="187"/>
      <c r="D82" s="196">
        <v>10</v>
      </c>
      <c r="E82">
        <f>B82*D82</f>
        <v>10</v>
      </c>
      <c r="M82" s="29"/>
      <c r="N82" s="294"/>
      <c r="O82" s="292"/>
      <c r="P82" s="29"/>
      <c r="Q82" s="291"/>
      <c r="R82" s="292"/>
      <c r="S82" s="29"/>
      <c r="T82" s="294"/>
      <c r="U82" s="292"/>
      <c r="V82" s="29"/>
      <c r="W82" s="294"/>
      <c r="X82" s="292"/>
      <c r="Y82" s="29"/>
      <c r="Z82" s="291"/>
      <c r="AA82" s="292"/>
      <c r="AE82" s="291"/>
    </row>
    <row r="83" spans="1:31">
      <c r="A83" t="s">
        <v>111</v>
      </c>
      <c r="B83" s="196">
        <v>1</v>
      </c>
      <c r="C83" s="187"/>
      <c r="D83" s="187"/>
      <c r="E83" s="229">
        <f>B83</f>
        <v>1</v>
      </c>
      <c r="M83" s="29"/>
      <c r="N83" s="294"/>
      <c r="O83" s="292"/>
      <c r="P83" s="29"/>
      <c r="Q83" s="291"/>
      <c r="R83" s="292"/>
      <c r="S83" s="29"/>
      <c r="T83" s="294"/>
      <c r="U83" s="292"/>
      <c r="V83" s="29"/>
      <c r="W83" s="294"/>
      <c r="X83" s="292"/>
      <c r="Y83" s="29"/>
      <c r="Z83" s="291"/>
      <c r="AA83" s="292"/>
      <c r="AB83" s="29"/>
      <c r="AE83" s="291"/>
    </row>
    <row r="84" spans="1:31">
      <c r="B84" s="196">
        <v>1</v>
      </c>
      <c r="C84" s="196">
        <v>10</v>
      </c>
      <c r="M84" s="29"/>
      <c r="N84" s="294"/>
      <c r="O84" s="292"/>
      <c r="P84" s="29"/>
      <c r="Q84" s="291"/>
      <c r="R84" s="292"/>
      <c r="S84" s="29"/>
      <c r="T84" s="294"/>
      <c r="U84" s="292"/>
      <c r="V84" s="29"/>
      <c r="W84" s="294"/>
      <c r="X84" s="292"/>
      <c r="Y84" s="29"/>
      <c r="Z84" s="291"/>
      <c r="AA84" s="292"/>
      <c r="AE84" s="291"/>
    </row>
    <row r="85" spans="1:31">
      <c r="A85" s="1" t="s">
        <v>112</v>
      </c>
      <c r="B85" s="220" t="s">
        <v>17</v>
      </c>
      <c r="C85" s="220" t="s">
        <v>92</v>
      </c>
      <c r="D85" s="12"/>
      <c r="E85" s="12"/>
      <c r="M85" s="29"/>
      <c r="N85" s="294"/>
      <c r="O85" s="292"/>
      <c r="P85" s="29"/>
      <c r="Q85" s="291"/>
      <c r="R85" s="292"/>
      <c r="S85" s="29"/>
      <c r="T85" s="294"/>
      <c r="U85" s="292"/>
      <c r="V85" s="29"/>
      <c r="W85" s="294"/>
      <c r="X85" s="292"/>
      <c r="Y85" s="29"/>
      <c r="Z85" s="291"/>
      <c r="AA85" s="292"/>
      <c r="AE85" s="291"/>
    </row>
    <row r="86" spans="1:31">
      <c r="A86" t="s">
        <v>113</v>
      </c>
      <c r="B86" s="187">
        <v>1</v>
      </c>
      <c r="C86" s="271">
        <f>'Obras exteriores '!E72</f>
        <v>4301.1000000000004</v>
      </c>
      <c r="D86" s="12"/>
      <c r="E86" s="12"/>
      <c r="M86" s="29"/>
      <c r="N86" s="294"/>
      <c r="O86" s="292"/>
      <c r="P86" s="29"/>
      <c r="Q86" s="291"/>
      <c r="R86" s="292"/>
      <c r="S86" s="29"/>
      <c r="T86" s="294"/>
      <c r="U86" s="292"/>
      <c r="V86" s="29"/>
      <c r="W86" s="294"/>
      <c r="X86" s="292"/>
      <c r="Y86" s="29"/>
      <c r="Z86" s="291"/>
      <c r="AA86" s="292"/>
      <c r="AE86" s="291"/>
    </row>
    <row r="87" spans="1:31">
      <c r="A87" t="s">
        <v>114</v>
      </c>
      <c r="B87" s="187">
        <v>1</v>
      </c>
      <c r="C87" s="271">
        <f>'Obras exteriores '!E73</f>
        <v>5200</v>
      </c>
      <c r="D87" s="12"/>
      <c r="E87" s="12"/>
      <c r="G87" s="12"/>
      <c r="H87" s="12"/>
      <c r="M87" s="29"/>
      <c r="N87" s="28"/>
      <c r="O87" s="292"/>
      <c r="P87" s="29"/>
      <c r="Q87" s="291"/>
      <c r="R87" s="292"/>
      <c r="S87" s="29"/>
      <c r="T87" s="28"/>
      <c r="U87" s="292"/>
      <c r="V87" s="29"/>
      <c r="W87" s="291"/>
      <c r="X87" s="292"/>
      <c r="Y87" s="29"/>
      <c r="Z87" s="291"/>
      <c r="AA87" s="292"/>
      <c r="AB87" s="291"/>
    </row>
    <row r="88" spans="1:31">
      <c r="A88" t="s">
        <v>115</v>
      </c>
      <c r="B88" s="187">
        <v>1</v>
      </c>
      <c r="C88" s="271">
        <f>'Obras exteriores '!E74</f>
        <v>9900</v>
      </c>
      <c r="D88" s="12"/>
      <c r="E88" s="12"/>
      <c r="M88" s="29"/>
      <c r="N88" s="294"/>
      <c r="O88" s="292"/>
      <c r="P88" s="29"/>
      <c r="Q88" s="291"/>
      <c r="R88" s="292"/>
      <c r="S88" s="29"/>
      <c r="T88" s="294"/>
      <c r="U88" s="292"/>
      <c r="V88" s="29"/>
      <c r="W88" s="294"/>
      <c r="X88" s="292"/>
      <c r="Y88" s="29"/>
      <c r="Z88" s="294"/>
      <c r="AA88" s="292"/>
      <c r="AB88" s="291"/>
    </row>
    <row r="89" spans="1:31">
      <c r="A89" s="12"/>
      <c r="B89" s="12"/>
      <c r="C89" s="12"/>
      <c r="D89" s="12"/>
      <c r="E89" s="12"/>
      <c r="M89" s="29"/>
    </row>
    <row r="90" spans="1:31">
      <c r="AA90" s="291"/>
    </row>
    <row r="91" spans="1:31">
      <c r="B91" s="187" t="s">
        <v>87</v>
      </c>
      <c r="C91" s="189">
        <f>IF(E3="SI",SUM('Obras provisionales'!J9:J28)+SUM('Obras provisionales'!J33:J111),SUM('Obras provisionales'!J9:J28)+SUM('Obras provisionales'!J33:J71))</f>
        <v>377285.76142410905</v>
      </c>
      <c r="D91" s="188">
        <f>C91+0.25%*D98</f>
        <v>383066.40658365953</v>
      </c>
      <c r="E91" s="187" t="s">
        <v>116</v>
      </c>
      <c r="F91" s="188">
        <f>SUM(D91:D97)</f>
        <v>2312258.0638201875</v>
      </c>
      <c r="Q91" s="291"/>
      <c r="W91" s="294"/>
      <c r="AA91" s="291"/>
    </row>
    <row r="92" spans="1:31">
      <c r="B92" s="187" t="s">
        <v>117</v>
      </c>
      <c r="C92" s="188">
        <f>ESTRUCTURA!K2</f>
        <v>405251.45513202995</v>
      </c>
      <c r="D92" s="188">
        <f>C92</f>
        <v>405251.45513202995</v>
      </c>
      <c r="E92" s="187"/>
      <c r="F92" s="187"/>
      <c r="Q92" s="291"/>
      <c r="W92" s="294"/>
      <c r="AA92" s="291"/>
    </row>
    <row r="93" spans="1:31">
      <c r="B93" s="187" t="s">
        <v>118</v>
      </c>
      <c r="C93" s="188">
        <f>ARQUITECTURA!K2</f>
        <v>762896.31476175203</v>
      </c>
      <c r="D93" s="188">
        <f>C93</f>
        <v>762896.31476175203</v>
      </c>
      <c r="E93" s="187"/>
      <c r="F93" s="187"/>
      <c r="L93" s="2"/>
      <c r="M93" s="292"/>
      <c r="Q93" s="291"/>
      <c r="W93" s="294"/>
      <c r="AA93" s="291"/>
    </row>
    <row r="94" spans="1:31">
      <c r="B94" s="187" t="s">
        <v>119</v>
      </c>
      <c r="C94" s="188">
        <f>SANITARIAS!K2</f>
        <v>517713.72377207968</v>
      </c>
      <c r="D94" s="188">
        <f t="shared" ref="D94:D96" si="2">C94</f>
        <v>517713.72377207968</v>
      </c>
      <c r="E94" s="187"/>
      <c r="F94" s="187"/>
      <c r="L94" s="2"/>
      <c r="M94" s="292"/>
      <c r="Q94" s="291"/>
      <c r="W94" s="294"/>
      <c r="AA94" s="291"/>
    </row>
    <row r="95" spans="1:31">
      <c r="B95" s="187" t="s">
        <v>120</v>
      </c>
      <c r="C95" s="188">
        <f>ELECTRICAS!K2</f>
        <v>158114.20826400002</v>
      </c>
      <c r="D95" s="188">
        <f t="shared" si="2"/>
        <v>158114.20826400002</v>
      </c>
      <c r="E95" s="187"/>
      <c r="F95" s="187"/>
      <c r="L95" s="2"/>
      <c r="M95" s="292"/>
      <c r="Q95" s="291"/>
      <c r="W95" s="294"/>
      <c r="AA95" s="291"/>
    </row>
    <row r="96" spans="1:31">
      <c r="B96" s="187" t="s">
        <v>121</v>
      </c>
      <c r="C96" s="188">
        <f>COMUNICACIONES!K2</f>
        <v>85215.955306666641</v>
      </c>
      <c r="D96" s="188">
        <f t="shared" si="2"/>
        <v>85215.955306666641</v>
      </c>
      <c r="E96" s="187"/>
      <c r="F96" s="187"/>
      <c r="L96" s="2"/>
      <c r="M96" s="292"/>
      <c r="Q96" s="291"/>
      <c r="W96" s="294"/>
      <c r="AB96" s="291"/>
    </row>
    <row r="97" spans="2:33">
      <c r="B97" s="187" t="s">
        <v>72</v>
      </c>
      <c r="C97" s="188"/>
      <c r="D97" s="197"/>
      <c r="E97" s="187"/>
      <c r="F97" s="187"/>
      <c r="L97" s="2"/>
      <c r="M97" s="292"/>
      <c r="Q97" s="29"/>
    </row>
    <row r="98" spans="2:33">
      <c r="B98" s="187"/>
      <c r="C98" s="188">
        <f>SUM(C91:C97)</f>
        <v>2306477.4186606375</v>
      </c>
      <c r="D98" s="188">
        <f>C98+(C98*0.0025/0.9975)</f>
        <v>2312258.0638201879</v>
      </c>
      <c r="E98" s="187"/>
      <c r="F98" s="187"/>
      <c r="L98" s="2"/>
      <c r="M98" s="292"/>
    </row>
    <row r="99" spans="2:33">
      <c r="AE99" s="19"/>
      <c r="AF99" s="19"/>
      <c r="AG99" s="19"/>
    </row>
    <row r="100" spans="2:33">
      <c r="N100" s="295"/>
      <c r="O100" s="295"/>
      <c r="P100" s="295"/>
      <c r="Q100" s="295"/>
      <c r="R100" s="295"/>
      <c r="AE100" s="19"/>
      <c r="AF100" s="19"/>
      <c r="AG100" s="19"/>
    </row>
    <row r="101" spans="2:33">
      <c r="D101" s="29"/>
      <c r="L101" s="308"/>
      <c r="M101" s="19"/>
      <c r="N101" s="19"/>
      <c r="O101" s="19"/>
      <c r="P101" s="19"/>
      <c r="Q101" s="19"/>
      <c r="R101" s="19"/>
      <c r="S101" s="19"/>
      <c r="AF101" s="19"/>
      <c r="AG101" s="19"/>
    </row>
    <row r="102" spans="2:33">
      <c r="L102" s="308"/>
      <c r="M102" s="19"/>
      <c r="N102" s="19"/>
      <c r="O102" s="19"/>
      <c r="P102" s="19"/>
      <c r="Q102" s="19"/>
      <c r="R102" s="19"/>
      <c r="S102" s="19"/>
      <c r="AF102" s="19"/>
      <c r="AG102" s="19"/>
    </row>
    <row r="103" spans="2:33">
      <c r="L103" s="308"/>
      <c r="M103" s="19"/>
      <c r="N103" s="19"/>
      <c r="O103" s="19"/>
      <c r="P103" s="19"/>
      <c r="Q103" s="19"/>
      <c r="R103" s="19"/>
      <c r="S103" s="19"/>
      <c r="AF103" s="19"/>
      <c r="AG103" s="19"/>
    </row>
    <row r="104" spans="2:33">
      <c r="L104" s="308"/>
      <c r="M104" s="19"/>
      <c r="N104" s="19"/>
      <c r="O104" s="19"/>
      <c r="P104" s="19"/>
      <c r="Q104" s="19"/>
      <c r="R104" s="19"/>
      <c r="S104" s="19"/>
      <c r="AF104" s="19"/>
      <c r="AG104" s="19"/>
    </row>
    <row r="105" spans="2:33">
      <c r="L105" s="308"/>
      <c r="M105" s="19"/>
      <c r="N105" s="19"/>
      <c r="O105" s="19"/>
      <c r="P105" s="19"/>
      <c r="Q105" s="19"/>
      <c r="R105" s="19"/>
      <c r="S105" s="19"/>
      <c r="AF105" s="19"/>
      <c r="AG105" s="19"/>
    </row>
    <row r="106" spans="2:33">
      <c r="L106" s="308"/>
      <c r="N106" s="19"/>
      <c r="O106" s="19"/>
      <c r="P106" s="19"/>
      <c r="Q106" s="19"/>
      <c r="R106" s="19"/>
      <c r="S106" s="19"/>
      <c r="AF106" s="19"/>
      <c r="AG106" s="19"/>
    </row>
    <row r="107" spans="2:33">
      <c r="L107" s="308"/>
      <c r="N107" s="19"/>
      <c r="O107" s="19"/>
      <c r="P107" s="19"/>
      <c r="Q107" s="19"/>
      <c r="R107" s="19"/>
      <c r="AF107" s="19"/>
      <c r="AG107" s="19"/>
    </row>
    <row r="108" spans="2:33">
      <c r="L108" s="308"/>
      <c r="N108" s="19"/>
      <c r="O108" s="19"/>
      <c r="P108" s="19"/>
      <c r="Q108" s="19"/>
      <c r="R108" s="19"/>
      <c r="S108" s="19"/>
      <c r="AF108" s="19"/>
      <c r="AG108" s="19"/>
    </row>
    <row r="109" spans="2:33">
      <c r="L109" s="308"/>
      <c r="N109" s="19"/>
      <c r="O109" s="19"/>
      <c r="P109" s="19"/>
      <c r="Q109" s="19"/>
      <c r="R109" s="19"/>
      <c r="AF109" s="19"/>
      <c r="AG109" s="19"/>
    </row>
    <row r="110" spans="2:33">
      <c r="L110" s="296"/>
      <c r="P110" s="29"/>
    </row>
  </sheetData>
  <mergeCells count="2">
    <mergeCell ref="L101:L105"/>
    <mergeCell ref="L106:L109"/>
  </mergeCells>
  <dataValidations count="2">
    <dataValidation type="list" allowBlank="1" showInputMessage="1" showErrorMessage="1" sqref="E3 D11" xr:uid="{C3B77435-AFA8-4E49-A25C-21E3B99DA362}">
      <formula1>"SI,NO"</formula1>
    </dataValidation>
    <dataValidation type="list" allowBlank="1" showInputMessage="1" showErrorMessage="1" sqref="D5:D8" xr:uid="{9E6227F7-4DD2-4D9B-9F71-9FA80025248E}">
      <formula1>"zapatas y vigas de cimentación,platea de cimentación"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4202-9E70-4023-A2CF-130959B53DF4}">
  <sheetPr>
    <tabColor rgb="FFFF0000"/>
  </sheetPr>
  <dimension ref="A2:L77"/>
  <sheetViews>
    <sheetView workbookViewId="0">
      <selection activeCell="S17" sqref="S17"/>
    </sheetView>
  </sheetViews>
  <sheetFormatPr defaultRowHeight="15"/>
  <cols>
    <col min="11" max="11" width="11.5703125" customWidth="1"/>
    <col min="12" max="12" width="12.28515625" customWidth="1"/>
    <col min="14" max="14" width="13.28515625" customWidth="1"/>
  </cols>
  <sheetData>
    <row r="2" spans="1:12">
      <c r="B2" s="1"/>
      <c r="H2" s="4" t="s">
        <v>122</v>
      </c>
      <c r="I2" s="4" t="s">
        <v>123</v>
      </c>
      <c r="J2" s="4" t="s">
        <v>124</v>
      </c>
      <c r="K2" s="4" t="s">
        <v>125</v>
      </c>
      <c r="L2" s="4" t="s">
        <v>126</v>
      </c>
    </row>
    <row r="3" spans="1:12">
      <c r="A3">
        <v>1</v>
      </c>
      <c r="B3" s="286" t="s">
        <v>127</v>
      </c>
      <c r="C3" s="1"/>
      <c r="D3" s="1"/>
      <c r="E3" s="1"/>
      <c r="F3" s="1"/>
      <c r="L3" s="288">
        <f>K4+K19+K29+K38+K66</f>
        <v>383066.40658365964</v>
      </c>
    </row>
    <row r="4" spans="1:12">
      <c r="A4">
        <v>1.1000000000000001</v>
      </c>
      <c r="B4" s="67" t="s">
        <v>128</v>
      </c>
      <c r="C4" s="173"/>
      <c r="K4" s="235">
        <f>K5+K14</f>
        <v>104168.04104169071</v>
      </c>
    </row>
    <row r="5" spans="1:12">
      <c r="A5" t="s">
        <v>129</v>
      </c>
      <c r="B5" s="284" t="s">
        <v>130</v>
      </c>
      <c r="C5" s="175"/>
      <c r="K5" s="285">
        <f>SUM(K6:K13)</f>
        <v>36019.641041690724</v>
      </c>
    </row>
    <row r="6" spans="1:12">
      <c r="A6" t="s">
        <v>131</v>
      </c>
      <c r="B6" t="s">
        <v>132</v>
      </c>
      <c r="H6" s="19" t="s">
        <v>133</v>
      </c>
      <c r="I6" s="29">
        <f>'Obras provisionales'!H9</f>
        <v>50</v>
      </c>
      <c r="J6" s="12">
        <f>'APU PROVISIONALES'!K3</f>
        <v>158.90000999999998</v>
      </c>
      <c r="K6" s="12">
        <f>I6*J6</f>
        <v>7945.0004999999992</v>
      </c>
    </row>
    <row r="7" spans="1:12">
      <c r="A7" t="s">
        <v>134</v>
      </c>
      <c r="B7" t="s">
        <v>135</v>
      </c>
      <c r="H7" s="19" t="s">
        <v>133</v>
      </c>
      <c r="I7" s="29">
        <f>'Obras provisionales'!H10</f>
        <v>5</v>
      </c>
      <c r="J7" s="12">
        <f>'APU PROVISIONALES'!K28</f>
        <v>144.64563000000001</v>
      </c>
      <c r="K7" s="12">
        <f t="shared" ref="K7:K70" si="0">I7*J7</f>
        <v>723.22815000000003</v>
      </c>
    </row>
    <row r="8" spans="1:12">
      <c r="A8" t="s">
        <v>136</v>
      </c>
      <c r="B8" t="s">
        <v>137</v>
      </c>
      <c r="H8" s="19" t="s">
        <v>133</v>
      </c>
      <c r="I8" s="29">
        <f>'Obras provisionales'!H11</f>
        <v>8</v>
      </c>
      <c r="J8" s="12">
        <f>'APU PROVISIONALES'!K52</f>
        <v>148.03953000000001</v>
      </c>
      <c r="K8" s="12">
        <f t="shared" si="0"/>
        <v>1184.3162400000001</v>
      </c>
    </row>
    <row r="9" spans="1:12">
      <c r="A9" t="s">
        <v>138</v>
      </c>
      <c r="B9" t="s">
        <v>139</v>
      </c>
      <c r="H9" s="19" t="s">
        <v>133</v>
      </c>
      <c r="I9" s="29">
        <f>'Obras provisionales'!H12</f>
        <v>50</v>
      </c>
      <c r="J9" s="12">
        <f>'APU PROVISIONALES'!K76</f>
        <v>152.56473</v>
      </c>
      <c r="K9" s="12">
        <f t="shared" si="0"/>
        <v>7628.2365</v>
      </c>
    </row>
    <row r="10" spans="1:12">
      <c r="A10" t="s">
        <v>140</v>
      </c>
      <c r="B10" t="s">
        <v>141</v>
      </c>
      <c r="H10" s="19" t="s">
        <v>133</v>
      </c>
      <c r="I10" s="29">
        <f>'Obras provisionales'!H13</f>
        <v>25</v>
      </c>
      <c r="J10" s="12">
        <f>'APU PROVISIONALES'!K100</f>
        <v>206.19276500000001</v>
      </c>
      <c r="K10" s="12">
        <f t="shared" si="0"/>
        <v>5154.819125</v>
      </c>
    </row>
    <row r="11" spans="1:12">
      <c r="A11" t="s">
        <v>142</v>
      </c>
      <c r="B11" t="s">
        <v>143</v>
      </c>
      <c r="H11" s="19" t="s">
        <v>144</v>
      </c>
      <c r="I11" s="29">
        <f>'Obras provisionales'!H14</f>
        <v>113.13708498984761</v>
      </c>
      <c r="J11" s="12">
        <f>'APU PROVISIONALES'!K124</f>
        <v>44.069546666666668</v>
      </c>
      <c r="K11" s="12">
        <f t="shared" si="0"/>
        <v>4985.9000466907219</v>
      </c>
    </row>
    <row r="12" spans="1:12">
      <c r="A12" t="s">
        <v>145</v>
      </c>
      <c r="B12" t="s">
        <v>146</v>
      </c>
      <c r="H12" s="19" t="s">
        <v>133</v>
      </c>
      <c r="I12" s="29">
        <f>'Obras provisionales'!H15</f>
        <v>16</v>
      </c>
      <c r="J12" s="12">
        <f>'APU PROVISIONALES'!K140</f>
        <v>343.16158999999999</v>
      </c>
      <c r="K12" s="12">
        <f t="shared" si="0"/>
        <v>5490.5854399999998</v>
      </c>
    </row>
    <row r="13" spans="1:12">
      <c r="A13" t="s">
        <v>147</v>
      </c>
      <c r="B13" t="s">
        <v>148</v>
      </c>
      <c r="H13" s="19" t="s">
        <v>149</v>
      </c>
      <c r="I13" s="29">
        <f>'Obras provisionales'!H16</f>
        <v>2</v>
      </c>
      <c r="J13" s="12">
        <f>'APU PROVISIONALES'!K169</f>
        <v>1453.7775200000001</v>
      </c>
      <c r="K13" s="12">
        <f t="shared" si="0"/>
        <v>2907.5550400000002</v>
      </c>
    </row>
    <row r="14" spans="1:12">
      <c r="A14" t="s">
        <v>150</v>
      </c>
      <c r="B14" s="284" t="s">
        <v>151</v>
      </c>
      <c r="H14" s="300"/>
      <c r="I14" s="29"/>
      <c r="J14" s="12"/>
      <c r="K14" s="285">
        <f>SUM(K15:K18)</f>
        <v>68148.399999999994</v>
      </c>
    </row>
    <row r="15" spans="1:12">
      <c r="A15" t="s">
        <v>152</v>
      </c>
      <c r="B15" t="s">
        <v>153</v>
      </c>
      <c r="H15" s="19" t="s">
        <v>154</v>
      </c>
      <c r="I15" s="29">
        <f>'Obras provisionales'!H18</f>
        <v>1</v>
      </c>
      <c r="J15" s="12">
        <f>'APU PROVISIONALES'!K192</f>
        <v>251.61</v>
      </c>
      <c r="K15" s="12">
        <f t="shared" si="0"/>
        <v>251.61</v>
      </c>
    </row>
    <row r="16" spans="1:12">
      <c r="A16" t="s">
        <v>155</v>
      </c>
      <c r="B16" t="s">
        <v>156</v>
      </c>
      <c r="H16" s="19" t="s">
        <v>157</v>
      </c>
      <c r="I16" s="29">
        <f>'Obras provisionales'!H19</f>
        <v>180</v>
      </c>
      <c r="J16" s="12">
        <f>'APU PROVISIONALES'!K199</f>
        <v>185.89</v>
      </c>
      <c r="K16" s="12">
        <f t="shared" si="0"/>
        <v>33460.199999999997</v>
      </c>
    </row>
    <row r="17" spans="1:12">
      <c r="A17" t="s">
        <v>158</v>
      </c>
      <c r="B17" t="s">
        <v>159</v>
      </c>
      <c r="H17" s="19" t="s">
        <v>154</v>
      </c>
      <c r="I17" s="29">
        <f>'Obras provisionales'!H20</f>
        <v>1</v>
      </c>
      <c r="J17" s="12">
        <f>'APU PROVISIONALES'!K206</f>
        <v>976.39</v>
      </c>
      <c r="K17" s="12">
        <f t="shared" si="0"/>
        <v>976.39</v>
      </c>
    </row>
    <row r="18" spans="1:12">
      <c r="A18" t="s">
        <v>160</v>
      </c>
      <c r="B18" t="s">
        <v>161</v>
      </c>
      <c r="H18" s="19" t="s">
        <v>157</v>
      </c>
      <c r="I18" s="29">
        <f>'Obras provisionales'!H21</f>
        <v>180</v>
      </c>
      <c r="J18" s="12">
        <f>'APU PROVISIONALES'!K213</f>
        <v>185.89</v>
      </c>
      <c r="K18" s="12">
        <f t="shared" si="0"/>
        <v>33460.199999999997</v>
      </c>
    </row>
    <row r="19" spans="1:12">
      <c r="A19">
        <v>1.2</v>
      </c>
      <c r="B19" s="67" t="s">
        <v>162</v>
      </c>
      <c r="H19" s="301"/>
      <c r="I19" s="29"/>
      <c r="J19" s="12"/>
      <c r="K19" s="235">
        <f>K20+K23+K26</f>
        <v>14380.505603994912</v>
      </c>
    </row>
    <row r="20" spans="1:12">
      <c r="A20" t="s">
        <v>163</v>
      </c>
      <c r="B20" s="284" t="s">
        <v>164</v>
      </c>
      <c r="H20" s="300"/>
      <c r="I20" s="29"/>
      <c r="J20" s="12"/>
      <c r="K20" s="285">
        <f>SUM(K21:K22)</f>
        <v>2006.4284444444447</v>
      </c>
    </row>
    <row r="21" spans="1:12">
      <c r="A21" t="s">
        <v>165</v>
      </c>
      <c r="B21" t="s">
        <v>166</v>
      </c>
      <c r="H21" s="19" t="s">
        <v>133</v>
      </c>
      <c r="I21" s="29">
        <f>'Obras provisionales'!H27</f>
        <v>800</v>
      </c>
      <c r="J21" s="12">
        <f>'APU PROVISIONALES'!K220</f>
        <v>1.14856</v>
      </c>
      <c r="K21" s="12">
        <f t="shared" si="0"/>
        <v>918.84800000000007</v>
      </c>
    </row>
    <row r="22" spans="1:12">
      <c r="A22" t="s">
        <v>167</v>
      </c>
      <c r="B22" t="s">
        <v>168</v>
      </c>
      <c r="H22" s="19" t="s">
        <v>133</v>
      </c>
      <c r="I22" s="29">
        <f>'Obras provisionales'!H28</f>
        <v>800</v>
      </c>
      <c r="J22" s="12">
        <f>'APU PROVISIONALES'!K230</f>
        <v>1.3594755555555555</v>
      </c>
      <c r="K22" s="12">
        <f t="shared" si="0"/>
        <v>1087.5804444444445</v>
      </c>
    </row>
    <row r="23" spans="1:12">
      <c r="A23" t="s">
        <v>169</v>
      </c>
      <c r="B23" s="284" t="s">
        <v>170</v>
      </c>
      <c r="H23" s="300"/>
      <c r="I23" s="29"/>
      <c r="J23" s="12"/>
      <c r="K23" s="285">
        <f>SUM(K24:K25)</f>
        <v>5780.6451595504686</v>
      </c>
    </row>
    <row r="24" spans="1:12">
      <c r="A24" t="s">
        <v>171</v>
      </c>
      <c r="B24" t="s">
        <v>172</v>
      </c>
      <c r="H24" s="19" t="s">
        <v>154</v>
      </c>
      <c r="I24" s="29">
        <f>'Obras provisionales'!H30</f>
        <v>1</v>
      </c>
      <c r="J24" s="50">
        <f>'APU PROVISIONALES'!K241</f>
        <v>1156.1290319100938</v>
      </c>
      <c r="K24" s="12">
        <f t="shared" si="0"/>
        <v>1156.1290319100938</v>
      </c>
    </row>
    <row r="25" spans="1:12">
      <c r="A25" t="s">
        <v>173</v>
      </c>
      <c r="B25" t="s">
        <v>174</v>
      </c>
      <c r="H25" s="19" t="s">
        <v>154</v>
      </c>
      <c r="I25" s="29">
        <f>'Obras provisionales'!H31</f>
        <v>1</v>
      </c>
      <c r="J25" s="50">
        <f>'APU PROVISIONALES'!K252</f>
        <v>4624.5161276403751</v>
      </c>
      <c r="K25" s="12">
        <f t="shared" si="0"/>
        <v>4624.5161276403751</v>
      </c>
    </row>
    <row r="26" spans="1:12">
      <c r="A26" t="s">
        <v>175</v>
      </c>
      <c r="B26" s="284" t="s">
        <v>176</v>
      </c>
      <c r="H26" s="300"/>
      <c r="I26" s="29"/>
      <c r="J26" s="12"/>
      <c r="K26" s="285">
        <f>SUM(K27:K28)</f>
        <v>6593.4319999999998</v>
      </c>
    </row>
    <row r="27" spans="1:12">
      <c r="A27" t="s">
        <v>177</v>
      </c>
      <c r="B27" t="s">
        <v>178</v>
      </c>
      <c r="H27" s="19" t="s">
        <v>133</v>
      </c>
      <c r="I27" s="29">
        <f>'Obras provisionales'!H33</f>
        <v>800</v>
      </c>
      <c r="J27" s="12">
        <f>'APU PROVISIONALES'!K255</f>
        <v>3.9762599999999999</v>
      </c>
      <c r="K27" s="12">
        <f t="shared" si="0"/>
        <v>3181.0079999999998</v>
      </c>
      <c r="L27" s="29"/>
    </row>
    <row r="28" spans="1:12">
      <c r="A28" t="s">
        <v>179</v>
      </c>
      <c r="B28" t="s">
        <v>180</v>
      </c>
      <c r="H28" s="19" t="s">
        <v>133</v>
      </c>
      <c r="I28" s="29">
        <f>'Obras provisionales'!H34</f>
        <v>800</v>
      </c>
      <c r="J28" s="12">
        <f>'APU PROVISIONALES'!K275</f>
        <v>4.26553</v>
      </c>
      <c r="K28" s="12">
        <f t="shared" si="0"/>
        <v>3412.424</v>
      </c>
    </row>
    <row r="29" spans="1:12">
      <c r="A29">
        <v>1.3</v>
      </c>
      <c r="B29" s="67" t="s">
        <v>181</v>
      </c>
      <c r="H29" s="301"/>
      <c r="I29" s="29"/>
      <c r="J29" s="12"/>
      <c r="K29" s="235">
        <f>K30</f>
        <v>108478.24000000002</v>
      </c>
    </row>
    <row r="30" spans="1:12">
      <c r="A30" t="s">
        <v>182</v>
      </c>
      <c r="B30" s="284" t="s">
        <v>183</v>
      </c>
      <c r="H30" s="300"/>
      <c r="I30" s="29"/>
      <c r="J30" s="12"/>
      <c r="K30" s="285">
        <f>SUM(K31:K37)</f>
        <v>108478.24000000002</v>
      </c>
    </row>
    <row r="31" spans="1:12">
      <c r="A31" t="s">
        <v>184</v>
      </c>
      <c r="B31" t="s">
        <v>185</v>
      </c>
      <c r="H31" s="19" t="s">
        <v>154</v>
      </c>
      <c r="I31" s="29">
        <f>'Obras provisionales'!H37</f>
        <v>1</v>
      </c>
      <c r="J31" s="12">
        <f>'APU PROVISIONALES'!K294</f>
        <v>41043.350000000006</v>
      </c>
      <c r="K31" s="12">
        <f t="shared" si="0"/>
        <v>41043.350000000006</v>
      </c>
    </row>
    <row r="32" spans="1:12">
      <c r="A32" t="s">
        <v>186</v>
      </c>
      <c r="B32" t="s">
        <v>187</v>
      </c>
      <c r="H32" s="19" t="s">
        <v>154</v>
      </c>
      <c r="I32" s="29">
        <f>'Obras provisionales'!H38</f>
        <v>1</v>
      </c>
      <c r="J32" s="12">
        <f>'APU PROVISIONALES'!K320</f>
        <v>3824.87</v>
      </c>
      <c r="K32" s="12">
        <f t="shared" si="0"/>
        <v>3824.87</v>
      </c>
    </row>
    <row r="33" spans="1:11">
      <c r="A33" t="s">
        <v>188</v>
      </c>
      <c r="B33" t="s">
        <v>189</v>
      </c>
      <c r="H33" s="19" t="s">
        <v>154</v>
      </c>
      <c r="I33" s="29">
        <f>'Obras provisionales'!H39</f>
        <v>1</v>
      </c>
      <c r="J33" s="12">
        <f>'APU PROVISIONALES'!K332</f>
        <v>6076.5</v>
      </c>
      <c r="K33" s="12">
        <f t="shared" si="0"/>
        <v>6076.5</v>
      </c>
    </row>
    <row r="34" spans="1:11">
      <c r="A34" t="s">
        <v>190</v>
      </c>
      <c r="B34" s="227" t="s">
        <v>191</v>
      </c>
      <c r="H34" s="19" t="s">
        <v>154</v>
      </c>
      <c r="I34" s="29">
        <f>'Obras provisionales'!H40</f>
        <v>1</v>
      </c>
      <c r="J34" s="12">
        <f>'APU PROVISIONALES'!K346</f>
        <v>18386.64</v>
      </c>
      <c r="K34" s="12">
        <f t="shared" si="0"/>
        <v>18386.64</v>
      </c>
    </row>
    <row r="35" spans="1:11">
      <c r="A35" t="s">
        <v>192</v>
      </c>
      <c r="B35" t="s">
        <v>193</v>
      </c>
      <c r="H35" s="19" t="s">
        <v>154</v>
      </c>
      <c r="I35" s="29">
        <f>'Obras provisionales'!H41</f>
        <v>1</v>
      </c>
      <c r="J35" s="12">
        <f>'APU PROVISIONALES'!K355</f>
        <v>1478.8000000000002</v>
      </c>
      <c r="K35" s="12">
        <f t="shared" si="0"/>
        <v>1478.8000000000002</v>
      </c>
    </row>
    <row r="36" spans="1:11">
      <c r="A36" t="s">
        <v>194</v>
      </c>
      <c r="B36" t="s">
        <v>195</v>
      </c>
      <c r="H36" s="19" t="s">
        <v>149</v>
      </c>
      <c r="I36" s="29">
        <f>'Obras provisionales'!H42</f>
        <v>1</v>
      </c>
      <c r="J36" s="12">
        <f>'APU PROVISIONALES'!K367</f>
        <v>8515.8000000000011</v>
      </c>
      <c r="K36" s="12">
        <f t="shared" si="0"/>
        <v>8515.8000000000011</v>
      </c>
    </row>
    <row r="37" spans="1:11">
      <c r="A37" t="s">
        <v>196</v>
      </c>
      <c r="B37" t="s">
        <v>197</v>
      </c>
      <c r="H37" s="19" t="s">
        <v>149</v>
      </c>
      <c r="I37" s="29">
        <f>'Obras provisionales'!H43</f>
        <v>1</v>
      </c>
      <c r="J37" s="12">
        <f>'APU PROVISIONALES'!K375</f>
        <v>29152.28</v>
      </c>
      <c r="K37" s="12">
        <f t="shared" si="0"/>
        <v>29152.28</v>
      </c>
    </row>
    <row r="38" spans="1:11">
      <c r="A38">
        <v>1.4</v>
      </c>
      <c r="B38" s="67" t="s">
        <v>198</v>
      </c>
      <c r="H38" s="301"/>
      <c r="I38" s="29"/>
      <c r="J38" s="12"/>
      <c r="K38" s="235">
        <f>K39+K42+K44+K46+K59+K61</f>
        <v>152412.01738797399</v>
      </c>
    </row>
    <row r="39" spans="1:11">
      <c r="A39" t="s">
        <v>199</v>
      </c>
      <c r="B39" s="284" t="s">
        <v>200</v>
      </c>
      <c r="H39" s="300"/>
      <c r="I39" s="29"/>
      <c r="J39" s="12"/>
      <c r="K39" s="285">
        <f>SUM(K40:K41)</f>
        <v>21693.715584000005</v>
      </c>
    </row>
    <row r="40" spans="1:11">
      <c r="A40" t="s">
        <v>201</v>
      </c>
      <c r="B40" t="s">
        <v>202</v>
      </c>
      <c r="H40" s="19" t="s">
        <v>203</v>
      </c>
      <c r="I40" s="29">
        <f>'Obras provisionales'!H46</f>
        <v>609.6</v>
      </c>
      <c r="J40" s="12">
        <f>'APU PROVISIONALES'!K383</f>
        <v>32.555840000000003</v>
      </c>
      <c r="K40" s="12">
        <f t="shared" si="0"/>
        <v>19846.040064000004</v>
      </c>
    </row>
    <row r="41" spans="1:11">
      <c r="A41" t="s">
        <v>204</v>
      </c>
      <c r="B41" t="s">
        <v>205</v>
      </c>
      <c r="H41" s="19" t="s">
        <v>149</v>
      </c>
      <c r="I41" s="29">
        <f>'Obras provisionales'!H47</f>
        <v>16</v>
      </c>
      <c r="J41" s="12">
        <f>'APU PROVISIONALES'!K396</f>
        <v>115.47972</v>
      </c>
      <c r="K41" s="12">
        <f t="shared" si="0"/>
        <v>1847.67552</v>
      </c>
    </row>
    <row r="42" spans="1:11">
      <c r="A42" t="s">
        <v>206</v>
      </c>
      <c r="B42" s="284" t="s">
        <v>207</v>
      </c>
      <c r="H42" s="300"/>
      <c r="I42" s="29"/>
      <c r="J42" s="12"/>
      <c r="K42" s="285">
        <f>SUM(K43)</f>
        <v>1631.568</v>
      </c>
    </row>
    <row r="43" spans="1:11">
      <c r="A43" t="s">
        <v>208</v>
      </c>
      <c r="B43" t="s">
        <v>209</v>
      </c>
      <c r="H43" s="19" t="s">
        <v>154</v>
      </c>
      <c r="I43" s="29">
        <f>'Obras provisionales'!H49</f>
        <v>12</v>
      </c>
      <c r="J43" s="12">
        <f>'APU PROVISIONALES'!K413</f>
        <v>135.964</v>
      </c>
      <c r="K43" s="12">
        <f t="shared" si="0"/>
        <v>1631.568</v>
      </c>
    </row>
    <row r="44" spans="1:11">
      <c r="A44" t="s">
        <v>210</v>
      </c>
      <c r="B44" s="284" t="s">
        <v>211</v>
      </c>
      <c r="H44" s="300"/>
      <c r="I44" s="29"/>
      <c r="J44" s="12"/>
      <c r="K44" s="285">
        <f>SUM(K45)</f>
        <v>11491.5</v>
      </c>
    </row>
    <row r="45" spans="1:11">
      <c r="A45" t="s">
        <v>212</v>
      </c>
      <c r="B45" t="s">
        <v>213</v>
      </c>
      <c r="H45" s="19" t="s">
        <v>214</v>
      </c>
      <c r="I45" s="29">
        <f>'Obras provisionales'!H51</f>
        <v>6</v>
      </c>
      <c r="J45" s="12">
        <f>'APU PROVISIONALES'!K422</f>
        <v>1915.25</v>
      </c>
      <c r="K45" s="12">
        <f t="shared" si="0"/>
        <v>11491.5</v>
      </c>
    </row>
    <row r="46" spans="1:11">
      <c r="A46" t="s">
        <v>215</v>
      </c>
      <c r="B46" s="284" t="s">
        <v>216</v>
      </c>
      <c r="H46" s="300"/>
      <c r="I46" s="29"/>
      <c r="J46" s="12"/>
      <c r="K46" s="285">
        <f>K47+K51+K56</f>
        <v>117008.97017970732</v>
      </c>
    </row>
    <row r="47" spans="1:11">
      <c r="A47" t="s">
        <v>217</v>
      </c>
      <c r="B47" s="298" t="s">
        <v>218</v>
      </c>
      <c r="H47" s="302"/>
      <c r="I47" s="29"/>
      <c r="J47" s="12"/>
      <c r="K47" s="299">
        <f>SUM(K48:K50)</f>
        <v>77447.361600000004</v>
      </c>
    </row>
    <row r="48" spans="1:11">
      <c r="A48" t="s">
        <v>219</v>
      </c>
      <c r="B48" t="s">
        <v>220</v>
      </c>
      <c r="H48" s="19" t="s">
        <v>149</v>
      </c>
      <c r="I48" s="29">
        <f>'Obras provisionales'!H54</f>
        <v>3</v>
      </c>
      <c r="J48" s="12">
        <f>'APU PROVISIONALES'!K429</f>
        <v>167.04119999999998</v>
      </c>
      <c r="K48" s="12">
        <f t="shared" si="0"/>
        <v>501.1235999999999</v>
      </c>
    </row>
    <row r="49" spans="1:11">
      <c r="A49" t="s">
        <v>221</v>
      </c>
      <c r="B49" t="s">
        <v>222</v>
      </c>
      <c r="H49" s="19" t="s">
        <v>203</v>
      </c>
      <c r="I49" s="29">
        <f>'Obras provisionales'!H55</f>
        <v>135</v>
      </c>
      <c r="J49" s="12">
        <f>'APU PROVISIONALES'!K442</f>
        <v>163.19213333333335</v>
      </c>
      <c r="K49" s="12">
        <f t="shared" si="0"/>
        <v>22030.938000000002</v>
      </c>
    </row>
    <row r="50" spans="1:11">
      <c r="A50" t="s">
        <v>223</v>
      </c>
      <c r="B50" t="s">
        <v>224</v>
      </c>
      <c r="H50" s="19" t="s">
        <v>203</v>
      </c>
      <c r="I50" s="29">
        <f>'Obras provisionales'!H56</f>
        <v>135</v>
      </c>
      <c r="J50" s="12">
        <f>'APU PROVISIONALES'!K460</f>
        <v>406.78</v>
      </c>
      <c r="K50" s="12">
        <f t="shared" si="0"/>
        <v>54915.299999999996</v>
      </c>
    </row>
    <row r="51" spans="1:11">
      <c r="A51" t="s">
        <v>225</v>
      </c>
      <c r="B51" s="298" t="s">
        <v>226</v>
      </c>
      <c r="H51" s="302"/>
      <c r="I51" s="29"/>
      <c r="J51" s="12"/>
      <c r="K51" s="299">
        <f>SUM(K52:K55)</f>
        <v>25287.635363707319</v>
      </c>
    </row>
    <row r="52" spans="1:11">
      <c r="A52" t="s">
        <v>227</v>
      </c>
      <c r="B52" t="s">
        <v>228</v>
      </c>
      <c r="H52" s="19" t="s">
        <v>133</v>
      </c>
      <c r="I52" s="29">
        <f>'Obras provisionales'!H58</f>
        <v>0.8</v>
      </c>
      <c r="J52" s="12">
        <f>'APU PROVISIONALES'!K467</f>
        <v>80.190089999999998</v>
      </c>
      <c r="K52" s="12">
        <f t="shared" si="0"/>
        <v>64.152072000000004</v>
      </c>
    </row>
    <row r="53" spans="1:11">
      <c r="A53" t="s">
        <v>229</v>
      </c>
      <c r="B53" t="s">
        <v>230</v>
      </c>
      <c r="H53" s="19" t="s">
        <v>149</v>
      </c>
      <c r="I53" s="29">
        <f>'Obras provisionales'!H59</f>
        <v>15</v>
      </c>
      <c r="J53" s="12">
        <f>'APU PROVISIONALES'!K487</f>
        <v>148.27204878048781</v>
      </c>
      <c r="K53" s="12">
        <f t="shared" si="0"/>
        <v>2224.0807317073172</v>
      </c>
    </row>
    <row r="54" spans="1:11">
      <c r="A54" t="s">
        <v>231</v>
      </c>
      <c r="B54" t="s">
        <v>232</v>
      </c>
      <c r="H54" s="19" t="s">
        <v>203</v>
      </c>
      <c r="I54" s="29">
        <f>'Obras provisionales'!H60</f>
        <v>360</v>
      </c>
      <c r="J54" s="12">
        <f>'APU PROVISIONALES'!K500</f>
        <v>43.208133333333336</v>
      </c>
      <c r="K54" s="12">
        <f t="shared" si="0"/>
        <v>15554.928000000002</v>
      </c>
    </row>
    <row r="55" spans="1:11">
      <c r="A55" t="s">
        <v>233</v>
      </c>
      <c r="B55" t="s">
        <v>234</v>
      </c>
      <c r="H55" s="19" t="s">
        <v>203</v>
      </c>
      <c r="I55" s="29">
        <f>'Obras provisionales'!H61</f>
        <v>540</v>
      </c>
      <c r="J55" s="12">
        <f>'APU PROVISIONALES'!K518</f>
        <v>13.786064</v>
      </c>
      <c r="K55" s="12">
        <f t="shared" si="0"/>
        <v>7444.4745599999997</v>
      </c>
    </row>
    <row r="56" spans="1:11">
      <c r="A56" t="s">
        <v>235</v>
      </c>
      <c r="B56" s="298" t="s">
        <v>236</v>
      </c>
      <c r="H56" s="302"/>
      <c r="I56" s="29"/>
      <c r="J56" s="12"/>
      <c r="K56" s="299">
        <f>SUM(K57:K58)</f>
        <v>14273.973216</v>
      </c>
    </row>
    <row r="57" spans="1:11">
      <c r="A57" t="s">
        <v>237</v>
      </c>
      <c r="B57" t="s">
        <v>238</v>
      </c>
      <c r="H57" s="19" t="s">
        <v>157</v>
      </c>
      <c r="I57" s="29">
        <f>'Obras provisionales'!H63</f>
        <v>180</v>
      </c>
      <c r="J57" s="12">
        <f>'APU PROVISIONALES'!K533</f>
        <v>68.271000000000001</v>
      </c>
      <c r="K57" s="12">
        <f t="shared" si="0"/>
        <v>12288.78</v>
      </c>
    </row>
    <row r="58" spans="1:11">
      <c r="A58" t="s">
        <v>239</v>
      </c>
      <c r="B58" t="s">
        <v>240</v>
      </c>
      <c r="H58" s="19" t="s">
        <v>203</v>
      </c>
      <c r="I58" s="29">
        <f>'Obras provisionales'!H64</f>
        <v>144</v>
      </c>
      <c r="J58" s="12">
        <f>'APU PROVISIONALES'!K547</f>
        <v>13.786064</v>
      </c>
      <c r="K58" s="12">
        <f t="shared" si="0"/>
        <v>1985.1932159999999</v>
      </c>
    </row>
    <row r="59" spans="1:11">
      <c r="A59" t="s">
        <v>241</v>
      </c>
      <c r="B59" s="284" t="s">
        <v>242</v>
      </c>
      <c r="H59" s="300"/>
      <c r="I59" s="29"/>
      <c r="J59" s="12"/>
      <c r="K59" s="285">
        <f>SUM(K60)</f>
        <v>402.0068</v>
      </c>
    </row>
    <row r="60" spans="1:11">
      <c r="A60" t="s">
        <v>243</v>
      </c>
      <c r="B60" t="s">
        <v>244</v>
      </c>
      <c r="H60" s="19" t="s">
        <v>149</v>
      </c>
      <c r="I60" s="29">
        <f>'Obras provisionales'!H66</f>
        <v>1</v>
      </c>
      <c r="J60" s="12">
        <f>'APU PROVISIONALES'!K562</f>
        <v>402.0068</v>
      </c>
      <c r="K60" s="12">
        <f t="shared" si="0"/>
        <v>402.0068</v>
      </c>
    </row>
    <row r="61" spans="1:11">
      <c r="A61" t="s">
        <v>245</v>
      </c>
      <c r="B61" s="284" t="s">
        <v>246</v>
      </c>
      <c r="H61" s="300"/>
      <c r="I61" s="29"/>
      <c r="J61" s="12"/>
      <c r="K61" s="285">
        <f>SUM(K62:K65)</f>
        <v>184.25682426666665</v>
      </c>
    </row>
    <row r="62" spans="1:11">
      <c r="A62" t="s">
        <v>247</v>
      </c>
      <c r="B62" t="s">
        <v>248</v>
      </c>
      <c r="H62" s="19" t="s">
        <v>133</v>
      </c>
      <c r="I62" s="29">
        <f>'Obras provisionales'!H68</f>
        <v>16</v>
      </c>
      <c r="J62" s="12">
        <f>'APU PROVISIONALES'!K578</f>
        <v>6.9493066666666667</v>
      </c>
      <c r="K62" s="12">
        <f t="shared" si="0"/>
        <v>111.18890666666667</v>
      </c>
    </row>
    <row r="63" spans="1:11">
      <c r="A63" t="s">
        <v>249</v>
      </c>
      <c r="B63" t="s">
        <v>250</v>
      </c>
      <c r="H63" s="19" t="s">
        <v>203</v>
      </c>
      <c r="I63" s="29">
        <f>'Obras provisionales'!H69</f>
        <v>1.2</v>
      </c>
      <c r="J63" s="12">
        <f>'APU PROVISIONALES'!K590</f>
        <v>24.086838</v>
      </c>
      <c r="K63" s="12">
        <f t="shared" si="0"/>
        <v>28.904205599999997</v>
      </c>
    </row>
    <row r="64" spans="1:11">
      <c r="A64" t="s">
        <v>251</v>
      </c>
      <c r="B64" t="s">
        <v>252</v>
      </c>
      <c r="H64" s="19" t="s">
        <v>133</v>
      </c>
      <c r="I64" s="29">
        <f>'Obras provisionales'!H70</f>
        <v>2.4</v>
      </c>
      <c r="J64" s="12">
        <f>'APU PROVISIONALES'!K606</f>
        <v>7.6913600000000013</v>
      </c>
      <c r="K64" s="12">
        <f t="shared" si="0"/>
        <v>18.459264000000001</v>
      </c>
    </row>
    <row r="65" spans="1:11">
      <c r="A65" t="s">
        <v>253</v>
      </c>
      <c r="B65" t="s">
        <v>254</v>
      </c>
      <c r="H65" s="19" t="s">
        <v>133</v>
      </c>
      <c r="I65" s="29">
        <f>'Obras provisionales'!H71</f>
        <v>3.2</v>
      </c>
      <c r="J65" s="12">
        <f>'APU PROVISIONALES'!K620</f>
        <v>8.0326400000000007</v>
      </c>
      <c r="K65" s="12">
        <f t="shared" si="0"/>
        <v>25.704448000000003</v>
      </c>
    </row>
    <row r="66" spans="1:11">
      <c r="A66">
        <v>1.5</v>
      </c>
      <c r="B66" s="67" t="s">
        <v>255</v>
      </c>
      <c r="H66" s="301"/>
      <c r="I66" s="29"/>
      <c r="J66" s="12"/>
      <c r="K66" s="235">
        <f>K67+K75</f>
        <v>3627.6025499999996</v>
      </c>
    </row>
    <row r="67" spans="1:11">
      <c r="A67" t="s">
        <v>256</v>
      </c>
      <c r="B67" s="284" t="s">
        <v>257</v>
      </c>
      <c r="C67" s="297"/>
      <c r="H67" s="19"/>
      <c r="I67" s="29"/>
      <c r="J67" s="12"/>
      <c r="K67" s="285">
        <f>SUM(K68:K74)</f>
        <v>1539.56655</v>
      </c>
    </row>
    <row r="68" spans="1:11">
      <c r="A68" t="s">
        <v>258</v>
      </c>
      <c r="B68" t="s">
        <v>259</v>
      </c>
      <c r="H68" s="19" t="s">
        <v>133</v>
      </c>
      <c r="I68" s="29">
        <f>IF('Datos iniciales '!$E$3="SI",'Obras provisionales'!H74,0)</f>
        <v>15.3</v>
      </c>
      <c r="J68" s="12">
        <f>'APU PROVISIONALES'!K635</f>
        <v>16.07</v>
      </c>
      <c r="K68" s="12">
        <f t="shared" si="0"/>
        <v>245.87100000000001</v>
      </c>
    </row>
    <row r="69" spans="1:11">
      <c r="A69" t="s">
        <v>260</v>
      </c>
      <c r="B69" t="s">
        <v>261</v>
      </c>
      <c r="H69" s="19" t="s">
        <v>133</v>
      </c>
      <c r="I69" s="29">
        <f>IF('Datos iniciales '!$E$3="SI",'Obras provisionales'!H75,0)</f>
        <v>23.4</v>
      </c>
      <c r="J69" s="12">
        <f>'APU PROVISIONALES'!K642</f>
        <v>20.09</v>
      </c>
      <c r="K69" s="12">
        <f t="shared" si="0"/>
        <v>470.10599999999999</v>
      </c>
    </row>
    <row r="70" spans="1:11">
      <c r="A70" t="s">
        <v>262</v>
      </c>
      <c r="B70" t="s">
        <v>263</v>
      </c>
      <c r="H70" s="19" t="s">
        <v>133</v>
      </c>
      <c r="I70" s="29">
        <f>IF('Datos iniciales '!$E$3="SI",'Obras provisionales'!H76,0)</f>
        <v>21.15</v>
      </c>
      <c r="J70" s="12">
        <f>'APU PROVISIONALES'!K649</f>
        <v>20.09</v>
      </c>
      <c r="K70" s="12">
        <f t="shared" si="0"/>
        <v>424.90349999999995</v>
      </c>
    </row>
    <row r="71" spans="1:11">
      <c r="A71" t="s">
        <v>264</v>
      </c>
      <c r="B71" t="s">
        <v>265</v>
      </c>
      <c r="H71" s="19" t="s">
        <v>133</v>
      </c>
      <c r="I71" s="29">
        <f>IF('Datos iniciales '!$E$3="SI",'Obras provisionales'!H77,0)</f>
        <v>0.45</v>
      </c>
      <c r="J71" s="12">
        <f>'APU PROVISIONALES'!K656</f>
        <v>20.09</v>
      </c>
      <c r="K71" s="12">
        <f t="shared" ref="K71:K77" si="1">I71*J71</f>
        <v>9.0404999999999998</v>
      </c>
    </row>
    <row r="72" spans="1:11">
      <c r="A72" t="s">
        <v>266</v>
      </c>
      <c r="B72" t="s">
        <v>267</v>
      </c>
      <c r="H72" s="19" t="s">
        <v>133</v>
      </c>
      <c r="I72" s="29">
        <f>IF('Datos iniciales '!$E$3="SI",'Obras provisionales'!H78,0)</f>
        <v>1.0349999999999999</v>
      </c>
      <c r="J72" s="12">
        <f>'APU PROVISIONALES'!K663</f>
        <v>20.09</v>
      </c>
      <c r="K72" s="12">
        <f t="shared" si="1"/>
        <v>20.793149999999997</v>
      </c>
    </row>
    <row r="73" spans="1:11">
      <c r="A73" t="s">
        <v>268</v>
      </c>
      <c r="B73" t="s">
        <v>269</v>
      </c>
      <c r="H73" s="19" t="s">
        <v>133</v>
      </c>
      <c r="I73" s="29">
        <f>IF('Datos iniciales '!$E$3="SI",'Obras provisionales'!H79,0)</f>
        <v>1.71</v>
      </c>
      <c r="J73" s="12">
        <f>'APU PROVISIONALES'!K670</f>
        <v>20.09</v>
      </c>
      <c r="K73" s="12">
        <f t="shared" si="1"/>
        <v>34.353899999999996</v>
      </c>
    </row>
    <row r="74" spans="1:11">
      <c r="A74" t="s">
        <v>270</v>
      </c>
      <c r="B74" t="s">
        <v>271</v>
      </c>
      <c r="H74" s="19" t="s">
        <v>133</v>
      </c>
      <c r="I74" s="29">
        <f>IF('Datos iniciales '!$E$3="SI",'Obras provisionales'!H80,0)</f>
        <v>16.649999999999999</v>
      </c>
      <c r="J74" s="12">
        <f>'APU PROVISIONALES'!K677</f>
        <v>20.09</v>
      </c>
      <c r="K74" s="12">
        <f t="shared" si="1"/>
        <v>334.49849999999998</v>
      </c>
    </row>
    <row r="75" spans="1:11">
      <c r="A75" t="s">
        <v>272</v>
      </c>
      <c r="B75" s="284" t="s">
        <v>255</v>
      </c>
      <c r="H75" s="19"/>
      <c r="I75" s="29"/>
      <c r="J75" s="12"/>
      <c r="K75" s="285">
        <f>SUM(K76:K77)</f>
        <v>2088.0359999999996</v>
      </c>
    </row>
    <row r="76" spans="1:11">
      <c r="A76" t="s">
        <v>273</v>
      </c>
      <c r="B76" t="s">
        <v>274</v>
      </c>
      <c r="H76" s="19" t="s">
        <v>133</v>
      </c>
      <c r="I76" s="29">
        <f>IF('Datos iniciales '!$E$3="SI",'Obras provisionales'!H82,0)</f>
        <v>23.849999999999998</v>
      </c>
      <c r="J76" s="12">
        <f>'APU PROVISIONALES'!K684</f>
        <v>54.2</v>
      </c>
      <c r="K76" s="12">
        <f t="shared" si="1"/>
        <v>1292.6699999999998</v>
      </c>
    </row>
    <row r="77" spans="1:11">
      <c r="A77" t="s">
        <v>275</v>
      </c>
      <c r="B77" t="s">
        <v>276</v>
      </c>
      <c r="H77" s="19" t="s">
        <v>203</v>
      </c>
      <c r="I77" s="29">
        <f>IF('Datos iniciales '!$E$3="SI",'Obras provisionales'!H83,0)</f>
        <v>19.799999999999997</v>
      </c>
      <c r="J77" s="12">
        <f>'APU PROVISIONALES'!K691</f>
        <v>40.17</v>
      </c>
      <c r="K77" s="12">
        <f t="shared" si="1"/>
        <v>795.36599999999987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1EECA-BA74-4DAC-B3EE-081EB52BBB94}">
  <sheetPr>
    <tabColor rgb="FFFF0000"/>
  </sheetPr>
  <dimension ref="B2:K695"/>
  <sheetViews>
    <sheetView topLeftCell="A671" workbookViewId="0">
      <selection activeCell="G671" sqref="G671"/>
    </sheetView>
  </sheetViews>
  <sheetFormatPr defaultRowHeight="15"/>
  <sheetData>
    <row r="2" spans="2:11">
      <c r="B2" s="2" t="s">
        <v>277</v>
      </c>
      <c r="C2" s="2" t="str">
        <f>PROVISIONALES!A6</f>
        <v>1.1.1.1</v>
      </c>
      <c r="D2" s="2" t="s">
        <v>132</v>
      </c>
      <c r="E2" s="2"/>
      <c r="F2" s="2"/>
      <c r="G2" s="2"/>
      <c r="H2" s="2"/>
      <c r="I2" s="2"/>
      <c r="J2" s="2"/>
    </row>
    <row r="3" spans="2:11">
      <c r="B3" s="2" t="s">
        <v>278</v>
      </c>
      <c r="C3" s="2" t="s">
        <v>279</v>
      </c>
      <c r="D3" s="4" t="s">
        <v>280</v>
      </c>
      <c r="E3" s="5">
        <v>25</v>
      </c>
      <c r="F3" s="4" t="s">
        <v>281</v>
      </c>
      <c r="G3" s="5">
        <f>E3</f>
        <v>25</v>
      </c>
      <c r="H3" s="2" t="s">
        <v>282</v>
      </c>
      <c r="J3" s="4" t="s">
        <v>149</v>
      </c>
      <c r="K3" s="6">
        <f>K10++K22+K25</f>
        <v>158.90000999999998</v>
      </c>
    </row>
    <row r="4" spans="2:11">
      <c r="B4" s="2" t="s">
        <v>283</v>
      </c>
      <c r="C4" s="2" t="s">
        <v>284</v>
      </c>
      <c r="G4" s="4" t="s">
        <v>122</v>
      </c>
      <c r="H4" s="4" t="s">
        <v>285</v>
      </c>
      <c r="I4" s="4" t="s">
        <v>286</v>
      </c>
      <c r="J4" s="4" t="s">
        <v>287</v>
      </c>
      <c r="K4" s="4" t="s">
        <v>288</v>
      </c>
    </row>
    <row r="5" spans="2:11">
      <c r="C5" s="7" t="s">
        <v>289</v>
      </c>
    </row>
    <row r="6" spans="2:11">
      <c r="G6" s="8"/>
      <c r="H6" s="9"/>
      <c r="I6" s="10"/>
      <c r="J6" s="12"/>
      <c r="K6" s="12"/>
    </row>
    <row r="7" spans="2:11">
      <c r="C7" t="s">
        <v>290</v>
      </c>
      <c r="G7" s="8" t="s">
        <v>291</v>
      </c>
      <c r="H7" s="9">
        <v>1</v>
      </c>
      <c r="I7" s="10">
        <f>H7*8/$E$3</f>
        <v>0.32</v>
      </c>
      <c r="J7" s="12">
        <v>28.94</v>
      </c>
      <c r="K7" s="12">
        <f t="shared" ref="K7:K8" si="0">I7*J7</f>
        <v>9.2608000000000015</v>
      </c>
    </row>
    <row r="8" spans="2:11">
      <c r="C8" t="s">
        <v>292</v>
      </c>
      <c r="G8" s="8" t="s">
        <v>291</v>
      </c>
      <c r="H8" s="9">
        <v>1</v>
      </c>
      <c r="I8" s="10">
        <f>H8*8/$E$3</f>
        <v>0.32</v>
      </c>
      <c r="J8" s="12">
        <v>22.66</v>
      </c>
      <c r="K8" s="12">
        <f t="shared" si="0"/>
        <v>7.2511999999999999</v>
      </c>
    </row>
    <row r="9" spans="2:11">
      <c r="C9" t="s">
        <v>293</v>
      </c>
      <c r="G9" s="8" t="s">
        <v>291</v>
      </c>
      <c r="H9" s="9">
        <v>3</v>
      </c>
      <c r="I9" s="10">
        <f>H9*8/$E$3</f>
        <v>0.96</v>
      </c>
      <c r="J9" s="12">
        <v>20.51</v>
      </c>
      <c r="K9" s="12">
        <f>I9*J9</f>
        <v>19.689600000000002</v>
      </c>
    </row>
    <row r="10" spans="2:11">
      <c r="K10" s="6">
        <f>SUM(K6:K9)</f>
        <v>36.201599999999999</v>
      </c>
    </row>
    <row r="11" spans="2:11">
      <c r="C11" s="7" t="s">
        <v>294</v>
      </c>
    </row>
    <row r="12" spans="2:11">
      <c r="C12" t="s">
        <v>295</v>
      </c>
      <c r="G12" s="8" t="s">
        <v>296</v>
      </c>
      <c r="H12" s="9"/>
      <c r="I12" s="10">
        <v>1.25</v>
      </c>
      <c r="J12" s="12">
        <v>2.64</v>
      </c>
      <c r="K12" s="12">
        <f>I12*J12</f>
        <v>3.3000000000000003</v>
      </c>
    </row>
    <row r="13" spans="2:11">
      <c r="C13" t="s">
        <v>297</v>
      </c>
      <c r="G13" s="8" t="s">
        <v>298</v>
      </c>
      <c r="H13" s="9"/>
      <c r="I13" s="10">
        <v>1.8</v>
      </c>
      <c r="J13">
        <v>14.15</v>
      </c>
      <c r="K13" s="12">
        <f t="shared" ref="K13:K21" si="1">I13*J13</f>
        <v>25.470000000000002</v>
      </c>
    </row>
    <row r="14" spans="2:11">
      <c r="C14" t="s">
        <v>299</v>
      </c>
      <c r="G14" s="8" t="s">
        <v>149</v>
      </c>
      <c r="H14" s="9"/>
      <c r="I14" s="10">
        <v>0.2</v>
      </c>
      <c r="J14">
        <v>55</v>
      </c>
      <c r="K14" s="12">
        <f t="shared" si="1"/>
        <v>11</v>
      </c>
    </row>
    <row r="15" spans="2:11">
      <c r="C15" t="s">
        <v>300</v>
      </c>
      <c r="G15" s="8" t="s">
        <v>296</v>
      </c>
      <c r="I15" s="10">
        <v>0.06</v>
      </c>
      <c r="J15">
        <v>10.93</v>
      </c>
      <c r="K15" s="12">
        <f t="shared" si="1"/>
        <v>0.65579999999999994</v>
      </c>
    </row>
    <row r="16" spans="2:11">
      <c r="C16" t="s">
        <v>301</v>
      </c>
      <c r="G16" s="8" t="s">
        <v>296</v>
      </c>
      <c r="I16" s="10">
        <v>7.0999999999999994E-2</v>
      </c>
      <c r="J16" s="12">
        <v>5.51</v>
      </c>
      <c r="K16" s="12">
        <f>I16*J16</f>
        <v>0.39120999999999995</v>
      </c>
    </row>
    <row r="17" spans="2:11">
      <c r="C17" t="s">
        <v>302</v>
      </c>
      <c r="G17" s="8" t="s">
        <v>203</v>
      </c>
      <c r="I17" s="10">
        <v>0.19</v>
      </c>
      <c r="J17" s="12">
        <v>70.92</v>
      </c>
      <c r="K17" s="12">
        <f>I17*J17</f>
        <v>13.4748</v>
      </c>
    </row>
    <row r="18" spans="2:11">
      <c r="C18" t="s">
        <v>303</v>
      </c>
      <c r="G18" s="8" t="s">
        <v>298</v>
      </c>
      <c r="I18" s="10">
        <v>0.53</v>
      </c>
      <c r="J18">
        <v>27.88</v>
      </c>
      <c r="K18" s="12">
        <f t="shared" si="1"/>
        <v>14.776400000000001</v>
      </c>
    </row>
    <row r="19" spans="2:11">
      <c r="C19" t="s">
        <v>304</v>
      </c>
      <c r="G19" s="8" t="s">
        <v>305</v>
      </c>
      <c r="I19" s="10">
        <v>0.2374</v>
      </c>
      <c r="J19">
        <v>32.200000000000003</v>
      </c>
      <c r="K19" s="12">
        <f t="shared" si="1"/>
        <v>7.6442800000000011</v>
      </c>
    </row>
    <row r="20" spans="2:11">
      <c r="C20" t="s">
        <v>306</v>
      </c>
      <c r="G20" s="8" t="s">
        <v>307</v>
      </c>
      <c r="I20" s="10">
        <v>1.0920000000000001</v>
      </c>
      <c r="J20" s="12">
        <v>24.52</v>
      </c>
      <c r="K20" s="12">
        <f t="shared" si="1"/>
        <v>26.775840000000002</v>
      </c>
    </row>
    <row r="21" spans="2:11">
      <c r="C21" t="s">
        <v>308</v>
      </c>
      <c r="G21" s="8" t="s">
        <v>305</v>
      </c>
      <c r="I21" s="10">
        <v>3</v>
      </c>
      <c r="J21" s="12">
        <v>5.8</v>
      </c>
      <c r="K21" s="12">
        <f t="shared" si="1"/>
        <v>17.399999999999999</v>
      </c>
    </row>
    <row r="22" spans="2:11">
      <c r="G22" s="8"/>
      <c r="I22" s="10"/>
      <c r="J22" s="12"/>
      <c r="K22" s="6">
        <f>SUM(K12:K21)</f>
        <v>120.88833</v>
      </c>
    </row>
    <row r="23" spans="2:11">
      <c r="C23" s="7" t="s">
        <v>309</v>
      </c>
    </row>
    <row r="24" spans="2:11">
      <c r="C24" t="s">
        <v>310</v>
      </c>
      <c r="G24" s="8" t="s">
        <v>311</v>
      </c>
      <c r="I24" s="10">
        <v>5</v>
      </c>
      <c r="J24" s="12">
        <f>K10</f>
        <v>36.201599999999999</v>
      </c>
      <c r="K24" s="12">
        <f>I24%*J24</f>
        <v>1.8100800000000001</v>
      </c>
    </row>
    <row r="25" spans="2:11">
      <c r="K25" s="6">
        <f>SUM(K24)</f>
        <v>1.8100800000000001</v>
      </c>
    </row>
    <row r="26" spans="2:11">
      <c r="B26" s="177"/>
      <c r="C26" s="177"/>
      <c r="D26" s="177"/>
      <c r="E26" s="177"/>
      <c r="F26" s="177"/>
      <c r="G26" s="177"/>
      <c r="H26" s="177"/>
      <c r="I26" s="178"/>
      <c r="J26" s="178"/>
      <c r="K26" s="177"/>
    </row>
    <row r="27" spans="2:11">
      <c r="B27" s="2" t="s">
        <v>277</v>
      </c>
      <c r="C27" s="2" t="str">
        <f>PROVISIONALES!A7</f>
        <v>1.1.1.2</v>
      </c>
      <c r="D27" s="2" t="s">
        <v>135</v>
      </c>
      <c r="E27" s="2"/>
      <c r="F27" s="2"/>
      <c r="G27" s="2"/>
      <c r="H27" s="2"/>
      <c r="I27" s="2"/>
      <c r="J27" s="2"/>
    </row>
    <row r="28" spans="2:11">
      <c r="B28" s="2" t="s">
        <v>278</v>
      </c>
      <c r="C28" s="2" t="s">
        <v>279</v>
      </c>
      <c r="D28" s="4" t="s">
        <v>280</v>
      </c>
      <c r="E28" s="5">
        <v>40</v>
      </c>
      <c r="F28" s="4" t="s">
        <v>281</v>
      </c>
      <c r="G28" s="5">
        <f>E28</f>
        <v>40</v>
      </c>
      <c r="H28" s="2" t="s">
        <v>282</v>
      </c>
      <c r="J28" s="4" t="s">
        <v>149</v>
      </c>
      <c r="K28" s="6">
        <f>K34++K46+K49</f>
        <v>144.64563000000001</v>
      </c>
    </row>
    <row r="29" spans="2:11">
      <c r="B29" s="2" t="s">
        <v>283</v>
      </c>
      <c r="C29" s="2" t="s">
        <v>284</v>
      </c>
      <c r="G29" s="4" t="s">
        <v>122</v>
      </c>
      <c r="H29" s="4" t="s">
        <v>285</v>
      </c>
      <c r="I29" s="4" t="s">
        <v>286</v>
      </c>
      <c r="J29" s="4" t="s">
        <v>287</v>
      </c>
      <c r="K29" s="4" t="s">
        <v>288</v>
      </c>
    </row>
    <row r="30" spans="2:11">
      <c r="C30" s="7" t="s">
        <v>289</v>
      </c>
    </row>
    <row r="31" spans="2:11">
      <c r="C31" t="s">
        <v>290</v>
      </c>
      <c r="G31" s="8" t="s">
        <v>291</v>
      </c>
      <c r="H31" s="9">
        <v>1</v>
      </c>
      <c r="I31" s="10">
        <f>H31*8/$E$28</f>
        <v>0.2</v>
      </c>
      <c r="J31" s="12">
        <v>28.94</v>
      </c>
      <c r="K31" s="12">
        <f t="shared" ref="K31:K32" si="2">I31*J31</f>
        <v>5.7880000000000003</v>
      </c>
    </row>
    <row r="32" spans="2:11">
      <c r="C32" t="s">
        <v>292</v>
      </c>
      <c r="G32" s="8" t="s">
        <v>291</v>
      </c>
      <c r="H32" s="9">
        <v>1</v>
      </c>
      <c r="I32" s="10">
        <f>H32*8/$E$28</f>
        <v>0.2</v>
      </c>
      <c r="J32" s="12">
        <v>22.66</v>
      </c>
      <c r="K32" s="12">
        <f t="shared" si="2"/>
        <v>4.532</v>
      </c>
    </row>
    <row r="33" spans="3:11">
      <c r="C33" t="s">
        <v>293</v>
      </c>
      <c r="G33" s="8" t="s">
        <v>291</v>
      </c>
      <c r="H33" s="9">
        <v>3</v>
      </c>
      <c r="I33" s="10">
        <f>H33*8/$E$28</f>
        <v>0.6</v>
      </c>
      <c r="J33" s="12">
        <v>20.51</v>
      </c>
      <c r="K33" s="12">
        <f>I33*J33</f>
        <v>12.306000000000001</v>
      </c>
    </row>
    <row r="34" spans="3:11">
      <c r="K34" s="6">
        <f>SUM(K31:K33)</f>
        <v>22.626000000000001</v>
      </c>
    </row>
    <row r="35" spans="3:11">
      <c r="C35" s="7" t="s">
        <v>294</v>
      </c>
    </row>
    <row r="36" spans="3:11">
      <c r="C36" t="s">
        <v>295</v>
      </c>
      <c r="G36" s="8" t="s">
        <v>296</v>
      </c>
      <c r="H36" s="9"/>
      <c r="I36" s="10">
        <v>1.25</v>
      </c>
      <c r="J36" s="12">
        <v>2.64</v>
      </c>
      <c r="K36" s="12">
        <f>I36*J36</f>
        <v>3.3000000000000003</v>
      </c>
    </row>
    <row r="37" spans="3:11">
      <c r="C37" t="s">
        <v>297</v>
      </c>
      <c r="G37" s="8" t="s">
        <v>298</v>
      </c>
      <c r="H37" s="9"/>
      <c r="I37" s="10">
        <v>1.8</v>
      </c>
      <c r="J37">
        <v>14.15</v>
      </c>
      <c r="K37" s="12">
        <f t="shared" ref="K37:K39" si="3">I37*J37</f>
        <v>25.470000000000002</v>
      </c>
    </row>
    <row r="38" spans="3:11">
      <c r="C38" t="s">
        <v>299</v>
      </c>
      <c r="G38" s="8" t="s">
        <v>149</v>
      </c>
      <c r="H38" s="9"/>
      <c r="I38" s="10">
        <v>0.2</v>
      </c>
      <c r="J38">
        <v>55</v>
      </c>
      <c r="K38" s="12">
        <f t="shared" si="3"/>
        <v>11</v>
      </c>
    </row>
    <row r="39" spans="3:11">
      <c r="C39" t="s">
        <v>300</v>
      </c>
      <c r="G39" s="8" t="s">
        <v>296</v>
      </c>
      <c r="I39" s="10">
        <v>0.06</v>
      </c>
      <c r="J39">
        <v>10.93</v>
      </c>
      <c r="K39" s="12">
        <f t="shared" si="3"/>
        <v>0.65579999999999994</v>
      </c>
    </row>
    <row r="40" spans="3:11">
      <c r="C40" t="s">
        <v>301</v>
      </c>
      <c r="G40" s="8" t="s">
        <v>296</v>
      </c>
      <c r="I40" s="10">
        <v>7.0999999999999994E-2</v>
      </c>
      <c r="J40" s="12">
        <v>5.51</v>
      </c>
      <c r="K40" s="12">
        <f>I40*J40</f>
        <v>0.39120999999999995</v>
      </c>
    </row>
    <row r="41" spans="3:11">
      <c r="C41" t="s">
        <v>302</v>
      </c>
      <c r="G41" s="8" t="s">
        <v>203</v>
      </c>
      <c r="I41" s="10">
        <v>0.19</v>
      </c>
      <c r="J41" s="12">
        <v>70.92</v>
      </c>
      <c r="K41" s="12">
        <f>I41*J41</f>
        <v>13.4748</v>
      </c>
    </row>
    <row r="42" spans="3:11">
      <c r="C42" t="s">
        <v>303</v>
      </c>
      <c r="G42" s="8" t="s">
        <v>298</v>
      </c>
      <c r="I42" s="10">
        <v>0.53</v>
      </c>
      <c r="J42">
        <v>27.88</v>
      </c>
      <c r="K42" s="12">
        <f t="shared" ref="K42:K45" si="4">I42*J42</f>
        <v>14.776400000000001</v>
      </c>
    </row>
    <row r="43" spans="3:11">
      <c r="C43" t="s">
        <v>304</v>
      </c>
      <c r="G43" s="8" t="s">
        <v>305</v>
      </c>
      <c r="I43" s="10">
        <v>0.2374</v>
      </c>
      <c r="J43">
        <v>32.200000000000003</v>
      </c>
      <c r="K43" s="12">
        <f t="shared" si="4"/>
        <v>7.6442800000000011</v>
      </c>
    </row>
    <row r="44" spans="3:11">
      <c r="C44" t="s">
        <v>306</v>
      </c>
      <c r="G44" s="8" t="s">
        <v>307</v>
      </c>
      <c r="I44" s="10">
        <v>1.0920000000000001</v>
      </c>
      <c r="J44" s="12">
        <v>24.52</v>
      </c>
      <c r="K44" s="12">
        <f t="shared" si="4"/>
        <v>26.775840000000002</v>
      </c>
    </row>
    <row r="45" spans="3:11">
      <c r="C45" t="s">
        <v>308</v>
      </c>
      <c r="G45" s="8" t="s">
        <v>305</v>
      </c>
      <c r="I45" s="10">
        <v>3</v>
      </c>
      <c r="J45" s="12">
        <v>5.8</v>
      </c>
      <c r="K45" s="12">
        <f t="shared" si="4"/>
        <v>17.399999999999999</v>
      </c>
    </row>
    <row r="46" spans="3:11">
      <c r="G46" s="8"/>
      <c r="I46" s="10"/>
      <c r="J46" s="12"/>
      <c r="K46" s="6">
        <f>SUM(K36:K45)</f>
        <v>120.88833</v>
      </c>
    </row>
    <row r="47" spans="3:11">
      <c r="C47" s="7" t="s">
        <v>309</v>
      </c>
    </row>
    <row r="48" spans="3:11">
      <c r="C48" t="s">
        <v>310</v>
      </c>
      <c r="G48" s="8" t="s">
        <v>311</v>
      </c>
      <c r="I48" s="10">
        <v>5</v>
      </c>
      <c r="J48" s="12">
        <f>K34</f>
        <v>22.626000000000001</v>
      </c>
      <c r="K48" s="12">
        <f>I48%*J48</f>
        <v>1.1313000000000002</v>
      </c>
    </row>
    <row r="49" spans="2:11">
      <c r="B49" s="14"/>
      <c r="C49" s="14"/>
      <c r="D49" s="14"/>
      <c r="E49" s="14"/>
      <c r="F49" s="14"/>
      <c r="G49" s="14"/>
      <c r="H49" s="14"/>
      <c r="I49" s="14"/>
      <c r="J49" s="14"/>
      <c r="K49" s="16">
        <f>SUM(K48)</f>
        <v>1.1313000000000002</v>
      </c>
    </row>
    <row r="51" spans="2:11">
      <c r="B51" s="2" t="s">
        <v>277</v>
      </c>
      <c r="C51" s="2" t="str">
        <f>PROVISIONALES!A8</f>
        <v>1.1.1.3</v>
      </c>
      <c r="D51" s="2" t="s">
        <v>137</v>
      </c>
      <c r="E51" s="2"/>
      <c r="F51" s="2"/>
      <c r="G51" s="2"/>
      <c r="H51" s="2"/>
      <c r="I51" s="2"/>
      <c r="J51" s="2"/>
    </row>
    <row r="52" spans="2:11">
      <c r="B52" s="2" t="s">
        <v>278</v>
      </c>
      <c r="C52" s="2" t="s">
        <v>279</v>
      </c>
      <c r="D52" s="4" t="s">
        <v>280</v>
      </c>
      <c r="E52" s="5">
        <v>35</v>
      </c>
      <c r="F52" s="4" t="s">
        <v>281</v>
      </c>
      <c r="G52" s="5">
        <f>E52</f>
        <v>35</v>
      </c>
      <c r="H52" s="2" t="s">
        <v>282</v>
      </c>
      <c r="J52" s="4" t="s">
        <v>149</v>
      </c>
      <c r="K52" s="6">
        <f>K58++K70+K73</f>
        <v>148.03953000000001</v>
      </c>
    </row>
    <row r="53" spans="2:11">
      <c r="B53" s="2" t="s">
        <v>283</v>
      </c>
      <c r="C53" s="2" t="s">
        <v>284</v>
      </c>
      <c r="G53" s="4" t="s">
        <v>122</v>
      </c>
      <c r="H53" s="4" t="s">
        <v>285</v>
      </c>
      <c r="I53" s="4" t="s">
        <v>286</v>
      </c>
      <c r="J53" s="4" t="s">
        <v>287</v>
      </c>
      <c r="K53" s="4" t="s">
        <v>288</v>
      </c>
    </row>
    <row r="54" spans="2:11">
      <c r="C54" s="7" t="s">
        <v>289</v>
      </c>
    </row>
    <row r="55" spans="2:11">
      <c r="C55" t="s">
        <v>290</v>
      </c>
      <c r="G55" s="8" t="s">
        <v>291</v>
      </c>
      <c r="H55" s="9">
        <v>1</v>
      </c>
      <c r="I55" s="10">
        <f>H55*8/$E$52</f>
        <v>0.22857142857142856</v>
      </c>
      <c r="J55" s="12">
        <v>28.94</v>
      </c>
      <c r="K55" s="12">
        <f t="shared" ref="K55:K56" si="5">I55*J55</f>
        <v>6.6148571428571428</v>
      </c>
    </row>
    <row r="56" spans="2:11">
      <c r="C56" t="s">
        <v>292</v>
      </c>
      <c r="G56" s="8" t="s">
        <v>291</v>
      </c>
      <c r="H56" s="9">
        <v>1</v>
      </c>
      <c r="I56" s="10">
        <f>H56*8/$E$52</f>
        <v>0.22857142857142856</v>
      </c>
      <c r="J56" s="12">
        <v>22.66</v>
      </c>
      <c r="K56" s="12">
        <f t="shared" si="5"/>
        <v>5.1794285714285717</v>
      </c>
    </row>
    <row r="57" spans="2:11">
      <c r="C57" t="s">
        <v>293</v>
      </c>
      <c r="G57" s="8" t="s">
        <v>291</v>
      </c>
      <c r="H57" s="9">
        <v>3</v>
      </c>
      <c r="I57" s="10">
        <f>H57*8/$E$52</f>
        <v>0.68571428571428572</v>
      </c>
      <c r="J57" s="12">
        <v>20.51</v>
      </c>
      <c r="K57" s="12">
        <f>I57*J57</f>
        <v>14.064000000000002</v>
      </c>
    </row>
    <row r="58" spans="2:11">
      <c r="K58" s="6">
        <f>SUM(K55:K57)</f>
        <v>25.858285714285714</v>
      </c>
    </row>
    <row r="59" spans="2:11">
      <c r="C59" s="7" t="s">
        <v>294</v>
      </c>
    </row>
    <row r="60" spans="2:11">
      <c r="C60" t="s">
        <v>295</v>
      </c>
      <c r="G60" s="8" t="s">
        <v>296</v>
      </c>
      <c r="H60" s="9"/>
      <c r="I60" s="10">
        <v>1.25</v>
      </c>
      <c r="J60" s="12">
        <v>2.64</v>
      </c>
      <c r="K60" s="12">
        <f>I60*J60</f>
        <v>3.3000000000000003</v>
      </c>
    </row>
    <row r="61" spans="2:11">
      <c r="C61" t="s">
        <v>297</v>
      </c>
      <c r="G61" s="8" t="s">
        <v>298</v>
      </c>
      <c r="H61" s="9"/>
      <c r="I61" s="10">
        <v>1.8</v>
      </c>
      <c r="J61">
        <v>14.15</v>
      </c>
      <c r="K61" s="12">
        <f t="shared" ref="K61:K63" si="6">I61*J61</f>
        <v>25.470000000000002</v>
      </c>
    </row>
    <row r="62" spans="2:11">
      <c r="C62" t="s">
        <v>299</v>
      </c>
      <c r="G62" s="8" t="s">
        <v>149</v>
      </c>
      <c r="H62" s="9"/>
      <c r="I62" s="10">
        <v>0.2</v>
      </c>
      <c r="J62">
        <v>55</v>
      </c>
      <c r="K62" s="12">
        <f t="shared" si="6"/>
        <v>11</v>
      </c>
    </row>
    <row r="63" spans="2:11">
      <c r="C63" t="s">
        <v>300</v>
      </c>
      <c r="G63" s="8" t="s">
        <v>296</v>
      </c>
      <c r="I63" s="10">
        <v>0.06</v>
      </c>
      <c r="J63">
        <v>10.93</v>
      </c>
      <c r="K63" s="12">
        <f t="shared" si="6"/>
        <v>0.65579999999999994</v>
      </c>
    </row>
    <row r="64" spans="2:11">
      <c r="C64" t="s">
        <v>301</v>
      </c>
      <c r="G64" s="8" t="s">
        <v>296</v>
      </c>
      <c r="I64" s="10">
        <v>7.0999999999999994E-2</v>
      </c>
      <c r="J64" s="12">
        <v>5.51</v>
      </c>
      <c r="K64" s="12">
        <f>I64*J64</f>
        <v>0.39120999999999995</v>
      </c>
    </row>
    <row r="65" spans="2:11">
      <c r="C65" t="s">
        <v>302</v>
      </c>
      <c r="G65" s="8" t="s">
        <v>203</v>
      </c>
      <c r="I65" s="10">
        <v>0.19</v>
      </c>
      <c r="J65" s="12">
        <v>70.92</v>
      </c>
      <c r="K65" s="12">
        <f>I65*J65</f>
        <v>13.4748</v>
      </c>
    </row>
    <row r="66" spans="2:11">
      <c r="C66" t="s">
        <v>303</v>
      </c>
      <c r="G66" s="8" t="s">
        <v>298</v>
      </c>
      <c r="I66" s="10">
        <v>0.53</v>
      </c>
      <c r="J66">
        <v>27.88</v>
      </c>
      <c r="K66" s="12">
        <f>I66*J66</f>
        <v>14.776400000000001</v>
      </c>
    </row>
    <row r="67" spans="2:11">
      <c r="C67" t="s">
        <v>304</v>
      </c>
      <c r="G67" s="8" t="s">
        <v>305</v>
      </c>
      <c r="I67" s="10">
        <v>0.2374</v>
      </c>
      <c r="J67">
        <v>32.200000000000003</v>
      </c>
      <c r="K67" s="12">
        <f t="shared" ref="K66:K69" si="7">I67*J67</f>
        <v>7.6442800000000011</v>
      </c>
    </row>
    <row r="68" spans="2:11">
      <c r="C68" t="s">
        <v>306</v>
      </c>
      <c r="G68" s="8" t="s">
        <v>307</v>
      </c>
      <c r="I68" s="10">
        <v>1.0920000000000001</v>
      </c>
      <c r="J68" s="12">
        <v>24.52</v>
      </c>
      <c r="K68" s="12">
        <f t="shared" si="7"/>
        <v>26.775840000000002</v>
      </c>
    </row>
    <row r="69" spans="2:11">
      <c r="C69" t="s">
        <v>308</v>
      </c>
      <c r="G69" s="8" t="s">
        <v>305</v>
      </c>
      <c r="I69" s="10">
        <v>3</v>
      </c>
      <c r="J69" s="12">
        <v>5.8</v>
      </c>
      <c r="K69" s="12">
        <f t="shared" si="7"/>
        <v>17.399999999999999</v>
      </c>
    </row>
    <row r="70" spans="2:11">
      <c r="G70" s="8"/>
      <c r="I70" s="10"/>
      <c r="J70" s="12"/>
      <c r="K70" s="6">
        <f>SUM(K60:K69)</f>
        <v>120.88833</v>
      </c>
    </row>
    <row r="71" spans="2:11">
      <c r="C71" s="7" t="s">
        <v>309</v>
      </c>
    </row>
    <row r="72" spans="2:11">
      <c r="C72" t="s">
        <v>310</v>
      </c>
      <c r="G72" s="8" t="s">
        <v>311</v>
      </c>
      <c r="I72" s="10">
        <v>5</v>
      </c>
      <c r="J72" s="12">
        <f>K58</f>
        <v>25.858285714285714</v>
      </c>
      <c r="K72" s="12">
        <f>I72%*J72</f>
        <v>1.2929142857142857</v>
      </c>
    </row>
    <row r="73" spans="2:11">
      <c r="B73" s="14"/>
      <c r="C73" s="14"/>
      <c r="D73" s="14"/>
      <c r="E73" s="14"/>
      <c r="F73" s="14"/>
      <c r="G73" s="14"/>
      <c r="H73" s="14"/>
      <c r="I73" s="14"/>
      <c r="J73" s="14"/>
      <c r="K73" s="16">
        <f>SUM(K72)</f>
        <v>1.2929142857142857</v>
      </c>
    </row>
    <row r="74" spans="2:11">
      <c r="K74" s="6"/>
    </row>
    <row r="75" spans="2:11">
      <c r="B75" s="2" t="s">
        <v>277</v>
      </c>
      <c r="C75" s="2" t="str">
        <f>PROVISIONALES!A9</f>
        <v>1.1.1.4</v>
      </c>
      <c r="D75" s="2" t="s">
        <v>139</v>
      </c>
      <c r="E75" s="2"/>
      <c r="F75" s="2"/>
      <c r="G75" s="2"/>
      <c r="H75" s="2"/>
      <c r="I75" s="2"/>
      <c r="J75" s="2"/>
    </row>
    <row r="76" spans="2:11">
      <c r="B76" s="2" t="s">
        <v>278</v>
      </c>
      <c r="C76" s="2" t="s">
        <v>279</v>
      </c>
      <c r="D76" s="4" t="s">
        <v>280</v>
      </c>
      <c r="E76" s="5">
        <v>30</v>
      </c>
      <c r="F76" s="4" t="s">
        <v>281</v>
      </c>
      <c r="G76" s="5">
        <f>E76</f>
        <v>30</v>
      </c>
      <c r="H76" s="2" t="s">
        <v>282</v>
      </c>
      <c r="J76" s="4" t="s">
        <v>149</v>
      </c>
      <c r="K76" s="6">
        <f>K82++K94+K97</f>
        <v>152.56473</v>
      </c>
    </row>
    <row r="77" spans="2:11">
      <c r="B77" s="2" t="s">
        <v>283</v>
      </c>
      <c r="C77" s="2" t="s">
        <v>284</v>
      </c>
      <c r="G77" s="4" t="s">
        <v>122</v>
      </c>
      <c r="H77" s="4" t="s">
        <v>285</v>
      </c>
      <c r="I77" s="4" t="s">
        <v>286</v>
      </c>
      <c r="J77" s="4" t="s">
        <v>287</v>
      </c>
      <c r="K77" s="4" t="s">
        <v>288</v>
      </c>
    </row>
    <row r="78" spans="2:11">
      <c r="C78" s="7" t="s">
        <v>289</v>
      </c>
    </row>
    <row r="79" spans="2:11">
      <c r="C79" t="s">
        <v>290</v>
      </c>
      <c r="G79" s="8" t="s">
        <v>291</v>
      </c>
      <c r="H79" s="9">
        <v>1</v>
      </c>
      <c r="I79" s="10">
        <f>H79*8/$E$76</f>
        <v>0.26666666666666666</v>
      </c>
      <c r="J79" s="12">
        <v>28.94</v>
      </c>
      <c r="K79" s="12">
        <f t="shared" ref="K79:K80" si="8">I79*J79</f>
        <v>7.7173333333333334</v>
      </c>
    </row>
    <row r="80" spans="2:11">
      <c r="C80" t="s">
        <v>292</v>
      </c>
      <c r="G80" s="8" t="s">
        <v>291</v>
      </c>
      <c r="H80" s="9">
        <v>1</v>
      </c>
      <c r="I80" s="10">
        <f>H80*8/$E$76</f>
        <v>0.26666666666666666</v>
      </c>
      <c r="J80" s="12">
        <v>22.66</v>
      </c>
      <c r="K80" s="12">
        <f t="shared" si="8"/>
        <v>6.0426666666666664</v>
      </c>
    </row>
    <row r="81" spans="3:11">
      <c r="C81" t="s">
        <v>293</v>
      </c>
      <c r="G81" s="8" t="s">
        <v>291</v>
      </c>
      <c r="H81" s="9">
        <v>3</v>
      </c>
      <c r="I81" s="10">
        <f>H81*8/$E$76</f>
        <v>0.8</v>
      </c>
      <c r="J81" s="12">
        <v>20.51</v>
      </c>
      <c r="K81" s="12">
        <f>I81*J81</f>
        <v>16.408000000000001</v>
      </c>
    </row>
    <row r="82" spans="3:11">
      <c r="K82" s="6">
        <f>SUM(K79:K81)</f>
        <v>30.167999999999999</v>
      </c>
    </row>
    <row r="83" spans="3:11">
      <c r="C83" s="7" t="s">
        <v>294</v>
      </c>
    </row>
    <row r="84" spans="3:11">
      <c r="C84" t="s">
        <v>295</v>
      </c>
      <c r="G84" s="8" t="s">
        <v>296</v>
      </c>
      <c r="H84" s="9"/>
      <c r="I84" s="10">
        <v>1.25</v>
      </c>
      <c r="J84" s="12">
        <v>2.64</v>
      </c>
      <c r="K84" s="12">
        <f>I84*J84</f>
        <v>3.3000000000000003</v>
      </c>
    </row>
    <row r="85" spans="3:11">
      <c r="C85" t="s">
        <v>297</v>
      </c>
      <c r="G85" s="8" t="s">
        <v>298</v>
      </c>
      <c r="H85" s="9"/>
      <c r="I85" s="10">
        <v>1.8</v>
      </c>
      <c r="J85">
        <v>14.15</v>
      </c>
      <c r="K85" s="12">
        <f t="shared" ref="K85:K87" si="9">I85*J85</f>
        <v>25.470000000000002</v>
      </c>
    </row>
    <row r="86" spans="3:11">
      <c r="C86" t="s">
        <v>299</v>
      </c>
      <c r="G86" s="8" t="s">
        <v>149</v>
      </c>
      <c r="H86" s="9"/>
      <c r="I86" s="10">
        <v>0.2</v>
      </c>
      <c r="J86">
        <v>55</v>
      </c>
      <c r="K86" s="12">
        <f t="shared" si="9"/>
        <v>11</v>
      </c>
    </row>
    <row r="87" spans="3:11">
      <c r="C87" t="s">
        <v>300</v>
      </c>
      <c r="G87" s="8" t="s">
        <v>296</v>
      </c>
      <c r="I87" s="10">
        <v>0.06</v>
      </c>
      <c r="J87">
        <v>10.93</v>
      </c>
      <c r="K87" s="12">
        <f t="shared" si="9"/>
        <v>0.65579999999999994</v>
      </c>
    </row>
    <row r="88" spans="3:11">
      <c r="C88" t="s">
        <v>301</v>
      </c>
      <c r="G88" s="8" t="s">
        <v>296</v>
      </c>
      <c r="I88" s="10">
        <v>7.0999999999999994E-2</v>
      </c>
      <c r="J88" s="12">
        <v>5.51</v>
      </c>
      <c r="K88" s="12">
        <f>I88*J88</f>
        <v>0.39120999999999995</v>
      </c>
    </row>
    <row r="89" spans="3:11">
      <c r="C89" t="s">
        <v>302</v>
      </c>
      <c r="G89" s="8" t="s">
        <v>203</v>
      </c>
      <c r="I89" s="10">
        <v>0.19</v>
      </c>
      <c r="J89" s="12">
        <v>70.92</v>
      </c>
      <c r="K89" s="12">
        <f>I89*J89</f>
        <v>13.4748</v>
      </c>
    </row>
    <row r="90" spans="3:11">
      <c r="C90" t="s">
        <v>303</v>
      </c>
      <c r="G90" s="8" t="s">
        <v>298</v>
      </c>
      <c r="I90" s="10">
        <v>0.53</v>
      </c>
      <c r="J90">
        <v>27.88</v>
      </c>
      <c r="K90" s="12">
        <f t="shared" ref="K90:K93" si="10">I90*J90</f>
        <v>14.776400000000001</v>
      </c>
    </row>
    <row r="91" spans="3:11">
      <c r="C91" t="s">
        <v>304</v>
      </c>
      <c r="G91" s="8" t="s">
        <v>305</v>
      </c>
      <c r="I91" s="10">
        <v>0.2374</v>
      </c>
      <c r="J91">
        <v>32.200000000000003</v>
      </c>
      <c r="K91" s="12">
        <f t="shared" si="10"/>
        <v>7.6442800000000011</v>
      </c>
    </row>
    <row r="92" spans="3:11">
      <c r="C92" t="s">
        <v>306</v>
      </c>
      <c r="G92" s="8" t="s">
        <v>307</v>
      </c>
      <c r="I92" s="10">
        <v>1.0920000000000001</v>
      </c>
      <c r="J92" s="12">
        <v>24.52</v>
      </c>
      <c r="K92" s="12">
        <f t="shared" si="10"/>
        <v>26.775840000000002</v>
      </c>
    </row>
    <row r="93" spans="3:11">
      <c r="C93" t="s">
        <v>308</v>
      </c>
      <c r="G93" s="8" t="s">
        <v>305</v>
      </c>
      <c r="I93" s="10">
        <v>3</v>
      </c>
      <c r="J93" s="12">
        <v>5.8</v>
      </c>
      <c r="K93" s="12">
        <f t="shared" si="10"/>
        <v>17.399999999999999</v>
      </c>
    </row>
    <row r="94" spans="3:11">
      <c r="G94" s="8"/>
      <c r="I94" s="10"/>
      <c r="J94" s="12"/>
      <c r="K94" s="6">
        <f>SUM(K84:K93)</f>
        <v>120.88833</v>
      </c>
    </row>
    <row r="95" spans="3:11">
      <c r="C95" s="7" t="s">
        <v>309</v>
      </c>
    </row>
    <row r="96" spans="3:11">
      <c r="C96" t="s">
        <v>310</v>
      </c>
      <c r="G96" s="8" t="s">
        <v>311</v>
      </c>
      <c r="I96" s="10">
        <v>5</v>
      </c>
      <c r="J96" s="12">
        <f>K82</f>
        <v>30.167999999999999</v>
      </c>
      <c r="K96" s="12">
        <f>I96%*J96</f>
        <v>1.5084</v>
      </c>
    </row>
    <row r="97" spans="2:11">
      <c r="B97" s="14"/>
      <c r="C97" s="14"/>
      <c r="D97" s="14"/>
      <c r="E97" s="14"/>
      <c r="F97" s="14"/>
      <c r="G97" s="14"/>
      <c r="H97" s="14"/>
      <c r="I97" s="14"/>
      <c r="J97" s="14"/>
      <c r="K97" s="16">
        <f>SUM(K96)</f>
        <v>1.5084</v>
      </c>
    </row>
    <row r="99" spans="2:11">
      <c r="B99" s="2" t="s">
        <v>277</v>
      </c>
      <c r="C99" s="2" t="str">
        <f>PROVISIONALES!A10</f>
        <v>1.1.1.5</v>
      </c>
      <c r="D99" s="2" t="s">
        <v>141</v>
      </c>
      <c r="E99" s="2"/>
      <c r="F99" s="2"/>
      <c r="G99" s="2"/>
      <c r="H99" s="2"/>
      <c r="I99" s="2"/>
      <c r="J99" s="2"/>
    </row>
    <row r="100" spans="2:11">
      <c r="B100" s="2" t="s">
        <v>278</v>
      </c>
      <c r="C100" s="2" t="s">
        <v>279</v>
      </c>
      <c r="D100" s="4" t="s">
        <v>280</v>
      </c>
      <c r="E100" s="5">
        <v>32</v>
      </c>
      <c r="F100" s="4" t="s">
        <v>281</v>
      </c>
      <c r="G100" s="5">
        <f>E100</f>
        <v>32</v>
      </c>
      <c r="H100" s="2" t="s">
        <v>282</v>
      </c>
      <c r="J100" s="4" t="s">
        <v>149</v>
      </c>
      <c r="K100" s="6">
        <f>K106++K118+K121</f>
        <v>206.19276500000001</v>
      </c>
    </row>
    <row r="101" spans="2:11">
      <c r="B101" s="2" t="s">
        <v>283</v>
      </c>
      <c r="C101" s="2" t="s">
        <v>284</v>
      </c>
      <c r="G101" s="4" t="s">
        <v>122</v>
      </c>
      <c r="H101" s="4" t="s">
        <v>285</v>
      </c>
      <c r="I101" s="4" t="s">
        <v>286</v>
      </c>
      <c r="J101" s="4" t="s">
        <v>287</v>
      </c>
      <c r="K101" s="4" t="s">
        <v>288</v>
      </c>
    </row>
    <row r="102" spans="2:11">
      <c r="C102" s="7" t="s">
        <v>289</v>
      </c>
    </row>
    <row r="103" spans="2:11">
      <c r="C103" t="s">
        <v>290</v>
      </c>
      <c r="G103" s="8" t="s">
        <v>291</v>
      </c>
      <c r="H103" s="9">
        <v>1</v>
      </c>
      <c r="I103" s="10">
        <f>H103*8/$E$100</f>
        <v>0.25</v>
      </c>
      <c r="J103" s="12">
        <v>28.94</v>
      </c>
      <c r="K103" s="12">
        <f t="shared" ref="K103:K104" si="11">I103*J103</f>
        <v>7.2350000000000003</v>
      </c>
    </row>
    <row r="104" spans="2:11">
      <c r="C104" t="s">
        <v>292</v>
      </c>
      <c r="G104" s="8" t="s">
        <v>291</v>
      </c>
      <c r="H104" s="9">
        <v>1</v>
      </c>
      <c r="I104" s="10">
        <f>H104*8/$E$100</f>
        <v>0.25</v>
      </c>
      <c r="J104" s="12">
        <v>22.66</v>
      </c>
      <c r="K104" s="12">
        <f t="shared" si="11"/>
        <v>5.665</v>
      </c>
    </row>
    <row r="105" spans="2:11">
      <c r="C105" t="s">
        <v>293</v>
      </c>
      <c r="G105" s="8" t="s">
        <v>291</v>
      </c>
      <c r="H105" s="9">
        <v>3</v>
      </c>
      <c r="I105" s="10">
        <f>H105*8/$E$100</f>
        <v>0.75</v>
      </c>
      <c r="J105" s="12">
        <v>20.51</v>
      </c>
      <c r="K105" s="12">
        <f>I105*J105</f>
        <v>15.3825</v>
      </c>
    </row>
    <row r="106" spans="2:11">
      <c r="K106" s="6">
        <f>SUM(K103:K105)</f>
        <v>28.282499999999999</v>
      </c>
    </row>
    <row r="107" spans="2:11">
      <c r="C107" s="7" t="s">
        <v>294</v>
      </c>
    </row>
    <row r="108" spans="2:11">
      <c r="C108" t="s">
        <v>295</v>
      </c>
      <c r="G108" s="8" t="s">
        <v>296</v>
      </c>
      <c r="H108" s="9"/>
      <c r="I108" s="10">
        <v>1.25</v>
      </c>
      <c r="J108" s="12">
        <v>2.64</v>
      </c>
      <c r="K108" s="12">
        <f>I108*J108</f>
        <v>3.3000000000000003</v>
      </c>
    </row>
    <row r="109" spans="2:11">
      <c r="C109" t="s">
        <v>297</v>
      </c>
      <c r="G109" s="8" t="s">
        <v>298</v>
      </c>
      <c r="H109" s="9"/>
      <c r="I109" s="10">
        <v>1.8</v>
      </c>
      <c r="J109">
        <v>14.15</v>
      </c>
      <c r="K109" s="12">
        <f t="shared" ref="K109:K111" si="12">I109*J109</f>
        <v>25.470000000000002</v>
      </c>
    </row>
    <row r="110" spans="2:11">
      <c r="C110" t="s">
        <v>299</v>
      </c>
      <c r="G110" s="8" t="s">
        <v>149</v>
      </c>
      <c r="H110" s="9"/>
      <c r="I110" s="10">
        <v>0.2</v>
      </c>
      <c r="J110">
        <v>55</v>
      </c>
      <c r="K110" s="12">
        <f t="shared" si="12"/>
        <v>11</v>
      </c>
    </row>
    <row r="111" spans="2:11">
      <c r="C111" t="s">
        <v>300</v>
      </c>
      <c r="G111" s="8" t="s">
        <v>296</v>
      </c>
      <c r="I111" s="10">
        <v>0.12</v>
      </c>
      <c r="J111">
        <v>10.93</v>
      </c>
      <c r="K111" s="12">
        <f t="shared" si="12"/>
        <v>1.3115999999999999</v>
      </c>
    </row>
    <row r="112" spans="2:11">
      <c r="C112" t="s">
        <v>301</v>
      </c>
      <c r="G112" s="8" t="s">
        <v>296</v>
      </c>
      <c r="I112" s="10">
        <v>0.05</v>
      </c>
      <c r="J112" s="12">
        <v>5.51</v>
      </c>
      <c r="K112" s="12">
        <f>I112*J112</f>
        <v>0.27550000000000002</v>
      </c>
    </row>
    <row r="113" spans="2:11">
      <c r="C113" t="s">
        <v>312</v>
      </c>
      <c r="G113" s="8" t="s">
        <v>149</v>
      </c>
      <c r="I113">
        <v>0.04</v>
      </c>
      <c r="J113">
        <v>1567.8</v>
      </c>
      <c r="K113" s="12">
        <f>I113*J113</f>
        <v>62.711999999999996</v>
      </c>
    </row>
    <row r="114" spans="2:11">
      <c r="C114" t="s">
        <v>302</v>
      </c>
      <c r="G114" s="8" t="s">
        <v>203</v>
      </c>
      <c r="I114" s="10">
        <v>0.19</v>
      </c>
      <c r="J114" s="12">
        <v>70.92</v>
      </c>
      <c r="K114" s="12">
        <f>I114*J114</f>
        <v>13.4748</v>
      </c>
    </row>
    <row r="115" spans="2:11">
      <c r="C115" t="s">
        <v>303</v>
      </c>
      <c r="G115" s="8" t="s">
        <v>298</v>
      </c>
      <c r="I115" s="10">
        <v>0.53</v>
      </c>
      <c r="J115">
        <v>27.88</v>
      </c>
      <c r="K115" s="12">
        <f>I115*J115</f>
        <v>14.776400000000001</v>
      </c>
    </row>
    <row r="116" spans="2:11">
      <c r="C116" t="s">
        <v>306</v>
      </c>
      <c r="G116" s="8" t="s">
        <v>307</v>
      </c>
      <c r="I116" s="10">
        <v>1.0920000000000001</v>
      </c>
      <c r="J116" s="12">
        <v>24.52</v>
      </c>
      <c r="K116" s="12">
        <f t="shared" ref="K116:K117" si="13">I116*J116</f>
        <v>26.775840000000002</v>
      </c>
    </row>
    <row r="117" spans="2:11">
      <c r="C117" t="s">
        <v>308</v>
      </c>
      <c r="G117" s="8" t="s">
        <v>305</v>
      </c>
      <c r="I117" s="10">
        <v>3</v>
      </c>
      <c r="J117" s="12">
        <v>5.8</v>
      </c>
      <c r="K117" s="12">
        <f t="shared" si="13"/>
        <v>17.399999999999999</v>
      </c>
    </row>
    <row r="118" spans="2:11">
      <c r="G118" s="8"/>
      <c r="I118" s="10"/>
      <c r="J118" s="12"/>
      <c r="K118" s="6">
        <f>SUM(K108:K117)</f>
        <v>176.49614</v>
      </c>
    </row>
    <row r="119" spans="2:11">
      <c r="C119" s="7" t="s">
        <v>309</v>
      </c>
    </row>
    <row r="120" spans="2:11">
      <c r="C120" t="s">
        <v>310</v>
      </c>
      <c r="G120" s="8" t="s">
        <v>311</v>
      </c>
      <c r="I120" s="10">
        <v>5</v>
      </c>
      <c r="J120" s="12">
        <f>K106</f>
        <v>28.282499999999999</v>
      </c>
      <c r="K120" s="12">
        <f>I120%*J120</f>
        <v>1.4141250000000001</v>
      </c>
    </row>
    <row r="121" spans="2:11">
      <c r="B121" s="14"/>
      <c r="C121" s="14"/>
      <c r="D121" s="14"/>
      <c r="E121" s="14"/>
      <c r="F121" s="14"/>
      <c r="G121" s="14"/>
      <c r="H121" s="14"/>
      <c r="I121" s="14"/>
      <c r="J121" s="14"/>
      <c r="K121" s="16">
        <f>SUM(K120)</f>
        <v>1.4141250000000001</v>
      </c>
    </row>
    <row r="123" spans="2:11">
      <c r="B123" s="2" t="s">
        <v>277</v>
      </c>
      <c r="C123" s="2" t="str">
        <f>PROVISIONALES!A11</f>
        <v>1.1.1.6</v>
      </c>
      <c r="D123" s="2" t="s">
        <v>143</v>
      </c>
      <c r="E123" s="2"/>
      <c r="F123" s="2"/>
      <c r="G123" s="2"/>
      <c r="H123" s="2"/>
      <c r="I123" s="2"/>
      <c r="J123" s="2"/>
    </row>
    <row r="124" spans="2:11">
      <c r="B124" s="2" t="s">
        <v>278</v>
      </c>
      <c r="C124" s="2" t="s">
        <v>313</v>
      </c>
      <c r="D124" s="4" t="s">
        <v>280</v>
      </c>
      <c r="E124" s="5">
        <v>30</v>
      </c>
      <c r="F124" s="4" t="s">
        <v>281</v>
      </c>
      <c r="G124" s="5">
        <f>E124</f>
        <v>30</v>
      </c>
      <c r="H124" s="2" t="s">
        <v>282</v>
      </c>
      <c r="J124" s="4" t="s">
        <v>144</v>
      </c>
      <c r="K124" s="6">
        <f>K129+K134+K137</f>
        <v>44.069546666666668</v>
      </c>
    </row>
    <row r="125" spans="2:11">
      <c r="B125" s="2" t="s">
        <v>283</v>
      </c>
      <c r="C125" s="2" t="s">
        <v>284</v>
      </c>
      <c r="G125" s="4" t="s">
        <v>122</v>
      </c>
      <c r="H125" s="4" t="s">
        <v>285</v>
      </c>
      <c r="I125" s="4" t="s">
        <v>286</v>
      </c>
      <c r="J125" s="4" t="s">
        <v>287</v>
      </c>
      <c r="K125" s="4" t="s">
        <v>288</v>
      </c>
    </row>
    <row r="126" spans="2:11">
      <c r="C126" s="7" t="s">
        <v>289</v>
      </c>
    </row>
    <row r="127" spans="2:11">
      <c r="C127" t="s">
        <v>292</v>
      </c>
      <c r="G127" s="8" t="s">
        <v>291</v>
      </c>
      <c r="H127" s="9">
        <v>1</v>
      </c>
      <c r="I127" s="10">
        <f>H127*8/$E$124</f>
        <v>0.26666666666666666</v>
      </c>
      <c r="J127" s="12">
        <v>23.6</v>
      </c>
      <c r="K127" s="12">
        <f>I127*J127</f>
        <v>6.2933333333333339</v>
      </c>
    </row>
    <row r="128" spans="2:11">
      <c r="C128" t="s">
        <v>293</v>
      </c>
      <c r="G128" s="8" t="s">
        <v>291</v>
      </c>
      <c r="H128" s="9">
        <v>1</v>
      </c>
      <c r="I128" s="10">
        <f>H128*8/$E$124</f>
        <v>0.26666666666666666</v>
      </c>
      <c r="J128" s="12">
        <v>20.51</v>
      </c>
      <c r="K128" s="12">
        <f>I128*J128</f>
        <v>5.469333333333334</v>
      </c>
    </row>
    <row r="129" spans="2:11">
      <c r="K129" s="6">
        <f>SUM(K127:K128)</f>
        <v>11.762666666666668</v>
      </c>
    </row>
    <row r="130" spans="2:11">
      <c r="C130" s="7" t="s">
        <v>294</v>
      </c>
    </row>
    <row r="131" spans="2:11">
      <c r="C131" t="s">
        <v>314</v>
      </c>
      <c r="G131" s="8" t="s">
        <v>315</v>
      </c>
      <c r="H131" s="9"/>
      <c r="I131" s="10">
        <v>1</v>
      </c>
      <c r="J131" s="12">
        <v>8.5</v>
      </c>
      <c r="K131" s="12">
        <f>I131*J131</f>
        <v>8.5</v>
      </c>
    </row>
    <row r="132" spans="2:11">
      <c r="C132" t="s">
        <v>316</v>
      </c>
      <c r="G132" s="8" t="s">
        <v>296</v>
      </c>
      <c r="H132" s="9"/>
      <c r="I132" s="10">
        <v>0.05</v>
      </c>
      <c r="J132" s="12">
        <v>5.08</v>
      </c>
      <c r="K132" s="12">
        <f>I132*J132</f>
        <v>0.254</v>
      </c>
    </row>
    <row r="133" spans="2:11">
      <c r="C133" t="s">
        <v>308</v>
      </c>
      <c r="G133" s="8" t="s">
        <v>305</v>
      </c>
      <c r="I133" s="10">
        <v>4</v>
      </c>
      <c r="J133" s="12">
        <v>5.8</v>
      </c>
      <c r="K133" s="12">
        <f>I133*J133</f>
        <v>23.2</v>
      </c>
    </row>
    <row r="134" spans="2:11">
      <c r="K134" s="6">
        <f>SUM(K131:K133)</f>
        <v>31.954000000000001</v>
      </c>
    </row>
    <row r="135" spans="2:11">
      <c r="C135" s="7" t="s">
        <v>317</v>
      </c>
    </row>
    <row r="136" spans="2:11">
      <c r="C136" t="s">
        <v>310</v>
      </c>
      <c r="G136" s="8" t="s">
        <v>311</v>
      </c>
      <c r="I136" s="10">
        <v>3</v>
      </c>
      <c r="J136" s="12">
        <f>K129</f>
        <v>11.762666666666668</v>
      </c>
      <c r="K136" s="12">
        <f>I136%*J136</f>
        <v>0.35288000000000003</v>
      </c>
    </row>
    <row r="137" spans="2:11">
      <c r="B137" s="14"/>
      <c r="C137" s="14"/>
      <c r="D137" s="14"/>
      <c r="E137" s="14"/>
      <c r="F137" s="14"/>
      <c r="G137" s="44"/>
      <c r="H137" s="45"/>
      <c r="I137" s="46"/>
      <c r="J137" s="106"/>
      <c r="K137" s="16">
        <f>SUM(K136)</f>
        <v>0.35288000000000003</v>
      </c>
    </row>
    <row r="139" spans="2:11">
      <c r="B139" s="2" t="s">
        <v>277</v>
      </c>
      <c r="C139" s="2" t="str">
        <f>PROVISIONALES!A12</f>
        <v>1.1.1.7</v>
      </c>
      <c r="D139" s="2" t="s">
        <v>146</v>
      </c>
      <c r="E139" s="2"/>
      <c r="F139" s="2"/>
      <c r="G139" s="2"/>
      <c r="H139" s="2"/>
      <c r="I139" s="2"/>
      <c r="J139" s="2"/>
    </row>
    <row r="140" spans="2:11">
      <c r="B140" s="2" t="s">
        <v>278</v>
      </c>
      <c r="C140" s="2" t="s">
        <v>279</v>
      </c>
      <c r="D140" s="4" t="s">
        <v>280</v>
      </c>
      <c r="E140" s="5">
        <v>20</v>
      </c>
      <c r="F140" s="4" t="s">
        <v>281</v>
      </c>
      <c r="G140" s="5">
        <f>E140</f>
        <v>20</v>
      </c>
      <c r="H140" s="2" t="s">
        <v>282</v>
      </c>
      <c r="J140" s="4" t="s">
        <v>149</v>
      </c>
      <c r="K140" s="6">
        <f>K145+K164+K166</f>
        <v>343.16158999999999</v>
      </c>
    </row>
    <row r="141" spans="2:11">
      <c r="B141" s="2" t="s">
        <v>283</v>
      </c>
      <c r="C141" s="2" t="s">
        <v>284</v>
      </c>
      <c r="G141" s="4" t="s">
        <v>122</v>
      </c>
      <c r="H141" s="4" t="s">
        <v>285</v>
      </c>
      <c r="I141" s="4" t="s">
        <v>286</v>
      </c>
      <c r="J141" s="4" t="s">
        <v>287</v>
      </c>
      <c r="K141" s="4" t="s">
        <v>288</v>
      </c>
    </row>
    <row r="142" spans="2:11">
      <c r="C142" s="7" t="s">
        <v>289</v>
      </c>
    </row>
    <row r="143" spans="2:11">
      <c r="C143" t="s">
        <v>290</v>
      </c>
      <c r="G143" s="8" t="s">
        <v>291</v>
      </c>
      <c r="H143" s="9">
        <v>1</v>
      </c>
      <c r="I143" s="10">
        <f>H143*8/$E$140</f>
        <v>0.4</v>
      </c>
      <c r="J143" s="12">
        <v>28.94</v>
      </c>
      <c r="K143" s="12">
        <f t="shared" ref="K143" si="14">I143*J143</f>
        <v>11.576000000000001</v>
      </c>
    </row>
    <row r="144" spans="2:11">
      <c r="C144" t="s">
        <v>293</v>
      </c>
      <c r="G144" s="8" t="s">
        <v>291</v>
      </c>
      <c r="H144" s="9">
        <v>2</v>
      </c>
      <c r="I144" s="10">
        <f>H144*8/$E$140</f>
        <v>0.8</v>
      </c>
      <c r="J144" s="12">
        <v>20.51</v>
      </c>
      <c r="K144" s="12">
        <f>I144*J144</f>
        <v>16.408000000000001</v>
      </c>
    </row>
    <row r="145" spans="3:11">
      <c r="K145" s="6">
        <f>SUM(K143:K144)</f>
        <v>27.984000000000002</v>
      </c>
    </row>
    <row r="146" spans="3:11">
      <c r="C146" s="7" t="s">
        <v>294</v>
      </c>
    </row>
    <row r="147" spans="3:11">
      <c r="C147" t="s">
        <v>295</v>
      </c>
      <c r="G147" s="8" t="s">
        <v>296</v>
      </c>
      <c r="H147" s="9"/>
      <c r="I147" s="10">
        <v>1.25</v>
      </c>
      <c r="J147" s="12">
        <v>2.64</v>
      </c>
      <c r="K147" s="12">
        <f>I147*J147</f>
        <v>3.3000000000000003</v>
      </c>
    </row>
    <row r="148" spans="3:11">
      <c r="C148" t="s">
        <v>297</v>
      </c>
      <c r="G148" s="8" t="s">
        <v>298</v>
      </c>
      <c r="H148" s="9"/>
      <c r="I148" s="10">
        <v>0.85</v>
      </c>
      <c r="J148">
        <v>14.15</v>
      </c>
      <c r="K148" s="12">
        <f t="shared" ref="K148:K150" si="15">I148*J148</f>
        <v>12.0275</v>
      </c>
    </row>
    <row r="149" spans="3:11">
      <c r="C149" t="s">
        <v>299</v>
      </c>
      <c r="G149" s="8" t="s">
        <v>149</v>
      </c>
      <c r="H149" s="9"/>
      <c r="I149" s="10">
        <v>0.2</v>
      </c>
      <c r="J149">
        <v>55</v>
      </c>
      <c r="K149" s="12">
        <f t="shared" si="15"/>
        <v>11</v>
      </c>
    </row>
    <row r="150" spans="3:11">
      <c r="C150" t="s">
        <v>300</v>
      </c>
      <c r="G150" s="8" t="s">
        <v>296</v>
      </c>
      <c r="I150" s="10">
        <v>0.04</v>
      </c>
      <c r="J150">
        <v>10.93</v>
      </c>
      <c r="K150" s="12">
        <f t="shared" si="15"/>
        <v>0.43719999999999998</v>
      </c>
    </row>
    <row r="151" spans="3:11">
      <c r="C151" t="s">
        <v>301</v>
      </c>
      <c r="G151" s="8" t="s">
        <v>296</v>
      </c>
      <c r="I151" s="10">
        <v>7.0999999999999994E-2</v>
      </c>
      <c r="J151" s="12">
        <v>5.51</v>
      </c>
      <c r="K151" s="12">
        <f>I151*J151</f>
        <v>0.39120999999999995</v>
      </c>
    </row>
    <row r="152" spans="3:11">
      <c r="C152" t="s">
        <v>302</v>
      </c>
      <c r="G152" s="8" t="s">
        <v>203</v>
      </c>
      <c r="I152" s="10">
        <v>0.19</v>
      </c>
      <c r="J152" s="12">
        <v>70.92</v>
      </c>
      <c r="K152" s="12">
        <f>I152*J152</f>
        <v>13.4748</v>
      </c>
    </row>
    <row r="153" spans="3:11">
      <c r="C153" t="s">
        <v>303</v>
      </c>
      <c r="G153" s="8" t="s">
        <v>298</v>
      </c>
      <c r="I153" s="10">
        <v>0.53</v>
      </c>
      <c r="J153">
        <v>27.88</v>
      </c>
      <c r="K153" s="12">
        <f t="shared" ref="K153:K163" si="16">I153*J153</f>
        <v>14.776400000000001</v>
      </c>
    </row>
    <row r="154" spans="3:11">
      <c r="C154" t="s">
        <v>304</v>
      </c>
      <c r="G154" s="8" t="s">
        <v>305</v>
      </c>
      <c r="I154" s="10">
        <v>0.2374</v>
      </c>
      <c r="J154">
        <v>32.200000000000003</v>
      </c>
      <c r="K154" s="12">
        <f t="shared" si="16"/>
        <v>7.6442800000000011</v>
      </c>
    </row>
    <row r="155" spans="3:11">
      <c r="C155" t="s">
        <v>306</v>
      </c>
      <c r="G155" s="8" t="s">
        <v>307</v>
      </c>
      <c r="I155" s="10">
        <v>0.5</v>
      </c>
      <c r="J155" s="12">
        <v>24.52</v>
      </c>
      <c r="K155" s="12">
        <f t="shared" si="16"/>
        <v>12.26</v>
      </c>
    </row>
    <row r="156" spans="3:11">
      <c r="C156" t="s">
        <v>308</v>
      </c>
      <c r="G156" s="8" t="s">
        <v>305</v>
      </c>
      <c r="I156" s="10">
        <v>3</v>
      </c>
      <c r="J156" s="12">
        <v>5.8</v>
      </c>
      <c r="K156" s="12">
        <f t="shared" si="16"/>
        <v>17.399999999999999</v>
      </c>
    </row>
    <row r="157" spans="3:11">
      <c r="C157" t="s">
        <v>318</v>
      </c>
      <c r="G157" s="8" t="s">
        <v>149</v>
      </c>
      <c r="I157" s="10">
        <v>0.69399999999999995</v>
      </c>
      <c r="J157" s="12">
        <v>120</v>
      </c>
      <c r="K157" s="12">
        <f t="shared" si="16"/>
        <v>83.28</v>
      </c>
    </row>
    <row r="158" spans="3:11">
      <c r="C158" t="s">
        <v>319</v>
      </c>
      <c r="G158" s="8" t="s">
        <v>144</v>
      </c>
      <c r="I158" s="10">
        <v>1.042</v>
      </c>
      <c r="J158" s="12">
        <v>25</v>
      </c>
      <c r="K158" s="12">
        <f t="shared" si="16"/>
        <v>26.05</v>
      </c>
    </row>
    <row r="159" spans="3:11">
      <c r="C159" t="s">
        <v>320</v>
      </c>
      <c r="G159" s="8" t="s">
        <v>149</v>
      </c>
      <c r="I159" s="10">
        <v>0.69399999999999995</v>
      </c>
      <c r="J159" s="12">
        <v>18</v>
      </c>
      <c r="K159" s="12">
        <f t="shared" si="16"/>
        <v>12.491999999999999</v>
      </c>
    </row>
    <row r="160" spans="3:11">
      <c r="C160" t="s">
        <v>321</v>
      </c>
      <c r="G160" s="8" t="s">
        <v>149</v>
      </c>
      <c r="I160" s="10">
        <v>0.13900000000000001</v>
      </c>
      <c r="J160" s="12">
        <v>15</v>
      </c>
      <c r="K160" s="12">
        <f t="shared" si="16"/>
        <v>2.085</v>
      </c>
    </row>
    <row r="161" spans="2:11">
      <c r="C161" t="s">
        <v>322</v>
      </c>
      <c r="G161" s="8" t="s">
        <v>149</v>
      </c>
      <c r="I161" s="10">
        <v>0.69399999999999995</v>
      </c>
      <c r="J161" s="12">
        <v>80</v>
      </c>
      <c r="K161" s="12">
        <f t="shared" si="16"/>
        <v>55.519999999999996</v>
      </c>
    </row>
    <row r="162" spans="2:11">
      <c r="C162" t="s">
        <v>323</v>
      </c>
      <c r="G162" s="8" t="s">
        <v>149</v>
      </c>
      <c r="I162" s="10">
        <v>0.69399999999999995</v>
      </c>
      <c r="J162" s="12">
        <v>40</v>
      </c>
      <c r="K162" s="12">
        <f t="shared" si="16"/>
        <v>27.759999999999998</v>
      </c>
    </row>
    <row r="163" spans="2:11">
      <c r="C163" t="s">
        <v>324</v>
      </c>
      <c r="G163" s="8" t="s">
        <v>149</v>
      </c>
      <c r="I163" s="10">
        <v>0.69399999999999995</v>
      </c>
      <c r="J163" s="12">
        <v>20</v>
      </c>
      <c r="K163" s="12">
        <f t="shared" si="16"/>
        <v>13.879999999999999</v>
      </c>
    </row>
    <row r="164" spans="2:11">
      <c r="C164" s="7" t="s">
        <v>309</v>
      </c>
      <c r="K164" s="6">
        <f>SUM(K147:K163)</f>
        <v>313.77839</v>
      </c>
    </row>
    <row r="165" spans="2:11">
      <c r="C165" t="s">
        <v>310</v>
      </c>
      <c r="G165" s="8" t="s">
        <v>311</v>
      </c>
      <c r="I165" s="10">
        <v>5</v>
      </c>
      <c r="J165" s="12">
        <f>K145</f>
        <v>27.984000000000002</v>
      </c>
      <c r="K165" s="12">
        <f>I165%*J165</f>
        <v>1.3992000000000002</v>
      </c>
    </row>
    <row r="166" spans="2:11">
      <c r="B166" s="14"/>
      <c r="C166" s="14"/>
      <c r="D166" s="14"/>
      <c r="E166" s="14"/>
      <c r="F166" s="14"/>
      <c r="G166" s="14"/>
      <c r="H166" s="14"/>
      <c r="I166" s="14"/>
      <c r="J166" s="14"/>
      <c r="K166" s="16">
        <f>SUM(K165)</f>
        <v>1.3992000000000002</v>
      </c>
    </row>
    <row r="168" spans="2:11">
      <c r="B168" s="2" t="s">
        <v>277</v>
      </c>
      <c r="C168" s="2" t="str">
        <f>PROVISIONALES!A13</f>
        <v>1.1.1.8</v>
      </c>
      <c r="D168" s="2" t="s">
        <v>148</v>
      </c>
      <c r="E168" s="2"/>
      <c r="F168" s="2"/>
      <c r="G168" s="2"/>
      <c r="H168" s="2"/>
      <c r="I168" s="2"/>
      <c r="J168" s="2"/>
    </row>
    <row r="169" spans="2:11">
      <c r="B169" s="2" t="s">
        <v>278</v>
      </c>
      <c r="C169" s="2" t="s">
        <v>325</v>
      </c>
      <c r="D169" s="4" t="s">
        <v>280</v>
      </c>
      <c r="E169" s="5">
        <v>1</v>
      </c>
      <c r="F169" s="4" t="s">
        <v>281</v>
      </c>
      <c r="G169" s="5">
        <f>E169</f>
        <v>1</v>
      </c>
      <c r="H169" s="2" t="s">
        <v>282</v>
      </c>
      <c r="J169" s="4" t="s">
        <v>149</v>
      </c>
      <c r="K169" s="6">
        <f>K175++K186+K189</f>
        <v>1453.7775200000001</v>
      </c>
    </row>
    <row r="170" spans="2:11">
      <c r="B170" s="2" t="s">
        <v>283</v>
      </c>
      <c r="C170" s="2" t="s">
        <v>284</v>
      </c>
      <c r="G170" s="4" t="s">
        <v>122</v>
      </c>
      <c r="H170" s="4" t="s">
        <v>285</v>
      </c>
      <c r="I170" s="4" t="s">
        <v>286</v>
      </c>
      <c r="J170" s="4" t="s">
        <v>287</v>
      </c>
      <c r="K170" s="4" t="s">
        <v>288</v>
      </c>
    </row>
    <row r="171" spans="2:11">
      <c r="C171" s="7" t="s">
        <v>289</v>
      </c>
    </row>
    <row r="172" spans="2:11">
      <c r="C172" t="s">
        <v>290</v>
      </c>
      <c r="G172" s="8" t="s">
        <v>291</v>
      </c>
      <c r="H172" s="9">
        <v>1</v>
      </c>
      <c r="I172" s="10">
        <f>H172*8/$E$169</f>
        <v>8</v>
      </c>
      <c r="J172" s="12">
        <v>28.94</v>
      </c>
      <c r="K172" s="12">
        <f t="shared" ref="K172:K173" si="17">I172*J172</f>
        <v>231.52</v>
      </c>
    </row>
    <row r="173" spans="2:11">
      <c r="C173" t="s">
        <v>292</v>
      </c>
      <c r="G173" s="8" t="s">
        <v>291</v>
      </c>
      <c r="H173" s="9">
        <v>0.5</v>
      </c>
      <c r="I173" s="10">
        <f>H173*8/$E$169</f>
        <v>4</v>
      </c>
      <c r="J173" s="12">
        <v>22.66</v>
      </c>
      <c r="K173" s="12">
        <f t="shared" si="17"/>
        <v>90.64</v>
      </c>
    </row>
    <row r="174" spans="2:11">
      <c r="C174" t="s">
        <v>293</v>
      </c>
      <c r="G174" s="8" t="s">
        <v>291</v>
      </c>
      <c r="H174" s="9">
        <v>1</v>
      </c>
      <c r="I174" s="10">
        <f>H174*8/$E$169</f>
        <v>8</v>
      </c>
      <c r="J174" s="12">
        <v>20.51</v>
      </c>
      <c r="K174" s="12">
        <f>I174*J174</f>
        <v>164.08</v>
      </c>
    </row>
    <row r="175" spans="2:11">
      <c r="K175" s="6">
        <f>SUM(K172:K174)</f>
        <v>486.24</v>
      </c>
    </row>
    <row r="176" spans="2:11">
      <c r="C176" s="7" t="s">
        <v>294</v>
      </c>
    </row>
    <row r="177" spans="2:11">
      <c r="C177" t="s">
        <v>326</v>
      </c>
      <c r="G177" s="8" t="s">
        <v>149</v>
      </c>
      <c r="H177" s="9"/>
      <c r="I177" s="10">
        <v>1</v>
      </c>
      <c r="J177" s="12">
        <v>355.93</v>
      </c>
      <c r="K177" s="12">
        <f>I177*J177</f>
        <v>355.93</v>
      </c>
    </row>
    <row r="178" spans="2:11">
      <c r="C178" t="s">
        <v>301</v>
      </c>
      <c r="G178" s="8" t="s">
        <v>296</v>
      </c>
      <c r="I178" s="10">
        <v>1.4</v>
      </c>
      <c r="J178" s="12">
        <v>5.51</v>
      </c>
      <c r="K178" s="12">
        <f t="shared" ref="K178:K185" si="18">I178*J178</f>
        <v>7.7139999999999995</v>
      </c>
    </row>
    <row r="179" spans="2:11">
      <c r="C179" t="s">
        <v>302</v>
      </c>
      <c r="G179" s="8" t="s">
        <v>203</v>
      </c>
      <c r="I179" s="10">
        <v>0.252</v>
      </c>
      <c r="J179" s="12">
        <v>70.92</v>
      </c>
      <c r="K179" s="12">
        <f t="shared" si="18"/>
        <v>17.871839999999999</v>
      </c>
    </row>
    <row r="180" spans="2:11">
      <c r="C180" t="s">
        <v>327</v>
      </c>
      <c r="G180" t="s">
        <v>149</v>
      </c>
      <c r="I180">
        <v>10</v>
      </c>
      <c r="J180">
        <v>3.9</v>
      </c>
      <c r="K180" s="12">
        <f>I180*J180</f>
        <v>39</v>
      </c>
    </row>
    <row r="181" spans="2:11">
      <c r="C181" t="s">
        <v>328</v>
      </c>
      <c r="G181" s="8" t="s">
        <v>203</v>
      </c>
      <c r="I181">
        <v>0.252</v>
      </c>
      <c r="J181">
        <v>80</v>
      </c>
      <c r="K181" s="12">
        <f t="shared" si="18"/>
        <v>20.16</v>
      </c>
    </row>
    <row r="182" spans="2:11">
      <c r="C182" t="s">
        <v>329</v>
      </c>
      <c r="G182" t="s">
        <v>330</v>
      </c>
      <c r="I182">
        <v>2</v>
      </c>
      <c r="J182">
        <v>44.83</v>
      </c>
      <c r="K182" s="12">
        <f t="shared" si="18"/>
        <v>89.66</v>
      </c>
    </row>
    <row r="183" spans="2:11">
      <c r="C183" t="s">
        <v>303</v>
      </c>
      <c r="G183" s="8" t="s">
        <v>298</v>
      </c>
      <c r="I183" s="10">
        <v>3</v>
      </c>
      <c r="J183">
        <v>27.88</v>
      </c>
      <c r="K183" s="12">
        <f t="shared" si="18"/>
        <v>83.64</v>
      </c>
    </row>
    <row r="184" spans="2:11">
      <c r="C184" t="s">
        <v>306</v>
      </c>
      <c r="G184" s="8" t="s">
        <v>307</v>
      </c>
      <c r="I184" s="10">
        <v>2.3340000000000001</v>
      </c>
      <c r="J184" s="12">
        <v>24.52</v>
      </c>
      <c r="K184" s="12">
        <f t="shared" si="18"/>
        <v>57.229680000000002</v>
      </c>
    </row>
    <row r="185" spans="2:11">
      <c r="C185" t="s">
        <v>308</v>
      </c>
      <c r="G185" s="8" t="s">
        <v>305</v>
      </c>
      <c r="I185" s="10">
        <v>46.9</v>
      </c>
      <c r="J185" s="12">
        <v>5.8</v>
      </c>
      <c r="K185" s="12">
        <f t="shared" si="18"/>
        <v>272.02</v>
      </c>
    </row>
    <row r="186" spans="2:11">
      <c r="G186" s="8"/>
      <c r="I186" s="10"/>
      <c r="J186" s="12"/>
      <c r="K186" s="6">
        <f>SUM(K177:K185)</f>
        <v>943.22552000000007</v>
      </c>
    </row>
    <row r="187" spans="2:11">
      <c r="C187" s="7" t="s">
        <v>309</v>
      </c>
    </row>
    <row r="188" spans="2:11">
      <c r="C188" t="s">
        <v>310</v>
      </c>
      <c r="G188" s="8" t="s">
        <v>311</v>
      </c>
      <c r="I188" s="10">
        <v>5</v>
      </c>
      <c r="J188" s="12">
        <f>K175</f>
        <v>486.24</v>
      </c>
      <c r="K188" s="12">
        <f>I188%*J188</f>
        <v>24.312000000000001</v>
      </c>
    </row>
    <row r="189" spans="2:11">
      <c r="B189" s="14"/>
      <c r="C189" s="14"/>
      <c r="D189" s="14"/>
      <c r="E189" s="14"/>
      <c r="F189" s="14"/>
      <c r="G189" s="14"/>
      <c r="H189" s="14"/>
      <c r="I189" s="14"/>
      <c r="J189" s="14"/>
      <c r="K189" s="16">
        <f>SUM(K188)</f>
        <v>24.312000000000001</v>
      </c>
    </row>
    <row r="191" spans="2:11">
      <c r="B191" s="2" t="s">
        <v>277</v>
      </c>
      <c r="C191" s="2" t="str">
        <f>PROVISIONALES!A15</f>
        <v>1.1.2.1</v>
      </c>
      <c r="D191" s="2" t="s">
        <v>153</v>
      </c>
      <c r="E191" s="2"/>
      <c r="F191" s="2"/>
      <c r="G191" s="2"/>
      <c r="H191" s="2"/>
      <c r="I191" s="2"/>
      <c r="J191" s="2"/>
    </row>
    <row r="192" spans="2:11">
      <c r="B192" s="2" t="s">
        <v>278</v>
      </c>
      <c r="C192" s="2" t="s">
        <v>331</v>
      </c>
      <c r="D192" s="4" t="s">
        <v>280</v>
      </c>
      <c r="E192" s="5">
        <v>1</v>
      </c>
      <c r="F192" s="4" t="s">
        <v>281</v>
      </c>
      <c r="G192" s="5">
        <f>E192</f>
        <v>1</v>
      </c>
      <c r="H192" s="2" t="s">
        <v>282</v>
      </c>
      <c r="J192" s="4" t="s">
        <v>154</v>
      </c>
      <c r="K192" s="6">
        <f>K196</f>
        <v>251.61</v>
      </c>
    </row>
    <row r="193" spans="2:11">
      <c r="B193" s="2" t="s">
        <v>283</v>
      </c>
      <c r="C193" s="2" t="s">
        <v>284</v>
      </c>
      <c r="G193" s="4" t="s">
        <v>122</v>
      </c>
      <c r="H193" s="4" t="s">
        <v>285</v>
      </c>
      <c r="I193" s="4" t="s">
        <v>286</v>
      </c>
      <c r="J193" s="4" t="s">
        <v>287</v>
      </c>
      <c r="K193" s="4" t="s">
        <v>288</v>
      </c>
    </row>
    <row r="194" spans="2:11">
      <c r="C194" s="7" t="s">
        <v>294</v>
      </c>
    </row>
    <row r="195" spans="2:11">
      <c r="C195" t="s">
        <v>153</v>
      </c>
      <c r="G195" s="8" t="s">
        <v>154</v>
      </c>
      <c r="H195" s="9"/>
      <c r="I195" s="10">
        <v>1</v>
      </c>
      <c r="J195">
        <v>251.61</v>
      </c>
      <c r="K195" s="12">
        <f>I195*J195</f>
        <v>251.61</v>
      </c>
    </row>
    <row r="196" spans="2:11">
      <c r="B196" s="14"/>
      <c r="C196" s="14"/>
      <c r="D196" s="14"/>
      <c r="E196" s="14"/>
      <c r="F196" s="14"/>
      <c r="G196" s="14"/>
      <c r="H196" s="14"/>
      <c r="I196" s="14"/>
      <c r="J196" s="14"/>
      <c r="K196" s="16">
        <f>SUM(K195)</f>
        <v>251.61</v>
      </c>
    </row>
    <row r="198" spans="2:11">
      <c r="B198" s="2" t="s">
        <v>277</v>
      </c>
      <c r="C198" s="2" t="str">
        <f>PROVISIONALES!A16</f>
        <v>1.1.2.2</v>
      </c>
      <c r="D198" s="2" t="s">
        <v>156</v>
      </c>
      <c r="E198" s="2"/>
      <c r="F198" s="2"/>
      <c r="G198" s="2"/>
      <c r="H198" s="2"/>
      <c r="I198" s="2"/>
      <c r="J198" s="2"/>
    </row>
    <row r="199" spans="2:11">
      <c r="B199" s="2" t="s">
        <v>278</v>
      </c>
      <c r="C199" s="2" t="s">
        <v>332</v>
      </c>
      <c r="D199" s="4" t="s">
        <v>280</v>
      </c>
      <c r="E199" s="5">
        <v>1</v>
      </c>
      <c r="F199" s="4" t="s">
        <v>281</v>
      </c>
      <c r="G199" s="5">
        <f>E199</f>
        <v>1</v>
      </c>
      <c r="H199" s="2" t="s">
        <v>282</v>
      </c>
      <c r="J199" s="4" t="s">
        <v>157</v>
      </c>
      <c r="K199" s="6">
        <f>K203</f>
        <v>185.89</v>
      </c>
    </row>
    <row r="200" spans="2:11">
      <c r="B200" s="2" t="s">
        <v>283</v>
      </c>
      <c r="C200" s="2" t="s">
        <v>284</v>
      </c>
      <c r="G200" s="4" t="s">
        <v>122</v>
      </c>
      <c r="H200" s="4" t="s">
        <v>285</v>
      </c>
      <c r="I200" s="4" t="s">
        <v>286</v>
      </c>
      <c r="J200" s="4" t="s">
        <v>287</v>
      </c>
      <c r="K200" s="4" t="s">
        <v>288</v>
      </c>
    </row>
    <row r="201" spans="2:11">
      <c r="C201" s="7" t="s">
        <v>294</v>
      </c>
    </row>
    <row r="202" spans="2:11">
      <c r="C202" t="s">
        <v>156</v>
      </c>
      <c r="G202" s="8" t="s">
        <v>154</v>
      </c>
      <c r="H202" s="9"/>
      <c r="I202" s="10">
        <v>1</v>
      </c>
      <c r="J202">
        <v>185.89</v>
      </c>
      <c r="K202" s="12">
        <f>I202*J202</f>
        <v>185.89</v>
      </c>
    </row>
    <row r="203" spans="2:11">
      <c r="B203" s="14"/>
      <c r="C203" s="14"/>
      <c r="D203" s="14"/>
      <c r="E203" s="14"/>
      <c r="F203" s="14"/>
      <c r="G203" s="14"/>
      <c r="H203" s="14"/>
      <c r="I203" s="14"/>
      <c r="J203" s="14"/>
      <c r="K203" s="16">
        <f>SUM(K202)</f>
        <v>185.89</v>
      </c>
    </row>
    <row r="205" spans="2:11">
      <c r="B205" s="2" t="s">
        <v>277</v>
      </c>
      <c r="C205" s="2" t="str">
        <f>PROVISIONALES!A17</f>
        <v>1.1.2.3</v>
      </c>
      <c r="D205" s="2" t="s">
        <v>159</v>
      </c>
      <c r="E205" s="2"/>
      <c r="F205" s="2"/>
      <c r="G205" s="2"/>
      <c r="H205" s="2"/>
      <c r="I205" s="2"/>
      <c r="J205" s="2"/>
    </row>
    <row r="206" spans="2:11">
      <c r="B206" s="2" t="s">
        <v>278</v>
      </c>
      <c r="C206" s="2" t="s">
        <v>331</v>
      </c>
      <c r="D206" s="4" t="s">
        <v>280</v>
      </c>
      <c r="E206" s="5">
        <v>1</v>
      </c>
      <c r="F206" s="4" t="s">
        <v>281</v>
      </c>
      <c r="G206" s="5">
        <f>E206</f>
        <v>1</v>
      </c>
      <c r="H206" s="2" t="s">
        <v>282</v>
      </c>
      <c r="J206" s="4" t="s">
        <v>154</v>
      </c>
      <c r="K206" s="6">
        <f>K210</f>
        <v>976.39</v>
      </c>
    </row>
    <row r="207" spans="2:11">
      <c r="B207" s="2" t="s">
        <v>283</v>
      </c>
      <c r="C207" s="2" t="s">
        <v>284</v>
      </c>
      <c r="G207" s="4" t="s">
        <v>122</v>
      </c>
      <c r="H207" s="4" t="s">
        <v>285</v>
      </c>
      <c r="I207" s="4" t="s">
        <v>286</v>
      </c>
      <c r="J207" s="4" t="s">
        <v>287</v>
      </c>
      <c r="K207" s="4" t="s">
        <v>288</v>
      </c>
    </row>
    <row r="208" spans="2:11">
      <c r="C208" s="7" t="s">
        <v>294</v>
      </c>
    </row>
    <row r="209" spans="2:11">
      <c r="C209" t="s">
        <v>159</v>
      </c>
      <c r="G209" s="8" t="s">
        <v>154</v>
      </c>
      <c r="H209" s="9"/>
      <c r="I209" s="10">
        <v>1</v>
      </c>
      <c r="J209">
        <v>976.39</v>
      </c>
      <c r="K209" s="12">
        <f>I209*J209</f>
        <v>976.39</v>
      </c>
    </row>
    <row r="210" spans="2:11">
      <c r="B210" s="14"/>
      <c r="C210" s="14"/>
      <c r="D210" s="14"/>
      <c r="E210" s="14"/>
      <c r="F210" s="14"/>
      <c r="G210" s="14"/>
      <c r="H210" s="14"/>
      <c r="I210" s="14"/>
      <c r="J210" s="14"/>
      <c r="K210" s="16">
        <f>SUM(K209)</f>
        <v>976.39</v>
      </c>
    </row>
    <row r="212" spans="2:11">
      <c r="B212" s="2" t="s">
        <v>277</v>
      </c>
      <c r="C212" s="2" t="str">
        <f>PROVISIONALES!A18</f>
        <v>1.1.2.4</v>
      </c>
      <c r="D212" s="2" t="s">
        <v>161</v>
      </c>
      <c r="E212" s="2"/>
      <c r="F212" s="2"/>
      <c r="G212" s="2"/>
      <c r="H212" s="2"/>
      <c r="I212" s="2"/>
      <c r="J212" s="2"/>
    </row>
    <row r="213" spans="2:11">
      <c r="B213" s="2" t="s">
        <v>278</v>
      </c>
      <c r="C213" s="2" t="s">
        <v>332</v>
      </c>
      <c r="D213" s="4" t="s">
        <v>280</v>
      </c>
      <c r="E213" s="5">
        <v>1</v>
      </c>
      <c r="F213" s="4" t="s">
        <v>281</v>
      </c>
      <c r="G213" s="5">
        <f>E213</f>
        <v>1</v>
      </c>
      <c r="H213" s="2" t="s">
        <v>282</v>
      </c>
      <c r="J213" s="4" t="s">
        <v>157</v>
      </c>
      <c r="K213" s="6">
        <f>K217</f>
        <v>185.89</v>
      </c>
    </row>
    <row r="214" spans="2:11">
      <c r="B214" s="2" t="s">
        <v>283</v>
      </c>
      <c r="C214" s="2" t="s">
        <v>284</v>
      </c>
      <c r="G214" s="4" t="s">
        <v>122</v>
      </c>
      <c r="H214" s="4" t="s">
        <v>285</v>
      </c>
      <c r="I214" s="4" t="s">
        <v>286</v>
      </c>
      <c r="J214" s="4" t="s">
        <v>287</v>
      </c>
      <c r="K214" s="4" t="s">
        <v>288</v>
      </c>
    </row>
    <row r="215" spans="2:11">
      <c r="C215" s="7" t="s">
        <v>294</v>
      </c>
    </row>
    <row r="216" spans="2:11">
      <c r="C216" t="s">
        <v>161</v>
      </c>
      <c r="G216" s="8" t="s">
        <v>154</v>
      </c>
      <c r="H216" s="9"/>
      <c r="I216" s="10">
        <v>1</v>
      </c>
      <c r="J216">
        <v>185.89</v>
      </c>
      <c r="K216" s="12">
        <f>I216*J216</f>
        <v>185.89</v>
      </c>
    </row>
    <row r="217" spans="2:11">
      <c r="B217" s="14"/>
      <c r="C217" s="14"/>
      <c r="D217" s="14"/>
      <c r="E217" s="14"/>
      <c r="F217" s="14"/>
      <c r="G217" s="14"/>
      <c r="H217" s="14"/>
      <c r="I217" s="14"/>
      <c r="J217" s="14"/>
      <c r="K217" s="16">
        <f>SUM(K216)</f>
        <v>185.89</v>
      </c>
    </row>
    <row r="219" spans="2:11">
      <c r="B219" s="2" t="s">
        <v>333</v>
      </c>
      <c r="C219" s="2" t="str">
        <f>PROVISIONALES!A21</f>
        <v>1.2.1.1</v>
      </c>
      <c r="D219" s="2" t="s">
        <v>334</v>
      </c>
      <c r="E219" s="2"/>
      <c r="F219" s="2"/>
      <c r="G219" s="2"/>
      <c r="H219" s="2"/>
      <c r="I219" s="2"/>
      <c r="J219" s="2"/>
    </row>
    <row r="220" spans="2:11">
      <c r="B220" s="2" t="s">
        <v>278</v>
      </c>
      <c r="C220" s="2" t="s">
        <v>279</v>
      </c>
      <c r="D220" s="4" t="s">
        <v>280</v>
      </c>
      <c r="E220" s="5">
        <v>300</v>
      </c>
      <c r="F220" s="4" t="s">
        <v>281</v>
      </c>
      <c r="G220" s="5">
        <f>E220</f>
        <v>300</v>
      </c>
      <c r="H220" s="2" t="s">
        <v>282</v>
      </c>
      <c r="J220" s="4" t="s">
        <v>133</v>
      </c>
      <c r="K220" s="6">
        <f>K224+K227</f>
        <v>1.14856</v>
      </c>
    </row>
    <row r="221" spans="2:11">
      <c r="B221" s="2" t="s">
        <v>283</v>
      </c>
      <c r="C221" s="2" t="s">
        <v>284</v>
      </c>
      <c r="G221" s="4" t="s">
        <v>122</v>
      </c>
      <c r="H221" s="4" t="s">
        <v>285</v>
      </c>
      <c r="I221" s="4" t="s">
        <v>286</v>
      </c>
      <c r="J221" s="4" t="s">
        <v>287</v>
      </c>
      <c r="K221" s="4" t="s">
        <v>288</v>
      </c>
    </row>
    <row r="222" spans="2:11">
      <c r="C222" s="7" t="s">
        <v>289</v>
      </c>
    </row>
    <row r="223" spans="2:11">
      <c r="C223" t="s">
        <v>293</v>
      </c>
      <c r="G223" s="8" t="s">
        <v>291</v>
      </c>
      <c r="H223" s="9">
        <v>2</v>
      </c>
      <c r="I223" s="10">
        <f>H223*8/$E$220</f>
        <v>5.3333333333333337E-2</v>
      </c>
      <c r="J223" s="12">
        <v>20.51</v>
      </c>
      <c r="K223" s="12">
        <f>I223*J223</f>
        <v>1.0938666666666668</v>
      </c>
    </row>
    <row r="224" spans="2:11">
      <c r="K224" s="6">
        <f>SUM(K223)</f>
        <v>1.0938666666666668</v>
      </c>
    </row>
    <row r="225" spans="2:11">
      <c r="C225" s="7" t="s">
        <v>317</v>
      </c>
    </row>
    <row r="226" spans="2:11">
      <c r="C226" t="s">
        <v>310</v>
      </c>
      <c r="G226" s="8" t="s">
        <v>311</v>
      </c>
      <c r="I226" s="10">
        <v>5</v>
      </c>
      <c r="J226" s="12">
        <f>K223</f>
        <v>1.0938666666666668</v>
      </c>
      <c r="K226" s="12">
        <f>I226%*J226</f>
        <v>5.4693333333333344E-2</v>
      </c>
    </row>
    <row r="227" spans="2:11">
      <c r="B227" s="14"/>
      <c r="C227" s="14"/>
      <c r="D227" s="14"/>
      <c r="E227" s="14"/>
      <c r="F227" s="14"/>
      <c r="G227" s="14"/>
      <c r="H227" s="14"/>
      <c r="I227" s="14"/>
      <c r="J227" s="14"/>
      <c r="K227" s="16">
        <f>SUM(K226)</f>
        <v>5.4693333333333344E-2</v>
      </c>
    </row>
    <row r="229" spans="2:11">
      <c r="B229" s="2" t="s">
        <v>333</v>
      </c>
      <c r="C229" s="2" t="str">
        <f>PROVISIONALES!A22</f>
        <v>1.2.1.2</v>
      </c>
      <c r="D229" s="2" t="s">
        <v>335</v>
      </c>
      <c r="E229" s="2"/>
      <c r="F229" s="2"/>
      <c r="G229" s="2"/>
      <c r="H229" s="2"/>
      <c r="I229" s="2"/>
      <c r="J229" s="2"/>
    </row>
    <row r="230" spans="2:11">
      <c r="B230" s="2" t="s">
        <v>278</v>
      </c>
      <c r="C230" s="2" t="s">
        <v>279</v>
      </c>
      <c r="D230" s="4" t="s">
        <v>280</v>
      </c>
      <c r="E230" s="5">
        <v>450</v>
      </c>
      <c r="F230" s="4" t="s">
        <v>281</v>
      </c>
      <c r="G230" s="5">
        <f>E230</f>
        <v>450</v>
      </c>
      <c r="H230" s="2" t="s">
        <v>282</v>
      </c>
      <c r="J230" s="4" t="s">
        <v>133</v>
      </c>
      <c r="K230" s="6">
        <f>K234+K238</f>
        <v>1.3594755555555555</v>
      </c>
    </row>
    <row r="231" spans="2:11">
      <c r="B231" s="2" t="s">
        <v>283</v>
      </c>
      <c r="C231" s="2" t="s">
        <v>284</v>
      </c>
      <c r="G231" s="4" t="s">
        <v>122</v>
      </c>
      <c r="H231" s="4" t="s">
        <v>285</v>
      </c>
      <c r="I231" s="4" t="s">
        <v>286</v>
      </c>
      <c r="J231" s="4" t="s">
        <v>287</v>
      </c>
      <c r="K231" s="4" t="s">
        <v>288</v>
      </c>
    </row>
    <row r="232" spans="2:11">
      <c r="C232" s="7" t="s">
        <v>289</v>
      </c>
    </row>
    <row r="233" spans="2:11">
      <c r="C233" t="s">
        <v>293</v>
      </c>
      <c r="G233" s="8" t="s">
        <v>291</v>
      </c>
      <c r="H233" s="9">
        <v>3</v>
      </c>
      <c r="I233" s="10">
        <f>H233*8/$E$230</f>
        <v>5.3333333333333337E-2</v>
      </c>
      <c r="J233" s="12">
        <v>20.51</v>
      </c>
      <c r="K233" s="12">
        <f>I233*J233</f>
        <v>1.0938666666666668</v>
      </c>
    </row>
    <row r="234" spans="2:11">
      <c r="K234" s="6">
        <f>SUM(K233)</f>
        <v>1.0938666666666668</v>
      </c>
    </row>
    <row r="235" spans="2:11">
      <c r="C235" s="7" t="s">
        <v>317</v>
      </c>
    </row>
    <row r="236" spans="2:11">
      <c r="C236" t="s">
        <v>336</v>
      </c>
      <c r="G236" s="8" t="s">
        <v>337</v>
      </c>
      <c r="H236" s="9">
        <v>0.1</v>
      </c>
      <c r="I236" s="10">
        <f>H236*8/$E$230</f>
        <v>1.7777777777777779E-3</v>
      </c>
      <c r="J236" s="12">
        <v>118.64</v>
      </c>
      <c r="K236" s="12">
        <f>I236*J236</f>
        <v>0.21091555555555558</v>
      </c>
    </row>
    <row r="237" spans="2:11">
      <c r="C237" t="s">
        <v>310</v>
      </c>
      <c r="G237" s="8" t="s">
        <v>311</v>
      </c>
      <c r="I237" s="10">
        <v>5</v>
      </c>
      <c r="J237" s="12">
        <f>K233</f>
        <v>1.0938666666666668</v>
      </c>
      <c r="K237" s="12">
        <f>I237%*J237</f>
        <v>5.4693333333333344E-2</v>
      </c>
    </row>
    <row r="238" spans="2:11">
      <c r="B238" s="14"/>
      <c r="C238" s="14"/>
      <c r="D238" s="14"/>
      <c r="E238" s="14"/>
      <c r="F238" s="14"/>
      <c r="G238" s="14"/>
      <c r="H238" s="14"/>
      <c r="I238" s="14"/>
      <c r="J238" s="14"/>
      <c r="K238" s="16">
        <f>SUM(K236:K237)</f>
        <v>0.26560888888888889</v>
      </c>
    </row>
    <row r="240" spans="2:11">
      <c r="B240" s="2" t="s">
        <v>277</v>
      </c>
      <c r="C240" s="2" t="str">
        <f>PROVISIONALES!A24</f>
        <v>1.2.2.1</v>
      </c>
      <c r="D240" s="2" t="s">
        <v>172</v>
      </c>
      <c r="E240" s="2"/>
      <c r="F240" s="2"/>
      <c r="G240" s="2"/>
      <c r="H240" s="2"/>
      <c r="I240" s="2"/>
      <c r="J240" s="2"/>
    </row>
    <row r="241" spans="2:11">
      <c r="B241" s="2" t="s">
        <v>278</v>
      </c>
      <c r="C241" s="2" t="s">
        <v>331</v>
      </c>
      <c r="D241" s="4" t="s">
        <v>280</v>
      </c>
      <c r="E241" s="5">
        <v>1</v>
      </c>
      <c r="F241" s="4" t="s">
        <v>281</v>
      </c>
      <c r="G241" s="5">
        <f>E241</f>
        <v>1</v>
      </c>
      <c r="H241" s="2" t="s">
        <v>282</v>
      </c>
      <c r="J241" s="4" t="s">
        <v>154</v>
      </c>
      <c r="K241" s="6">
        <f>K245</f>
        <v>1156.1290319100938</v>
      </c>
    </row>
    <row r="242" spans="2:11">
      <c r="B242" s="2" t="s">
        <v>283</v>
      </c>
      <c r="C242" s="2" t="s">
        <v>284</v>
      </c>
      <c r="G242" s="4" t="s">
        <v>122</v>
      </c>
      <c r="H242" s="4" t="s">
        <v>285</v>
      </c>
      <c r="I242" s="4" t="s">
        <v>286</v>
      </c>
      <c r="J242" s="4" t="s">
        <v>287</v>
      </c>
      <c r="K242" s="4" t="s">
        <v>288</v>
      </c>
    </row>
    <row r="243" spans="2:11">
      <c r="C243" s="7" t="s">
        <v>294</v>
      </c>
    </row>
    <row r="244" spans="2:11">
      <c r="C244" t="s">
        <v>159</v>
      </c>
      <c r="G244" s="8" t="s">
        <v>154</v>
      </c>
      <c r="H244" s="9"/>
      <c r="I244" s="10">
        <v>1</v>
      </c>
      <c r="J244" s="50">
        <f>'Obras provisionales'!I30</f>
        <v>1156.1290319100938</v>
      </c>
      <c r="K244" s="12">
        <f>I244*J244</f>
        <v>1156.1290319100938</v>
      </c>
    </row>
    <row r="245" spans="2:11">
      <c r="B245" s="14"/>
      <c r="C245" s="14"/>
      <c r="D245" s="14"/>
      <c r="E245" s="14"/>
      <c r="F245" s="14"/>
      <c r="G245" s="14"/>
      <c r="H245" s="14"/>
      <c r="I245" s="14"/>
      <c r="J245" s="14"/>
      <c r="K245" s="16">
        <f>SUM(K244)</f>
        <v>1156.1290319100938</v>
      </c>
    </row>
    <row r="247" spans="2:11">
      <c r="B247" s="2" t="s">
        <v>277</v>
      </c>
      <c r="C247" s="2" t="str">
        <f>PROVISIONALES!A25</f>
        <v>1.2.2.2</v>
      </c>
      <c r="D247" s="2" t="s">
        <v>174</v>
      </c>
      <c r="E247" s="2"/>
      <c r="F247" s="2"/>
      <c r="G247" s="2"/>
      <c r="H247" s="2"/>
      <c r="I247" s="2"/>
      <c r="J247" s="2"/>
    </row>
    <row r="248" spans="2:11">
      <c r="B248" s="2" t="s">
        <v>278</v>
      </c>
      <c r="C248" s="2" t="s">
        <v>331</v>
      </c>
      <c r="D248" s="4" t="s">
        <v>280</v>
      </c>
      <c r="E248" s="5">
        <v>1</v>
      </c>
      <c r="F248" s="4" t="s">
        <v>281</v>
      </c>
      <c r="G248" s="5">
        <f>E248</f>
        <v>1</v>
      </c>
      <c r="H248" s="2" t="s">
        <v>282</v>
      </c>
      <c r="J248" s="4" t="s">
        <v>154</v>
      </c>
      <c r="K248" s="6">
        <f>K252</f>
        <v>4624.5161276403751</v>
      </c>
    </row>
    <row r="249" spans="2:11">
      <c r="B249" s="2" t="s">
        <v>283</v>
      </c>
      <c r="C249" s="2" t="s">
        <v>284</v>
      </c>
      <c r="G249" s="4" t="s">
        <v>122</v>
      </c>
      <c r="H249" s="4" t="s">
        <v>285</v>
      </c>
      <c r="I249" s="4" t="s">
        <v>286</v>
      </c>
      <c r="J249" s="4" t="s">
        <v>287</v>
      </c>
      <c r="K249" s="4" t="s">
        <v>288</v>
      </c>
    </row>
    <row r="250" spans="2:11">
      <c r="C250" s="7" t="s">
        <v>294</v>
      </c>
    </row>
    <row r="251" spans="2:11">
      <c r="C251" t="s">
        <v>174</v>
      </c>
      <c r="G251" s="8" t="s">
        <v>154</v>
      </c>
      <c r="H251" s="9"/>
      <c r="I251" s="10">
        <v>1</v>
      </c>
      <c r="J251" s="50">
        <f>'Obras provisionales'!I31</f>
        <v>4624.5161276403751</v>
      </c>
      <c r="K251" s="12">
        <f>I251*J251</f>
        <v>4624.5161276403751</v>
      </c>
    </row>
    <row r="252" spans="2:11">
      <c r="B252" s="14"/>
      <c r="C252" s="14"/>
      <c r="D252" s="14"/>
      <c r="E252" s="14"/>
      <c r="F252" s="14"/>
      <c r="G252" s="14"/>
      <c r="H252" s="14"/>
      <c r="I252" s="14"/>
      <c r="J252" s="14"/>
      <c r="K252" s="16">
        <f>SUM(K251)</f>
        <v>4624.5161276403751</v>
      </c>
    </row>
    <row r="254" spans="2:11">
      <c r="B254" s="2" t="s">
        <v>333</v>
      </c>
      <c r="C254" s="2" t="str">
        <f>PROVISIONALES!A27</f>
        <v>1.2.3.1</v>
      </c>
      <c r="D254" s="2" t="s">
        <v>178</v>
      </c>
      <c r="E254" s="2"/>
      <c r="F254" s="2"/>
      <c r="G254" s="2"/>
      <c r="H254" s="2"/>
      <c r="I254" s="2"/>
      <c r="J254" s="2"/>
    </row>
    <row r="255" spans="2:11">
      <c r="B255" s="2" t="s">
        <v>278</v>
      </c>
      <c r="C255" s="2" t="s">
        <v>279</v>
      </c>
      <c r="D255" s="4" t="s">
        <v>280</v>
      </c>
      <c r="E255" s="5">
        <v>600</v>
      </c>
      <c r="F255" s="4" t="s">
        <v>281</v>
      </c>
      <c r="G255" s="5">
        <f>E255</f>
        <v>600</v>
      </c>
      <c r="H255" s="2" t="s">
        <v>282</v>
      </c>
      <c r="J255" s="4" t="s">
        <v>133</v>
      </c>
      <c r="K255" s="6">
        <f>K260+K267+K272</f>
        <v>3.9762599999999999</v>
      </c>
    </row>
    <row r="256" spans="2:11">
      <c r="B256" s="2" t="s">
        <v>283</v>
      </c>
      <c r="C256" s="2" t="s">
        <v>284</v>
      </c>
      <c r="G256" s="4" t="s">
        <v>122</v>
      </c>
      <c r="H256" s="4" t="s">
        <v>285</v>
      </c>
      <c r="I256" s="4" t="s">
        <v>286</v>
      </c>
      <c r="J256" s="4" t="s">
        <v>287</v>
      </c>
      <c r="K256" s="4" t="s">
        <v>288</v>
      </c>
    </row>
    <row r="257" spans="2:11">
      <c r="C257" s="7" t="s">
        <v>289</v>
      </c>
    </row>
    <row r="258" spans="2:11">
      <c r="C258" t="s">
        <v>290</v>
      </c>
      <c r="G258" s="8" t="s">
        <v>291</v>
      </c>
      <c r="H258" s="9">
        <v>1</v>
      </c>
      <c r="I258" s="10">
        <f>H258*8/$E$255</f>
        <v>1.3333333333333334E-2</v>
      </c>
      <c r="J258" s="12">
        <v>28.94</v>
      </c>
      <c r="K258" s="12">
        <f>I258*J258</f>
        <v>0.38586666666666669</v>
      </c>
    </row>
    <row r="259" spans="2:11">
      <c r="C259" t="s">
        <v>293</v>
      </c>
      <c r="G259" s="8" t="s">
        <v>291</v>
      </c>
      <c r="H259" s="9">
        <v>3</v>
      </c>
      <c r="I259" s="10">
        <f>H259*8/$E$255</f>
        <v>0.04</v>
      </c>
      <c r="J259" s="12">
        <v>20.51</v>
      </c>
      <c r="K259" s="12">
        <f>I259*J259</f>
        <v>0.82040000000000013</v>
      </c>
    </row>
    <row r="260" spans="2:11">
      <c r="K260" s="6">
        <f>SUM(K258:K259)</f>
        <v>1.2062666666666668</v>
      </c>
    </row>
    <row r="261" spans="2:11">
      <c r="C261" s="7" t="s">
        <v>294</v>
      </c>
    </row>
    <row r="262" spans="2:11">
      <c r="C262" t="s">
        <v>301</v>
      </c>
      <c r="G262" s="8" t="s">
        <v>296</v>
      </c>
      <c r="I262" s="10">
        <v>0.01</v>
      </c>
      <c r="J262" s="12">
        <v>5.51</v>
      </c>
      <c r="K262" s="12">
        <f>I262*J262</f>
        <v>5.5099999999999996E-2</v>
      </c>
    </row>
    <row r="263" spans="2:11">
      <c r="C263" t="s">
        <v>338</v>
      </c>
      <c r="G263" s="8" t="s">
        <v>339</v>
      </c>
      <c r="I263" s="10">
        <v>1E-3</v>
      </c>
      <c r="J263" s="12">
        <v>38.979999999999997</v>
      </c>
      <c r="K263" s="12">
        <f>I263*J263</f>
        <v>3.8980000000000001E-2</v>
      </c>
    </row>
    <row r="264" spans="2:11">
      <c r="C264" t="s">
        <v>340</v>
      </c>
      <c r="G264" s="8" t="s">
        <v>307</v>
      </c>
      <c r="I264" s="10">
        <v>0.02</v>
      </c>
      <c r="J264" s="12">
        <v>11.86</v>
      </c>
      <c r="K264" s="12">
        <f>I264*J264</f>
        <v>0.23719999999999999</v>
      </c>
    </row>
    <row r="265" spans="2:11">
      <c r="C265" t="s">
        <v>341</v>
      </c>
      <c r="G265" s="8" t="s">
        <v>144</v>
      </c>
      <c r="I265" s="10">
        <v>0.19</v>
      </c>
      <c r="J265" s="12">
        <v>10</v>
      </c>
      <c r="K265" s="12">
        <f>I265*J265</f>
        <v>1.9</v>
      </c>
    </row>
    <row r="266" spans="2:11">
      <c r="C266" t="s">
        <v>308</v>
      </c>
      <c r="G266" s="8" t="s">
        <v>305</v>
      </c>
      <c r="I266" s="10">
        <v>0.02</v>
      </c>
      <c r="J266" s="12">
        <v>5.8</v>
      </c>
      <c r="K266" s="12">
        <f>I266*J266</f>
        <v>0.11599999999999999</v>
      </c>
    </row>
    <row r="267" spans="2:11">
      <c r="G267" s="8"/>
      <c r="K267" s="6">
        <f>SUM(K262:K266)</f>
        <v>2.34728</v>
      </c>
    </row>
    <row r="268" spans="2:11">
      <c r="C268" s="7" t="s">
        <v>317</v>
      </c>
    </row>
    <row r="269" spans="2:11">
      <c r="C269" t="s">
        <v>310</v>
      </c>
      <c r="G269" s="8" t="s">
        <v>311</v>
      </c>
      <c r="I269" s="10">
        <v>5</v>
      </c>
      <c r="J269" s="12">
        <f>K260</f>
        <v>1.2062666666666668</v>
      </c>
      <c r="K269" s="12">
        <f>I269%*J269</f>
        <v>6.0313333333333344E-2</v>
      </c>
    </row>
    <row r="270" spans="2:11">
      <c r="C270" t="s">
        <v>342</v>
      </c>
      <c r="G270" s="8" t="s">
        <v>337</v>
      </c>
      <c r="H270" s="9">
        <v>1</v>
      </c>
      <c r="I270" s="10">
        <f>H270*8/$E$255</f>
        <v>1.3333333333333334E-2</v>
      </c>
      <c r="J270" s="12">
        <v>20</v>
      </c>
      <c r="K270" s="12">
        <f>I270*J270</f>
        <v>0.26666666666666666</v>
      </c>
    </row>
    <row r="271" spans="2:11">
      <c r="C271" t="s">
        <v>343</v>
      </c>
      <c r="G271" s="8" t="s">
        <v>337</v>
      </c>
      <c r="H271" s="9">
        <v>1</v>
      </c>
      <c r="I271" s="10">
        <f>H271*8/$E$255</f>
        <v>1.3333333333333334E-2</v>
      </c>
      <c r="J271" s="12">
        <v>7.18</v>
      </c>
      <c r="K271" s="12">
        <f>I271*J271</f>
        <v>9.5733333333333337E-2</v>
      </c>
    </row>
    <row r="272" spans="2:11">
      <c r="B272" s="14"/>
      <c r="C272" s="14"/>
      <c r="D272" s="14"/>
      <c r="E272" s="14"/>
      <c r="F272" s="14"/>
      <c r="G272" s="14"/>
      <c r="H272" s="14"/>
      <c r="I272" s="14"/>
      <c r="J272" s="14"/>
      <c r="K272" s="16">
        <f>SUM(K269:K271)</f>
        <v>0.42271333333333333</v>
      </c>
    </row>
    <row r="274" spans="2:11">
      <c r="B274" s="2" t="s">
        <v>333</v>
      </c>
      <c r="C274" s="2" t="str">
        <f>PROVISIONALES!A28</f>
        <v>1.2.3.2</v>
      </c>
      <c r="D274" s="2" t="s">
        <v>344</v>
      </c>
      <c r="E274" s="2"/>
      <c r="F274" s="2"/>
      <c r="G274" s="2"/>
      <c r="H274" s="2"/>
      <c r="I274" s="2"/>
      <c r="J274" s="2"/>
    </row>
    <row r="275" spans="2:11">
      <c r="B275" s="2" t="s">
        <v>278</v>
      </c>
      <c r="C275" s="2" t="s">
        <v>279</v>
      </c>
      <c r="D275" s="4" t="s">
        <v>280</v>
      </c>
      <c r="E275" s="5">
        <v>600</v>
      </c>
      <c r="F275" s="4" t="s">
        <v>281</v>
      </c>
      <c r="G275" s="5">
        <f>E275</f>
        <v>600</v>
      </c>
      <c r="H275" s="2" t="s">
        <v>282</v>
      </c>
      <c r="J275" s="4" t="s">
        <v>133</v>
      </c>
      <c r="K275" s="6">
        <f>K280+K286+K291</f>
        <v>4.26553</v>
      </c>
    </row>
    <row r="276" spans="2:11">
      <c r="B276" s="2" t="s">
        <v>283</v>
      </c>
      <c r="C276" s="2" t="s">
        <v>284</v>
      </c>
      <c r="G276" s="4" t="s">
        <v>122</v>
      </c>
      <c r="H276" s="4" t="s">
        <v>285</v>
      </c>
      <c r="I276" s="4" t="s">
        <v>286</v>
      </c>
      <c r="J276" s="4" t="s">
        <v>287</v>
      </c>
      <c r="K276" s="4" t="s">
        <v>288</v>
      </c>
    </row>
    <row r="277" spans="2:11">
      <c r="C277" s="7" t="s">
        <v>289</v>
      </c>
    </row>
    <row r="278" spans="2:11">
      <c r="C278" t="s">
        <v>290</v>
      </c>
      <c r="G278" s="8" t="s">
        <v>291</v>
      </c>
      <c r="H278" s="9">
        <v>1</v>
      </c>
      <c r="I278" s="10">
        <f>H278*8/$E$275</f>
        <v>1.3333333333333334E-2</v>
      </c>
      <c r="J278" s="12">
        <v>28.94</v>
      </c>
      <c r="K278" s="12">
        <f>I278*J278</f>
        <v>0.38586666666666669</v>
      </c>
    </row>
    <row r="279" spans="2:11">
      <c r="C279" t="s">
        <v>293</v>
      </c>
      <c r="G279" s="8" t="s">
        <v>291</v>
      </c>
      <c r="H279" s="9">
        <v>3</v>
      </c>
      <c r="I279" s="10">
        <f>H279*8/$E$275</f>
        <v>0.04</v>
      </c>
      <c r="J279" s="12">
        <v>20.51</v>
      </c>
      <c r="K279" s="12">
        <f>I279*J279</f>
        <v>0.82040000000000013</v>
      </c>
    </row>
    <row r="280" spans="2:11">
      <c r="K280" s="6">
        <f>SUM(K278:K279)</f>
        <v>1.2062666666666668</v>
      </c>
    </row>
    <row r="281" spans="2:11">
      <c r="C281" s="7" t="s">
        <v>294</v>
      </c>
    </row>
    <row r="282" spans="2:11">
      <c r="C282" t="s">
        <v>301</v>
      </c>
      <c r="G282" s="8" t="s">
        <v>296</v>
      </c>
      <c r="I282" s="10">
        <v>5.0000000000000001E-3</v>
      </c>
      <c r="J282" s="12">
        <v>5.51</v>
      </c>
      <c r="K282" s="12">
        <f>I282*J282</f>
        <v>2.7549999999999998E-2</v>
      </c>
    </row>
    <row r="283" spans="2:11">
      <c r="C283" t="s">
        <v>340</v>
      </c>
      <c r="G283" s="8" t="s">
        <v>307</v>
      </c>
      <c r="I283" s="10">
        <v>0.05</v>
      </c>
      <c r="J283" s="12">
        <v>11.86</v>
      </c>
      <c r="K283" s="12">
        <f>I283*J283</f>
        <v>0.59299999999999997</v>
      </c>
    </row>
    <row r="284" spans="2:11">
      <c r="C284" t="s">
        <v>341</v>
      </c>
      <c r="G284" s="8" t="s">
        <v>144</v>
      </c>
      <c r="I284" s="10">
        <v>0.19</v>
      </c>
      <c r="J284" s="12">
        <v>10</v>
      </c>
      <c r="K284" s="12">
        <f>I284*J284</f>
        <v>1.9</v>
      </c>
    </row>
    <row r="285" spans="2:11">
      <c r="C285" t="s">
        <v>308</v>
      </c>
      <c r="G285" s="8" t="s">
        <v>305</v>
      </c>
      <c r="I285" s="10">
        <v>0.02</v>
      </c>
      <c r="J285" s="12">
        <v>5.8</v>
      </c>
      <c r="K285" s="12">
        <f>I285*J285</f>
        <v>0.11599999999999999</v>
      </c>
    </row>
    <row r="286" spans="2:11">
      <c r="G286" s="8"/>
      <c r="K286" s="6">
        <f>SUM(K282:K285)</f>
        <v>2.6365500000000002</v>
      </c>
    </row>
    <row r="287" spans="2:11">
      <c r="C287" s="7" t="s">
        <v>317</v>
      </c>
    </row>
    <row r="288" spans="2:11">
      <c r="C288" t="s">
        <v>310</v>
      </c>
      <c r="G288" s="8" t="s">
        <v>311</v>
      </c>
      <c r="I288" s="10">
        <v>5</v>
      </c>
      <c r="J288" s="12">
        <f>K280</f>
        <v>1.2062666666666668</v>
      </c>
      <c r="K288" s="12">
        <f>I288%*J288</f>
        <v>6.0313333333333344E-2</v>
      </c>
    </row>
    <row r="289" spans="2:11">
      <c r="C289" t="s">
        <v>342</v>
      </c>
      <c r="G289" s="8" t="s">
        <v>337</v>
      </c>
      <c r="H289" s="9">
        <v>1</v>
      </c>
      <c r="I289" s="10">
        <f>H289*8/$E$275</f>
        <v>1.3333333333333334E-2</v>
      </c>
      <c r="J289" s="12">
        <v>20</v>
      </c>
      <c r="K289" s="12">
        <f>I289*J289</f>
        <v>0.26666666666666666</v>
      </c>
    </row>
    <row r="290" spans="2:11">
      <c r="C290" t="s">
        <v>343</v>
      </c>
      <c r="G290" s="8" t="s">
        <v>337</v>
      </c>
      <c r="H290" s="9">
        <v>1</v>
      </c>
      <c r="I290" s="10">
        <f>H290*8/$E$275</f>
        <v>1.3333333333333334E-2</v>
      </c>
      <c r="J290" s="12">
        <v>7.18</v>
      </c>
      <c r="K290" s="12">
        <f>I290*J290</f>
        <v>9.5733333333333337E-2</v>
      </c>
    </row>
    <row r="291" spans="2:11">
      <c r="B291" s="14"/>
      <c r="C291" s="14"/>
      <c r="D291" s="14"/>
      <c r="E291" s="14"/>
      <c r="F291" s="14"/>
      <c r="G291" s="14"/>
      <c r="H291" s="14"/>
      <c r="I291" s="14"/>
      <c r="J291" s="14"/>
      <c r="K291" s="16">
        <f>SUM(K288:K290)</f>
        <v>0.42271333333333333</v>
      </c>
    </row>
    <row r="293" spans="2:11">
      <c r="B293" s="2" t="s">
        <v>333</v>
      </c>
      <c r="C293" s="2" t="str">
        <f>PROVISIONALES!A31</f>
        <v>1.3.1.1</v>
      </c>
      <c r="D293" s="2" t="s">
        <v>345</v>
      </c>
      <c r="E293" s="2"/>
      <c r="F293" s="2"/>
      <c r="G293" s="2"/>
      <c r="H293" s="2"/>
      <c r="I293" s="2"/>
      <c r="J293" s="2"/>
    </row>
    <row r="294" spans="2:11">
      <c r="B294" s="2" t="s">
        <v>278</v>
      </c>
      <c r="C294" s="2" t="s">
        <v>346</v>
      </c>
      <c r="D294" s="4" t="s">
        <v>280</v>
      </c>
      <c r="E294" s="5">
        <v>1</v>
      </c>
      <c r="F294" s="4" t="s">
        <v>281</v>
      </c>
      <c r="G294" s="5">
        <f>E294</f>
        <v>1</v>
      </c>
      <c r="H294" s="2" t="s">
        <v>282</v>
      </c>
      <c r="J294" s="4" t="s">
        <v>347</v>
      </c>
      <c r="K294" s="6">
        <f>K317</f>
        <v>41043.350000000006</v>
      </c>
    </row>
    <row r="295" spans="2:11">
      <c r="B295" s="2" t="s">
        <v>283</v>
      </c>
      <c r="C295" s="2" t="s">
        <v>284</v>
      </c>
      <c r="G295" s="4" t="s">
        <v>122</v>
      </c>
      <c r="H295" s="4" t="s">
        <v>285</v>
      </c>
      <c r="I295" s="4" t="s">
        <v>286</v>
      </c>
      <c r="J295" s="4" t="s">
        <v>287</v>
      </c>
      <c r="K295" s="4" t="s">
        <v>288</v>
      </c>
    </row>
    <row r="296" spans="2:11">
      <c r="C296" s="7" t="s">
        <v>294</v>
      </c>
    </row>
    <row r="297" spans="2:11">
      <c r="C297" t="s">
        <v>348</v>
      </c>
      <c r="G297" s="8" t="s">
        <v>149</v>
      </c>
      <c r="H297" s="9"/>
      <c r="I297" s="10">
        <v>20</v>
      </c>
      <c r="J297">
        <v>394.07</v>
      </c>
      <c r="K297" s="12">
        <f>I297*J297</f>
        <v>7881.4</v>
      </c>
    </row>
    <row r="298" spans="2:11">
      <c r="C298" t="s">
        <v>349</v>
      </c>
      <c r="G298" s="8" t="s">
        <v>350</v>
      </c>
      <c r="I298" s="10">
        <v>40</v>
      </c>
      <c r="J298">
        <v>50.76</v>
      </c>
      <c r="K298" s="12">
        <f>I298*J298</f>
        <v>2030.3999999999999</v>
      </c>
    </row>
    <row r="299" spans="2:11">
      <c r="C299" t="s">
        <v>351</v>
      </c>
      <c r="G299" s="8" t="s">
        <v>149</v>
      </c>
      <c r="I299" s="10">
        <v>120</v>
      </c>
      <c r="J299">
        <v>32.200000000000003</v>
      </c>
      <c r="K299" s="12">
        <f>I299*J299</f>
        <v>3864.0000000000005</v>
      </c>
    </row>
    <row r="300" spans="2:11">
      <c r="C300" t="s">
        <v>352</v>
      </c>
      <c r="G300" s="8" t="s">
        <v>149</v>
      </c>
      <c r="I300" s="10">
        <v>120</v>
      </c>
      <c r="J300">
        <v>32.200000000000003</v>
      </c>
      <c r="K300" s="12">
        <f>I300*J300</f>
        <v>3864.0000000000005</v>
      </c>
    </row>
    <row r="301" spans="2:11">
      <c r="C301" t="s">
        <v>353</v>
      </c>
      <c r="G301" s="8" t="s">
        <v>350</v>
      </c>
      <c r="I301" s="10">
        <v>112</v>
      </c>
      <c r="J301">
        <v>11.86</v>
      </c>
      <c r="K301" s="12">
        <f>I301*J301</f>
        <v>1328.32</v>
      </c>
    </row>
    <row r="302" spans="2:11">
      <c r="C302" t="s">
        <v>354</v>
      </c>
      <c r="G302" s="8" t="s">
        <v>350</v>
      </c>
      <c r="I302" s="10">
        <v>40</v>
      </c>
      <c r="J302">
        <v>11.02</v>
      </c>
      <c r="K302" s="12">
        <f>I302*J302</f>
        <v>440.79999999999995</v>
      </c>
    </row>
    <row r="303" spans="2:11">
      <c r="C303" t="s">
        <v>355</v>
      </c>
      <c r="G303" s="8" t="s">
        <v>350</v>
      </c>
      <c r="I303" s="10">
        <v>40</v>
      </c>
      <c r="J303">
        <v>7.63</v>
      </c>
      <c r="K303" s="12">
        <f>I303*J303</f>
        <v>305.2</v>
      </c>
    </row>
    <row r="304" spans="2:11">
      <c r="C304" t="s">
        <v>356</v>
      </c>
      <c r="G304" s="8" t="s">
        <v>350</v>
      </c>
      <c r="I304" s="10">
        <v>40</v>
      </c>
      <c r="J304">
        <v>14.41</v>
      </c>
      <c r="K304" s="12">
        <f>I304*J304</f>
        <v>576.4</v>
      </c>
    </row>
    <row r="305" spans="2:11">
      <c r="C305" t="s">
        <v>357</v>
      </c>
      <c r="G305" s="8" t="s">
        <v>350</v>
      </c>
      <c r="I305" s="10">
        <v>4</v>
      </c>
      <c r="J305">
        <v>80.510000000000005</v>
      </c>
      <c r="K305" s="12">
        <f>I305*J305</f>
        <v>322.04000000000002</v>
      </c>
    </row>
    <row r="306" spans="2:11">
      <c r="C306" t="s">
        <v>358</v>
      </c>
      <c r="G306" s="8" t="s">
        <v>149</v>
      </c>
      <c r="I306" s="10">
        <v>3</v>
      </c>
      <c r="J306">
        <v>233.9</v>
      </c>
      <c r="K306" s="12">
        <f>I306*J306</f>
        <v>701.7</v>
      </c>
    </row>
    <row r="307" spans="2:11">
      <c r="C307" t="s">
        <v>359</v>
      </c>
      <c r="G307" s="8" t="s">
        <v>149</v>
      </c>
      <c r="I307" s="10">
        <v>112</v>
      </c>
      <c r="J307">
        <v>5.93</v>
      </c>
      <c r="K307" s="12">
        <f>I307*J307</f>
        <v>664.16</v>
      </c>
    </row>
    <row r="308" spans="2:11">
      <c r="C308" t="s">
        <v>360</v>
      </c>
      <c r="G308" s="8" t="s">
        <v>149</v>
      </c>
      <c r="I308" s="10">
        <v>2</v>
      </c>
      <c r="J308">
        <v>21.19</v>
      </c>
      <c r="K308" s="12">
        <f>I308*J308</f>
        <v>42.38</v>
      </c>
    </row>
    <row r="309" spans="2:11">
      <c r="C309" t="s">
        <v>361</v>
      </c>
      <c r="G309" s="8" t="s">
        <v>362</v>
      </c>
      <c r="I309" s="10">
        <v>4</v>
      </c>
      <c r="J309">
        <v>21.19</v>
      </c>
      <c r="K309" s="12">
        <f>I309*J309</f>
        <v>84.76</v>
      </c>
    </row>
    <row r="310" spans="2:11">
      <c r="C310" t="s">
        <v>363</v>
      </c>
      <c r="G310" s="8" t="s">
        <v>149</v>
      </c>
      <c r="I310" s="10">
        <v>75</v>
      </c>
      <c r="J310">
        <v>53.31</v>
      </c>
      <c r="K310" s="12">
        <f>I310*J310</f>
        <v>3998.25</v>
      </c>
    </row>
    <row r="311" spans="2:11">
      <c r="C311" t="s">
        <v>364</v>
      </c>
      <c r="G311" s="8" t="s">
        <v>149</v>
      </c>
      <c r="I311" s="10">
        <v>30</v>
      </c>
      <c r="J311">
        <v>24.49</v>
      </c>
      <c r="K311" s="12">
        <f>I311*J311</f>
        <v>734.69999999999993</v>
      </c>
    </row>
    <row r="312" spans="2:11">
      <c r="C312" t="s">
        <v>365</v>
      </c>
      <c r="G312" s="8" t="s">
        <v>149</v>
      </c>
      <c r="I312" s="10">
        <v>20</v>
      </c>
      <c r="J312">
        <v>33.81</v>
      </c>
      <c r="K312" s="12">
        <f>I312*J312</f>
        <v>676.2</v>
      </c>
    </row>
    <row r="313" spans="2:11">
      <c r="C313" t="s">
        <v>366</v>
      </c>
      <c r="G313" s="8" t="s">
        <v>350</v>
      </c>
      <c r="I313" s="10">
        <v>112</v>
      </c>
      <c r="J313">
        <v>2.54</v>
      </c>
      <c r="K313" s="12">
        <f>I313*J313</f>
        <v>284.48</v>
      </c>
    </row>
    <row r="314" spans="2:11">
      <c r="C314" t="s">
        <v>367</v>
      </c>
      <c r="G314" s="8" t="s">
        <v>149</v>
      </c>
      <c r="I314" s="10">
        <v>40</v>
      </c>
      <c r="J314">
        <v>22.88</v>
      </c>
      <c r="K314" s="12">
        <f>I314*J314</f>
        <v>915.19999999999993</v>
      </c>
    </row>
    <row r="315" spans="2:11">
      <c r="C315" t="s">
        <v>368</v>
      </c>
      <c r="G315" s="8" t="s">
        <v>149</v>
      </c>
      <c r="I315" s="10">
        <v>112</v>
      </c>
      <c r="J315">
        <v>59.32</v>
      </c>
      <c r="K315" s="12">
        <f>I315*J315</f>
        <v>6643.84</v>
      </c>
    </row>
    <row r="316" spans="2:11">
      <c r="C316" t="s">
        <v>369</v>
      </c>
      <c r="G316" s="8" t="s">
        <v>350</v>
      </c>
      <c r="I316" s="10">
        <v>112</v>
      </c>
      <c r="J316">
        <v>50.76</v>
      </c>
      <c r="K316" s="12">
        <f>I316*J316</f>
        <v>5685.12</v>
      </c>
    </row>
    <row r="317" spans="2:11">
      <c r="B317" s="14"/>
      <c r="C317" s="14"/>
      <c r="D317" s="14"/>
      <c r="E317" s="14"/>
      <c r="F317" s="14"/>
      <c r="G317" s="44"/>
      <c r="H317" s="45"/>
      <c r="I317" s="46"/>
      <c r="J317" s="106"/>
      <c r="K317" s="16">
        <f>SUM(K297:K316)</f>
        <v>41043.350000000006</v>
      </c>
    </row>
    <row r="319" spans="2:11">
      <c r="B319" s="2" t="s">
        <v>333</v>
      </c>
      <c r="C319" s="2" t="str">
        <f>PROVISIONALES!A32</f>
        <v>1.3.1.2</v>
      </c>
      <c r="D319" s="2" t="s">
        <v>370</v>
      </c>
      <c r="E319" s="2"/>
      <c r="F319" s="2"/>
      <c r="G319" s="2"/>
      <c r="H319" s="2"/>
      <c r="I319" s="2"/>
      <c r="J319" s="2"/>
    </row>
    <row r="320" spans="2:11">
      <c r="B320" s="2" t="s">
        <v>278</v>
      </c>
      <c r="C320" s="2" t="s">
        <v>346</v>
      </c>
      <c r="D320" s="4" t="s">
        <v>280</v>
      </c>
      <c r="E320" s="5">
        <v>1</v>
      </c>
      <c r="F320" s="4" t="s">
        <v>281</v>
      </c>
      <c r="G320" s="5">
        <f>E320</f>
        <v>1</v>
      </c>
      <c r="H320" s="2" t="s">
        <v>282</v>
      </c>
      <c r="J320" s="4" t="s">
        <v>347</v>
      </c>
      <c r="K320" s="6">
        <f>K329</f>
        <v>3824.87</v>
      </c>
    </row>
    <row r="321" spans="2:11">
      <c r="B321" s="2" t="s">
        <v>283</v>
      </c>
      <c r="C321" s="2" t="s">
        <v>284</v>
      </c>
      <c r="G321" s="4" t="s">
        <v>122</v>
      </c>
      <c r="H321" s="4" t="s">
        <v>285</v>
      </c>
      <c r="I321" s="4" t="s">
        <v>286</v>
      </c>
      <c r="J321" s="4" t="s">
        <v>287</v>
      </c>
      <c r="K321" s="4" t="s">
        <v>288</v>
      </c>
    </row>
    <row r="322" spans="2:11">
      <c r="C322" s="7" t="s">
        <v>294</v>
      </c>
    </row>
    <row r="323" spans="2:11">
      <c r="C323" t="s">
        <v>371</v>
      </c>
      <c r="G323" s="8" t="s">
        <v>372</v>
      </c>
      <c r="H323" s="9"/>
      <c r="I323" s="10">
        <v>16</v>
      </c>
      <c r="J323">
        <v>51.69</v>
      </c>
      <c r="K323" s="12">
        <f>I323*J323</f>
        <v>827.04</v>
      </c>
    </row>
    <row r="324" spans="2:11">
      <c r="C324" t="s">
        <v>373</v>
      </c>
      <c r="G324" s="8" t="s">
        <v>149</v>
      </c>
      <c r="I324" s="10">
        <v>15</v>
      </c>
      <c r="J324">
        <v>66.53</v>
      </c>
      <c r="K324" s="12">
        <f>I324*J324</f>
        <v>997.95</v>
      </c>
    </row>
    <row r="325" spans="2:11">
      <c r="C325" t="s">
        <v>374</v>
      </c>
      <c r="G325" s="8" t="s">
        <v>305</v>
      </c>
      <c r="I325" s="10">
        <v>50</v>
      </c>
      <c r="J325">
        <v>22.03</v>
      </c>
      <c r="K325" s="12">
        <f>I325*J325</f>
        <v>1101.5</v>
      </c>
    </row>
    <row r="326" spans="2:11">
      <c r="C326" t="s">
        <v>375</v>
      </c>
      <c r="G326" s="8" t="s">
        <v>372</v>
      </c>
      <c r="I326" s="10">
        <v>10</v>
      </c>
      <c r="J326">
        <v>62.71</v>
      </c>
      <c r="K326" s="12">
        <f>I326*J326</f>
        <v>627.1</v>
      </c>
    </row>
    <row r="327" spans="2:11">
      <c r="C327" t="s">
        <v>376</v>
      </c>
      <c r="G327" s="8" t="s">
        <v>149</v>
      </c>
      <c r="I327" s="10">
        <v>200</v>
      </c>
      <c r="J327">
        <v>0.17</v>
      </c>
      <c r="K327" s="12">
        <f>I327*J327</f>
        <v>34</v>
      </c>
    </row>
    <row r="328" spans="2:11">
      <c r="C328" t="s">
        <v>377</v>
      </c>
      <c r="G328" s="8" t="s">
        <v>372</v>
      </c>
      <c r="I328" s="10">
        <v>2</v>
      </c>
      <c r="J328">
        <v>118.64</v>
      </c>
      <c r="K328" s="12">
        <f>I328*J328</f>
        <v>237.28</v>
      </c>
    </row>
    <row r="329" spans="2:11">
      <c r="B329" s="14"/>
      <c r="C329" s="14"/>
      <c r="D329" s="14"/>
      <c r="E329" s="14"/>
      <c r="F329" s="14"/>
      <c r="G329" s="44"/>
      <c r="H329" s="45"/>
      <c r="I329" s="46"/>
      <c r="J329" s="106"/>
      <c r="K329" s="16">
        <f>SUM(K323:K328)</f>
        <v>3824.87</v>
      </c>
    </row>
    <row r="331" spans="2:11">
      <c r="B331" s="2" t="s">
        <v>333</v>
      </c>
      <c r="C331" s="2" t="str">
        <f>PROVISIONALES!A33</f>
        <v>1.3.1.3</v>
      </c>
      <c r="D331" s="2" t="s">
        <v>189</v>
      </c>
      <c r="E331" s="2"/>
      <c r="F331" s="2"/>
      <c r="G331" s="2"/>
      <c r="H331" s="2"/>
      <c r="I331" s="2"/>
      <c r="J331" s="2"/>
    </row>
    <row r="332" spans="2:11">
      <c r="B332" s="2" t="s">
        <v>278</v>
      </c>
      <c r="C332" s="2" t="s">
        <v>346</v>
      </c>
      <c r="D332" s="4" t="s">
        <v>280</v>
      </c>
      <c r="E332" s="5">
        <v>1</v>
      </c>
      <c r="F332" s="4" t="s">
        <v>281</v>
      </c>
      <c r="G332" s="5">
        <f>E332</f>
        <v>1</v>
      </c>
      <c r="H332" s="2" t="s">
        <v>282</v>
      </c>
      <c r="J332" s="4" t="s">
        <v>347</v>
      </c>
      <c r="K332" s="6">
        <f>K343</f>
        <v>6076.5</v>
      </c>
    </row>
    <row r="333" spans="2:11">
      <c r="B333" s="2" t="s">
        <v>283</v>
      </c>
      <c r="C333" s="2" t="s">
        <v>284</v>
      </c>
      <c r="G333" s="4" t="s">
        <v>122</v>
      </c>
      <c r="H333" s="4" t="s">
        <v>285</v>
      </c>
      <c r="I333" s="4" t="s">
        <v>286</v>
      </c>
      <c r="J333" s="4" t="s">
        <v>287</v>
      </c>
      <c r="K333" s="4" t="s">
        <v>288</v>
      </c>
    </row>
    <row r="334" spans="2:11">
      <c r="C334" s="7" t="s">
        <v>294</v>
      </c>
    </row>
    <row r="335" spans="2:11">
      <c r="C335" t="s">
        <v>378</v>
      </c>
      <c r="G335" s="8" t="s">
        <v>149</v>
      </c>
      <c r="H335" s="9"/>
      <c r="I335" s="10">
        <v>15</v>
      </c>
      <c r="J335">
        <v>29.66</v>
      </c>
      <c r="K335" s="12">
        <f>I335*J335</f>
        <v>444.9</v>
      </c>
    </row>
    <row r="336" spans="2:11">
      <c r="C336" t="s">
        <v>379</v>
      </c>
      <c r="G336" s="8" t="s">
        <v>149</v>
      </c>
      <c r="I336" s="10">
        <v>15</v>
      </c>
      <c r="J336">
        <v>21.19</v>
      </c>
      <c r="K336" s="12">
        <f>I336*J336</f>
        <v>317.85000000000002</v>
      </c>
    </row>
    <row r="337" spans="2:11">
      <c r="C337" t="s">
        <v>380</v>
      </c>
      <c r="G337" s="8" t="s">
        <v>149</v>
      </c>
      <c r="I337" s="10">
        <v>15</v>
      </c>
      <c r="J337">
        <v>38.14</v>
      </c>
      <c r="K337" s="12">
        <f>I337*J337</f>
        <v>572.1</v>
      </c>
    </row>
    <row r="338" spans="2:11">
      <c r="C338" t="s">
        <v>381</v>
      </c>
      <c r="G338" s="8" t="s">
        <v>149</v>
      </c>
      <c r="I338" s="10">
        <v>4</v>
      </c>
      <c r="J338">
        <v>38.14</v>
      </c>
      <c r="K338" s="12">
        <f>I338*J338</f>
        <v>152.56</v>
      </c>
    </row>
    <row r="339" spans="2:11">
      <c r="C339" t="s">
        <v>382</v>
      </c>
      <c r="G339" s="8" t="s">
        <v>149</v>
      </c>
      <c r="I339" s="10">
        <v>4</v>
      </c>
      <c r="J339">
        <v>29.66</v>
      </c>
      <c r="K339" s="12">
        <f>I339*J339</f>
        <v>118.64</v>
      </c>
    </row>
    <row r="340" spans="2:11">
      <c r="C340" t="s">
        <v>383</v>
      </c>
      <c r="G340" s="8" t="s">
        <v>149</v>
      </c>
      <c r="I340" s="10">
        <v>5</v>
      </c>
      <c r="J340">
        <v>67.8</v>
      </c>
      <c r="K340" s="12">
        <f>I340*J340</f>
        <v>339</v>
      </c>
    </row>
    <row r="341" spans="2:11">
      <c r="C341" t="s">
        <v>384</v>
      </c>
      <c r="G341" s="8" t="s">
        <v>149</v>
      </c>
      <c r="I341" s="10">
        <v>15</v>
      </c>
      <c r="J341">
        <v>21.19</v>
      </c>
      <c r="K341" s="12">
        <f>I341*J341</f>
        <v>317.85000000000002</v>
      </c>
    </row>
    <row r="342" spans="2:11">
      <c r="C342" t="s">
        <v>385</v>
      </c>
      <c r="G342" s="8" t="s">
        <v>149</v>
      </c>
      <c r="I342" s="10">
        <v>15</v>
      </c>
      <c r="J342">
        <v>254.24</v>
      </c>
      <c r="K342" s="12">
        <f>I342*J342</f>
        <v>3813.6000000000004</v>
      </c>
    </row>
    <row r="343" spans="2:11">
      <c r="B343" s="14"/>
      <c r="C343" s="14"/>
      <c r="D343" s="14"/>
      <c r="E343" s="14"/>
      <c r="F343" s="14"/>
      <c r="G343" s="44"/>
      <c r="H343" s="45"/>
      <c r="I343" s="46"/>
      <c r="J343" s="106"/>
      <c r="K343" s="16">
        <f>SUM(K335:K342)</f>
        <v>6076.5</v>
      </c>
    </row>
    <row r="345" spans="2:11">
      <c r="B345" s="2" t="s">
        <v>333</v>
      </c>
      <c r="C345" s="2" t="str">
        <f>PROVISIONALES!A34</f>
        <v>1.3.1.4</v>
      </c>
      <c r="D345" s="2" t="s">
        <v>191</v>
      </c>
      <c r="E345" s="2"/>
      <c r="F345" s="2"/>
      <c r="G345" s="2"/>
      <c r="H345" s="2"/>
      <c r="I345" s="2"/>
      <c r="J345" s="2"/>
    </row>
    <row r="346" spans="2:11">
      <c r="B346" s="2" t="s">
        <v>278</v>
      </c>
      <c r="C346" s="2" t="s">
        <v>346</v>
      </c>
      <c r="D346" s="4" t="s">
        <v>280</v>
      </c>
      <c r="E346" s="5">
        <v>1</v>
      </c>
      <c r="F346" s="4" t="s">
        <v>281</v>
      </c>
      <c r="G346" s="5">
        <f>E346</f>
        <v>1</v>
      </c>
      <c r="H346" s="2" t="s">
        <v>282</v>
      </c>
      <c r="J346" s="4" t="s">
        <v>347</v>
      </c>
      <c r="K346" s="6">
        <f>K352</f>
        <v>18386.64</v>
      </c>
    </row>
    <row r="347" spans="2:11">
      <c r="B347" s="2" t="s">
        <v>283</v>
      </c>
      <c r="C347" s="2" t="s">
        <v>284</v>
      </c>
      <c r="G347" s="4" t="s">
        <v>122</v>
      </c>
      <c r="H347" s="4" t="s">
        <v>285</v>
      </c>
      <c r="I347" s="4" t="s">
        <v>286</v>
      </c>
      <c r="J347" s="4" t="s">
        <v>287</v>
      </c>
      <c r="K347" s="4" t="s">
        <v>288</v>
      </c>
    </row>
    <row r="348" spans="2:11">
      <c r="C348" s="7" t="s">
        <v>294</v>
      </c>
    </row>
    <row r="349" spans="2:11">
      <c r="C349" t="s">
        <v>386</v>
      </c>
      <c r="G349" s="8" t="s">
        <v>149</v>
      </c>
      <c r="H349" s="9"/>
      <c r="I349" s="10">
        <v>8</v>
      </c>
      <c r="J349">
        <v>423.73</v>
      </c>
      <c r="K349" s="12">
        <f>I349*J349</f>
        <v>3389.84</v>
      </c>
    </row>
    <row r="350" spans="2:11">
      <c r="C350" t="s">
        <v>387</v>
      </c>
      <c r="G350" s="8" t="s">
        <v>149</v>
      </c>
      <c r="I350" s="10">
        <v>112</v>
      </c>
      <c r="J350">
        <v>127.12</v>
      </c>
      <c r="K350" s="12">
        <f>I350*J350</f>
        <v>14237.44</v>
      </c>
    </row>
    <row r="351" spans="2:11">
      <c r="C351" t="s">
        <v>388</v>
      </c>
      <c r="G351" s="8" t="s">
        <v>149</v>
      </c>
      <c r="I351" s="10">
        <v>112</v>
      </c>
      <c r="J351">
        <v>6.78</v>
      </c>
      <c r="K351" s="12">
        <f>I351*J351</f>
        <v>759.36</v>
      </c>
    </row>
    <row r="352" spans="2:11">
      <c r="B352" s="14"/>
      <c r="C352" s="14"/>
      <c r="D352" s="14"/>
      <c r="E352" s="14"/>
      <c r="F352" s="14"/>
      <c r="G352" s="44"/>
      <c r="H352" s="45"/>
      <c r="I352" s="46"/>
      <c r="J352" s="106"/>
      <c r="K352" s="16">
        <f>SUM(K349:K351)</f>
        <v>18386.64</v>
      </c>
    </row>
    <row r="353" spans="2:11">
      <c r="G353" s="8"/>
      <c r="I353" s="10"/>
      <c r="K353" s="12"/>
    </row>
    <row r="354" spans="2:11">
      <c r="B354" s="2" t="s">
        <v>333</v>
      </c>
      <c r="C354" s="2" t="str">
        <f>PROVISIONALES!A35</f>
        <v>1.3.1.5</v>
      </c>
      <c r="D354" s="2" t="s">
        <v>389</v>
      </c>
      <c r="E354" s="2"/>
      <c r="F354" s="2"/>
      <c r="G354" s="2"/>
      <c r="H354" s="2"/>
      <c r="I354" s="2"/>
      <c r="J354" s="2"/>
    </row>
    <row r="355" spans="2:11">
      <c r="B355" s="2" t="s">
        <v>278</v>
      </c>
      <c r="C355" s="2" t="s">
        <v>346</v>
      </c>
      <c r="D355" s="4" t="s">
        <v>280</v>
      </c>
      <c r="E355" s="5">
        <v>1</v>
      </c>
      <c r="F355" s="4" t="s">
        <v>281</v>
      </c>
      <c r="G355" s="5">
        <f>E355</f>
        <v>1</v>
      </c>
      <c r="H355" s="2" t="s">
        <v>282</v>
      </c>
      <c r="J355" s="4" t="s">
        <v>347</v>
      </c>
      <c r="K355" s="6">
        <f>K364</f>
        <v>1478.8000000000002</v>
      </c>
    </row>
    <row r="356" spans="2:11">
      <c r="B356" s="2" t="s">
        <v>283</v>
      </c>
      <c r="C356" s="2" t="s">
        <v>284</v>
      </c>
      <c r="G356" s="4" t="s">
        <v>122</v>
      </c>
      <c r="H356" s="4" t="s">
        <v>285</v>
      </c>
      <c r="I356" s="4" t="s">
        <v>286</v>
      </c>
      <c r="J356" s="4" t="s">
        <v>287</v>
      </c>
      <c r="K356" s="4" t="s">
        <v>288</v>
      </c>
    </row>
    <row r="357" spans="2:11">
      <c r="C357" s="7" t="s">
        <v>294</v>
      </c>
    </row>
    <row r="358" spans="2:11">
      <c r="C358" t="s">
        <v>390</v>
      </c>
      <c r="G358" s="8" t="s">
        <v>149</v>
      </c>
      <c r="H358" s="9"/>
      <c r="I358" s="10">
        <v>1</v>
      </c>
      <c r="J358">
        <v>211.86</v>
      </c>
      <c r="K358" s="12">
        <f>I358*J358</f>
        <v>211.86</v>
      </c>
    </row>
    <row r="359" spans="2:11">
      <c r="C359" t="s">
        <v>391</v>
      </c>
      <c r="G359" s="8" t="s">
        <v>149</v>
      </c>
      <c r="I359" s="10">
        <v>2</v>
      </c>
      <c r="J359">
        <v>76.27</v>
      </c>
      <c r="K359" s="12">
        <f>I359*J359</f>
        <v>152.54</v>
      </c>
    </row>
    <row r="360" spans="2:11">
      <c r="C360" t="s">
        <v>392</v>
      </c>
      <c r="G360" s="8" t="s">
        <v>149</v>
      </c>
      <c r="I360" s="10">
        <v>1</v>
      </c>
      <c r="J360">
        <v>593.22</v>
      </c>
      <c r="K360" s="12">
        <f>I360*J360</f>
        <v>593.22</v>
      </c>
    </row>
    <row r="361" spans="2:11">
      <c r="C361" t="s">
        <v>393</v>
      </c>
      <c r="G361" s="8" t="s">
        <v>149</v>
      </c>
      <c r="I361" s="10">
        <v>1</v>
      </c>
      <c r="J361">
        <v>38.14</v>
      </c>
      <c r="K361" s="12">
        <f>I361*J361</f>
        <v>38.14</v>
      </c>
    </row>
    <row r="362" spans="2:11">
      <c r="C362" t="s">
        <v>394</v>
      </c>
      <c r="G362" s="8" t="s">
        <v>149</v>
      </c>
      <c r="I362" s="10">
        <v>2</v>
      </c>
      <c r="J362">
        <v>135.59</v>
      </c>
      <c r="K362" s="12">
        <f>I362*J362</f>
        <v>271.18</v>
      </c>
    </row>
    <row r="363" spans="2:11">
      <c r="C363" t="s">
        <v>395</v>
      </c>
      <c r="G363" s="8" t="s">
        <v>149</v>
      </c>
      <c r="I363" s="10">
        <v>1</v>
      </c>
      <c r="J363">
        <v>211.86</v>
      </c>
      <c r="K363" s="12">
        <f>I363*J363</f>
        <v>211.86</v>
      </c>
    </row>
    <row r="364" spans="2:11">
      <c r="B364" s="14"/>
      <c r="C364" s="14"/>
      <c r="D364" s="14"/>
      <c r="E364" s="14"/>
      <c r="F364" s="14"/>
      <c r="G364" s="44"/>
      <c r="H364" s="45"/>
      <c r="I364" s="46"/>
      <c r="J364" s="106"/>
      <c r="K364" s="16">
        <f>SUM(K358:K363)</f>
        <v>1478.8000000000002</v>
      </c>
    </row>
    <row r="365" spans="2:11">
      <c r="G365" s="8"/>
      <c r="I365" s="10"/>
      <c r="K365" s="12"/>
    </row>
    <row r="366" spans="2:11">
      <c r="B366" s="2" t="s">
        <v>333</v>
      </c>
      <c r="C366" s="2" t="str">
        <f>PROVISIONALES!A36</f>
        <v>1.3.1.6</v>
      </c>
      <c r="D366" s="2" t="s">
        <v>396</v>
      </c>
      <c r="E366" s="2"/>
      <c r="F366" s="2"/>
      <c r="G366" s="2"/>
      <c r="H366" s="2"/>
      <c r="I366" s="2"/>
      <c r="J366" s="2"/>
    </row>
    <row r="367" spans="2:11">
      <c r="B367" s="2" t="s">
        <v>278</v>
      </c>
      <c r="C367" s="2" t="s">
        <v>325</v>
      </c>
      <c r="D367" s="4" t="s">
        <v>280</v>
      </c>
      <c r="E367" s="5">
        <v>1</v>
      </c>
      <c r="F367" s="4" t="s">
        <v>281</v>
      </c>
      <c r="G367" s="5">
        <f>E367</f>
        <v>1</v>
      </c>
      <c r="H367" s="2" t="s">
        <v>282</v>
      </c>
      <c r="J367" s="4" t="s">
        <v>149</v>
      </c>
      <c r="K367" s="6">
        <f>K372</f>
        <v>8515.8000000000011</v>
      </c>
    </row>
    <row r="368" spans="2:11">
      <c r="B368" s="2" t="s">
        <v>283</v>
      </c>
      <c r="C368" s="2" t="s">
        <v>284</v>
      </c>
      <c r="G368" s="4" t="s">
        <v>122</v>
      </c>
      <c r="H368" s="4" t="s">
        <v>285</v>
      </c>
      <c r="I368" s="4" t="s">
        <v>286</v>
      </c>
      <c r="J368" s="4" t="s">
        <v>287</v>
      </c>
      <c r="K368" s="4" t="s">
        <v>288</v>
      </c>
    </row>
    <row r="369" spans="2:11">
      <c r="C369" s="7" t="s">
        <v>294</v>
      </c>
    </row>
    <row r="370" spans="2:11">
      <c r="C370" t="s">
        <v>397</v>
      </c>
      <c r="G370" s="8" t="s">
        <v>149</v>
      </c>
      <c r="H370" s="9"/>
      <c r="I370" s="10">
        <v>320</v>
      </c>
      <c r="J370">
        <v>25.42</v>
      </c>
      <c r="K370" s="12">
        <f>I370*J370</f>
        <v>8134.4000000000005</v>
      </c>
    </row>
    <row r="371" spans="2:11">
      <c r="C371" t="s">
        <v>398</v>
      </c>
      <c r="G371" s="8" t="s">
        <v>149</v>
      </c>
      <c r="I371" s="10">
        <v>10</v>
      </c>
      <c r="J371">
        <v>38.14</v>
      </c>
      <c r="K371" s="12">
        <f>I371*J371</f>
        <v>381.4</v>
      </c>
    </row>
    <row r="372" spans="2:11">
      <c r="B372" s="14"/>
      <c r="C372" s="14"/>
      <c r="D372" s="14"/>
      <c r="E372" s="14"/>
      <c r="F372" s="14"/>
      <c r="G372" s="44"/>
      <c r="H372" s="45"/>
      <c r="I372" s="46"/>
      <c r="J372" s="106"/>
      <c r="K372" s="16">
        <f>SUM(K370:K371)</f>
        <v>8515.8000000000011</v>
      </c>
    </row>
    <row r="373" spans="2:11">
      <c r="G373" s="8"/>
      <c r="I373" s="10"/>
      <c r="K373" s="12"/>
    </row>
    <row r="374" spans="2:11">
      <c r="B374" s="2" t="s">
        <v>333</v>
      </c>
      <c r="C374" s="2" t="str">
        <f>PROVISIONALES!A37</f>
        <v>1.3.1.7</v>
      </c>
      <c r="D374" s="2" t="s">
        <v>197</v>
      </c>
      <c r="E374" s="2"/>
      <c r="F374" s="2"/>
      <c r="G374" s="2"/>
      <c r="H374" s="2"/>
      <c r="I374" s="2"/>
      <c r="J374" s="2"/>
    </row>
    <row r="375" spans="2:11">
      <c r="B375" s="2" t="s">
        <v>278</v>
      </c>
      <c r="C375" s="2" t="s">
        <v>325</v>
      </c>
      <c r="D375" s="4" t="s">
        <v>280</v>
      </c>
      <c r="E375" s="5">
        <v>1</v>
      </c>
      <c r="F375" s="4" t="s">
        <v>281</v>
      </c>
      <c r="G375" s="5">
        <f>E375</f>
        <v>1</v>
      </c>
      <c r="H375" s="2" t="s">
        <v>282</v>
      </c>
      <c r="J375" s="4" t="s">
        <v>149</v>
      </c>
      <c r="K375" s="6">
        <f>K380</f>
        <v>29152.28</v>
      </c>
    </row>
    <row r="376" spans="2:11">
      <c r="B376" s="2" t="s">
        <v>283</v>
      </c>
      <c r="C376" s="2" t="s">
        <v>284</v>
      </c>
      <c r="G376" s="4" t="s">
        <v>122</v>
      </c>
      <c r="H376" s="4" t="s">
        <v>285</v>
      </c>
      <c r="I376" s="4" t="s">
        <v>286</v>
      </c>
      <c r="J376" s="4" t="s">
        <v>287</v>
      </c>
      <c r="K376" s="4" t="s">
        <v>288</v>
      </c>
    </row>
    <row r="377" spans="2:11">
      <c r="C377" s="7" t="s">
        <v>294</v>
      </c>
    </row>
    <row r="378" spans="2:11">
      <c r="C378" t="s">
        <v>399</v>
      </c>
      <c r="G378" s="8" t="s">
        <v>149</v>
      </c>
      <c r="H378" s="9"/>
      <c r="I378" s="10">
        <v>130</v>
      </c>
      <c r="J378">
        <v>169.49</v>
      </c>
      <c r="K378" s="12">
        <f>I378*J378</f>
        <v>22033.7</v>
      </c>
    </row>
    <row r="379" spans="2:11">
      <c r="C379" t="s">
        <v>399</v>
      </c>
      <c r="G379" s="8" t="s">
        <v>149</v>
      </c>
      <c r="I379" s="10">
        <v>42</v>
      </c>
      <c r="J379">
        <v>169.49</v>
      </c>
      <c r="K379" s="12">
        <f>I379*J379</f>
        <v>7118.58</v>
      </c>
    </row>
    <row r="380" spans="2:11">
      <c r="B380" s="14"/>
      <c r="C380" s="14"/>
      <c r="D380" s="14"/>
      <c r="E380" s="14"/>
      <c r="F380" s="14"/>
      <c r="G380" s="44"/>
      <c r="H380" s="45"/>
      <c r="I380" s="46"/>
      <c r="J380" s="106"/>
      <c r="K380" s="16">
        <f>SUM(K378:K379)</f>
        <v>29152.28</v>
      </c>
    </row>
    <row r="382" spans="2:11">
      <c r="B382" s="2" t="s">
        <v>277</v>
      </c>
      <c r="C382" s="2" t="str">
        <f>PROVISIONALES!A40</f>
        <v>1.4.1.1</v>
      </c>
      <c r="D382" s="2" t="s">
        <v>400</v>
      </c>
      <c r="E382" s="2"/>
      <c r="F382" s="2"/>
      <c r="G382" s="2"/>
      <c r="H382" s="2"/>
      <c r="I382" s="2"/>
      <c r="J382" s="2"/>
    </row>
    <row r="383" spans="2:11">
      <c r="B383" s="2" t="s">
        <v>278</v>
      </c>
      <c r="C383" s="2" t="s">
        <v>279</v>
      </c>
      <c r="D383" s="4" t="s">
        <v>280</v>
      </c>
      <c r="E383" s="5">
        <v>50</v>
      </c>
      <c r="F383" s="4" t="s">
        <v>281</v>
      </c>
      <c r="G383" s="5">
        <f>E383</f>
        <v>50</v>
      </c>
      <c r="H383" s="2" t="s">
        <v>282</v>
      </c>
      <c r="J383" s="4" t="s">
        <v>133</v>
      </c>
      <c r="K383" s="6">
        <f>K388++K393</f>
        <v>32.555840000000003</v>
      </c>
    </row>
    <row r="384" spans="2:11">
      <c r="B384" s="2" t="s">
        <v>283</v>
      </c>
      <c r="C384" s="2" t="s">
        <v>284</v>
      </c>
      <c r="G384" s="4" t="s">
        <v>122</v>
      </c>
      <c r="H384" s="4" t="s">
        <v>285</v>
      </c>
      <c r="I384" s="4" t="s">
        <v>286</v>
      </c>
      <c r="J384" s="4" t="s">
        <v>287</v>
      </c>
      <c r="K384" s="4" t="s">
        <v>288</v>
      </c>
    </row>
    <row r="385" spans="2:11">
      <c r="C385" s="7" t="s">
        <v>289</v>
      </c>
    </row>
    <row r="386" spans="2:11">
      <c r="C386" t="s">
        <v>292</v>
      </c>
      <c r="G386" s="8" t="s">
        <v>291</v>
      </c>
      <c r="H386" s="9">
        <v>1</v>
      </c>
      <c r="I386" s="10">
        <f>H386*8/$E$383</f>
        <v>0.16</v>
      </c>
      <c r="J386" s="12">
        <v>22.66</v>
      </c>
      <c r="K386" s="12">
        <f>I386*J386</f>
        <v>3.6255999999999999</v>
      </c>
    </row>
    <row r="387" spans="2:11">
      <c r="C387" t="s">
        <v>293</v>
      </c>
      <c r="G387" s="8" t="s">
        <v>291</v>
      </c>
      <c r="H387" s="9">
        <v>2</v>
      </c>
      <c r="I387" s="10">
        <f>H387*8/$E$383</f>
        <v>0.32</v>
      </c>
      <c r="J387" s="12">
        <v>20.51</v>
      </c>
      <c r="K387" s="12">
        <f>I387*J387</f>
        <v>6.563200000000001</v>
      </c>
    </row>
    <row r="388" spans="2:11">
      <c r="K388" s="6">
        <f>SUM(K386:K387)</f>
        <v>10.188800000000001</v>
      </c>
    </row>
    <row r="389" spans="2:11">
      <c r="C389" s="7" t="s">
        <v>317</v>
      </c>
    </row>
    <row r="390" spans="2:11">
      <c r="C390" t="s">
        <v>310</v>
      </c>
      <c r="G390" s="8" t="s">
        <v>311</v>
      </c>
      <c r="I390" s="10">
        <v>5</v>
      </c>
      <c r="J390" s="12">
        <f>K388</f>
        <v>10.188800000000001</v>
      </c>
      <c r="K390" s="12">
        <f>I390%*J390</f>
        <v>0.50944</v>
      </c>
    </row>
    <row r="391" spans="2:11">
      <c r="C391" t="s">
        <v>401</v>
      </c>
      <c r="G391" s="8" t="s">
        <v>337</v>
      </c>
      <c r="H391" s="9">
        <v>1</v>
      </c>
      <c r="I391" s="10">
        <f>H391*8/$E$383</f>
        <v>0.16</v>
      </c>
      <c r="J391" s="12">
        <v>85.76</v>
      </c>
      <c r="K391" s="12">
        <f>I391*J391</f>
        <v>13.7216</v>
      </c>
    </row>
    <row r="392" spans="2:11">
      <c r="C392" t="s">
        <v>402</v>
      </c>
      <c r="G392" s="8" t="s">
        <v>337</v>
      </c>
      <c r="H392" s="9">
        <v>5</v>
      </c>
      <c r="I392" s="10">
        <f>H392*8/$E$383</f>
        <v>0.8</v>
      </c>
      <c r="J392" s="12">
        <v>10.17</v>
      </c>
      <c r="K392" s="12">
        <f>I392*J392</f>
        <v>8.136000000000001</v>
      </c>
    </row>
    <row r="393" spans="2:11">
      <c r="B393" s="14"/>
      <c r="C393" s="14"/>
      <c r="D393" s="14"/>
      <c r="E393" s="14"/>
      <c r="F393" s="14"/>
      <c r="G393" s="14"/>
      <c r="H393" s="14"/>
      <c r="I393" s="14"/>
      <c r="J393" s="14"/>
      <c r="K393" s="16">
        <f>SUM(K390:K392)</f>
        <v>22.367040000000003</v>
      </c>
    </row>
    <row r="395" spans="2:11">
      <c r="B395" s="2" t="s">
        <v>277</v>
      </c>
      <c r="C395" s="2" t="str">
        <f>PROVISIONALES!A41</f>
        <v>1.4.1.2</v>
      </c>
      <c r="D395" s="2" t="s">
        <v>403</v>
      </c>
      <c r="E395" s="2"/>
      <c r="F395" s="2"/>
      <c r="G395" s="2"/>
      <c r="H395" s="2"/>
      <c r="I395" s="2"/>
      <c r="J395" s="2"/>
    </row>
    <row r="396" spans="2:11">
      <c r="B396" s="2" t="s">
        <v>278</v>
      </c>
      <c r="C396" s="2" t="s">
        <v>325</v>
      </c>
      <c r="D396" s="4" t="s">
        <v>280</v>
      </c>
      <c r="E396" s="5">
        <v>6</v>
      </c>
      <c r="F396" s="4" t="s">
        <v>281</v>
      </c>
      <c r="G396" s="5">
        <f>E396</f>
        <v>6</v>
      </c>
      <c r="H396" s="2" t="s">
        <v>282</v>
      </c>
      <c r="J396" s="4" t="s">
        <v>149</v>
      </c>
      <c r="K396" s="6">
        <f>K401++K407+K410</f>
        <v>115.47972</v>
      </c>
    </row>
    <row r="397" spans="2:11">
      <c r="B397" s="2" t="s">
        <v>283</v>
      </c>
      <c r="C397" s="2" t="s">
        <v>284</v>
      </c>
      <c r="G397" s="4" t="s">
        <v>122</v>
      </c>
      <c r="H397" s="4" t="s">
        <v>285</v>
      </c>
      <c r="I397" s="4" t="s">
        <v>286</v>
      </c>
      <c r="J397" s="4" t="s">
        <v>287</v>
      </c>
      <c r="K397" s="4" t="s">
        <v>288</v>
      </c>
    </row>
    <row r="398" spans="2:11">
      <c r="C398" s="7" t="s">
        <v>289</v>
      </c>
    </row>
    <row r="399" spans="2:11">
      <c r="C399" t="s">
        <v>404</v>
      </c>
      <c r="G399" s="8" t="s">
        <v>291</v>
      </c>
      <c r="H399" s="9">
        <v>1</v>
      </c>
      <c r="I399" s="10">
        <f>H399*8/$E$396</f>
        <v>1.3333333333333333</v>
      </c>
      <c r="J399" s="12">
        <v>28.94</v>
      </c>
      <c r="K399" s="12">
        <f>I399*J399</f>
        <v>38.586666666666666</v>
      </c>
    </row>
    <row r="400" spans="2:11">
      <c r="C400" t="s">
        <v>293</v>
      </c>
      <c r="G400" s="8" t="s">
        <v>291</v>
      </c>
      <c r="H400" s="9">
        <v>1</v>
      </c>
      <c r="I400" s="10">
        <f>H400*8/$E$396</f>
        <v>1.3333333333333333</v>
      </c>
      <c r="J400" s="12">
        <v>20.51</v>
      </c>
      <c r="K400" s="12">
        <f>I400*J400</f>
        <v>27.346666666666668</v>
      </c>
    </row>
    <row r="401" spans="2:11">
      <c r="K401" s="6">
        <f>SUM(K399:K400)</f>
        <v>65.933333333333337</v>
      </c>
    </row>
    <row r="402" spans="2:11">
      <c r="C402" s="7" t="s">
        <v>294</v>
      </c>
    </row>
    <row r="403" spans="2:11">
      <c r="C403" t="s">
        <v>405</v>
      </c>
      <c r="G403" s="8" t="s">
        <v>149</v>
      </c>
      <c r="I403" s="10">
        <v>1</v>
      </c>
      <c r="J403" s="12">
        <v>10.85</v>
      </c>
      <c r="K403" s="12">
        <f>I403*J403</f>
        <v>10.85</v>
      </c>
    </row>
    <row r="404" spans="2:11">
      <c r="C404" t="s">
        <v>301</v>
      </c>
      <c r="G404" s="8" t="s">
        <v>296</v>
      </c>
      <c r="H404" s="9"/>
      <c r="I404" s="10">
        <v>1.2E-2</v>
      </c>
      <c r="J404" s="12">
        <v>5.51</v>
      </c>
      <c r="K404" s="12">
        <f>I404*J404</f>
        <v>6.6119999999999998E-2</v>
      </c>
    </row>
    <row r="405" spans="2:11">
      <c r="C405" t="s">
        <v>406</v>
      </c>
      <c r="G405" s="8" t="s">
        <v>203</v>
      </c>
      <c r="H405" s="9"/>
      <c r="I405" s="10">
        <v>0.08</v>
      </c>
      <c r="J405" s="12">
        <v>70.92</v>
      </c>
      <c r="K405" s="12">
        <f>I405*J405</f>
        <v>5.6736000000000004</v>
      </c>
    </row>
    <row r="406" spans="2:11">
      <c r="C406" t="s">
        <v>407</v>
      </c>
      <c r="G406" s="8" t="s">
        <v>149</v>
      </c>
      <c r="I406">
        <v>1</v>
      </c>
      <c r="J406">
        <v>29.66</v>
      </c>
      <c r="K406" s="12">
        <f>I406*J406</f>
        <v>29.66</v>
      </c>
    </row>
    <row r="407" spans="2:11">
      <c r="K407" s="6">
        <f>SUM(K403:K406)</f>
        <v>46.249719999999996</v>
      </c>
    </row>
    <row r="408" spans="2:11">
      <c r="C408" s="7" t="s">
        <v>317</v>
      </c>
    </row>
    <row r="409" spans="2:11">
      <c r="C409" t="s">
        <v>310</v>
      </c>
      <c r="G409" s="8" t="s">
        <v>311</v>
      </c>
      <c r="I409" s="10">
        <v>5</v>
      </c>
      <c r="J409" s="12">
        <f>K401</f>
        <v>65.933333333333337</v>
      </c>
      <c r="K409" s="12">
        <f>I409%*J409</f>
        <v>3.2966666666666669</v>
      </c>
    </row>
    <row r="410" spans="2:11">
      <c r="B410" s="14"/>
      <c r="C410" s="14"/>
      <c r="D410" s="14"/>
      <c r="E410" s="14"/>
      <c r="F410" s="14"/>
      <c r="G410" s="14"/>
      <c r="H410" s="14"/>
      <c r="I410" s="14"/>
      <c r="J410" s="14"/>
      <c r="K410" s="16">
        <f>SUM(K409)</f>
        <v>3.2966666666666669</v>
      </c>
    </row>
    <row r="412" spans="2:11">
      <c r="B412" s="2" t="s">
        <v>333</v>
      </c>
      <c r="C412" s="2" t="str">
        <f>PROVISIONALES!A43</f>
        <v>1.4.2.1</v>
      </c>
      <c r="D412" s="2" t="s">
        <v>408</v>
      </c>
      <c r="E412" s="2"/>
      <c r="F412" s="2"/>
      <c r="G412" s="2"/>
      <c r="H412" s="2"/>
      <c r="I412" s="2"/>
      <c r="J412" s="2"/>
    </row>
    <row r="413" spans="2:11">
      <c r="B413" s="2" t="s">
        <v>278</v>
      </c>
      <c r="C413" s="2" t="s">
        <v>331</v>
      </c>
      <c r="D413" s="4" t="s">
        <v>280</v>
      </c>
      <c r="E413" s="5">
        <v>1</v>
      </c>
      <c r="F413" s="4" t="s">
        <v>281</v>
      </c>
      <c r="G413" s="5">
        <f>E413</f>
        <v>1</v>
      </c>
      <c r="H413" s="2" t="s">
        <v>282</v>
      </c>
      <c r="J413" s="4" t="s">
        <v>154</v>
      </c>
      <c r="K413" s="6">
        <f>K419</f>
        <v>135.964</v>
      </c>
    </row>
    <row r="414" spans="2:11">
      <c r="B414" s="2" t="s">
        <v>283</v>
      </c>
      <c r="C414" s="2" t="s">
        <v>284</v>
      </c>
      <c r="G414" s="4" t="s">
        <v>122</v>
      </c>
      <c r="H414" s="4" t="s">
        <v>285</v>
      </c>
      <c r="I414" s="4" t="s">
        <v>286</v>
      </c>
      <c r="J414" s="4" t="s">
        <v>287</v>
      </c>
      <c r="K414" s="4" t="s">
        <v>288</v>
      </c>
    </row>
    <row r="415" spans="2:11">
      <c r="C415" s="7" t="s">
        <v>294</v>
      </c>
    </row>
    <row r="416" spans="2:11">
      <c r="C416" t="s">
        <v>409</v>
      </c>
      <c r="G416" s="8" t="s">
        <v>149</v>
      </c>
      <c r="H416" s="9"/>
      <c r="I416" s="10">
        <v>80</v>
      </c>
      <c r="J416">
        <v>0.42</v>
      </c>
      <c r="K416" s="12">
        <f>I416*J416</f>
        <v>33.6</v>
      </c>
    </row>
    <row r="417" spans="2:11">
      <c r="C417" t="s">
        <v>410</v>
      </c>
      <c r="G417" s="8" t="s">
        <v>149</v>
      </c>
      <c r="I417" s="10">
        <v>80</v>
      </c>
      <c r="J417">
        <v>1.1000000000000001</v>
      </c>
      <c r="K417" s="12">
        <f>I417*J417</f>
        <v>88</v>
      </c>
    </row>
    <row r="418" spans="2:11">
      <c r="C418" t="s">
        <v>411</v>
      </c>
      <c r="G418" s="8" t="s">
        <v>149</v>
      </c>
      <c r="I418" s="10">
        <v>0.05</v>
      </c>
      <c r="J418">
        <v>287.27999999999997</v>
      </c>
      <c r="K418" s="12">
        <f>I418*J418</f>
        <v>14.363999999999999</v>
      </c>
    </row>
    <row r="419" spans="2:11">
      <c r="B419" s="14"/>
      <c r="C419" s="14"/>
      <c r="D419" s="14"/>
      <c r="E419" s="14"/>
      <c r="F419" s="14"/>
      <c r="G419" s="44"/>
      <c r="H419" s="45"/>
      <c r="I419" s="46"/>
      <c r="J419" s="106"/>
      <c r="K419" s="16">
        <f>SUM(K416:K418)</f>
        <v>135.964</v>
      </c>
    </row>
    <row r="421" spans="2:11">
      <c r="B421" s="2" t="s">
        <v>333</v>
      </c>
      <c r="C421" s="2" t="str">
        <f>PROVISIONALES!A45</f>
        <v>1.4.3.1</v>
      </c>
      <c r="D421" s="2" t="s">
        <v>412</v>
      </c>
      <c r="E421" s="2"/>
      <c r="F421" s="2"/>
      <c r="G421" s="2"/>
      <c r="H421" s="2"/>
      <c r="I421" s="2"/>
      <c r="J421" s="2"/>
    </row>
    <row r="422" spans="2:11">
      <c r="B422" s="2" t="s">
        <v>278</v>
      </c>
      <c r="C422" s="2" t="s">
        <v>413</v>
      </c>
      <c r="D422" s="4" t="s">
        <v>280</v>
      </c>
      <c r="E422" s="5">
        <v>1</v>
      </c>
      <c r="F422" s="4" t="s">
        <v>281</v>
      </c>
      <c r="G422" s="5">
        <f>E422</f>
        <v>1</v>
      </c>
      <c r="H422" s="2" t="s">
        <v>282</v>
      </c>
      <c r="J422" s="4" t="s">
        <v>214</v>
      </c>
      <c r="K422" s="6">
        <f>K426</f>
        <v>1915.25</v>
      </c>
    </row>
    <row r="423" spans="2:11">
      <c r="B423" s="2" t="s">
        <v>283</v>
      </c>
      <c r="C423" s="2" t="s">
        <v>284</v>
      </c>
      <c r="G423" s="4" t="s">
        <v>122</v>
      </c>
      <c r="H423" s="4" t="s">
        <v>285</v>
      </c>
      <c r="I423" s="4" t="s">
        <v>286</v>
      </c>
      <c r="J423" s="4" t="s">
        <v>287</v>
      </c>
      <c r="K423" s="4" t="s">
        <v>288</v>
      </c>
    </row>
    <row r="424" spans="2:11">
      <c r="C424" s="7" t="s">
        <v>294</v>
      </c>
    </row>
    <row r="425" spans="2:11">
      <c r="C425" t="s">
        <v>414</v>
      </c>
      <c r="G425" s="8" t="s">
        <v>149</v>
      </c>
      <c r="H425" s="9"/>
      <c r="I425" s="10">
        <v>1</v>
      </c>
      <c r="J425">
        <v>1915.25</v>
      </c>
      <c r="K425" s="12">
        <f>I425*J425</f>
        <v>1915.25</v>
      </c>
    </row>
    <row r="426" spans="2:11">
      <c r="B426" s="14"/>
      <c r="C426" s="14"/>
      <c r="D426" s="14"/>
      <c r="E426" s="14"/>
      <c r="F426" s="14"/>
      <c r="G426" s="44"/>
      <c r="H426" s="45"/>
      <c r="I426" s="46"/>
      <c r="J426" s="106"/>
      <c r="K426" s="16">
        <f>SUM(K425)</f>
        <v>1915.25</v>
      </c>
    </row>
    <row r="427" spans="2:11">
      <c r="G427" s="8"/>
      <c r="H427" s="9"/>
      <c r="I427" s="10"/>
      <c r="J427" s="12"/>
      <c r="K427" s="6"/>
    </row>
    <row r="428" spans="2:11">
      <c r="B428" s="2" t="s">
        <v>277</v>
      </c>
      <c r="C428" s="2" t="str">
        <f>PROVISIONALES!A48</f>
        <v>1.4.4.1.1</v>
      </c>
      <c r="D428" s="2" t="s">
        <v>220</v>
      </c>
      <c r="E428" s="2"/>
      <c r="F428" s="2"/>
      <c r="G428" s="2"/>
      <c r="H428" s="2"/>
      <c r="I428" s="2"/>
      <c r="J428" s="2"/>
    </row>
    <row r="429" spans="2:11">
      <c r="B429" s="2" t="s">
        <v>278</v>
      </c>
      <c r="C429" s="2" t="s">
        <v>325</v>
      </c>
      <c r="D429" s="4" t="s">
        <v>280</v>
      </c>
      <c r="E429" s="5">
        <v>7.5</v>
      </c>
      <c r="F429" s="4" t="s">
        <v>281</v>
      </c>
      <c r="G429" s="5">
        <f>E429</f>
        <v>7.5</v>
      </c>
      <c r="H429" s="2" t="s">
        <v>282</v>
      </c>
      <c r="J429" s="4" t="s">
        <v>149</v>
      </c>
      <c r="K429" s="6">
        <f>K433++K436+K439</f>
        <v>167.04119999999998</v>
      </c>
    </row>
    <row r="430" spans="2:11">
      <c r="B430" s="2" t="s">
        <v>283</v>
      </c>
      <c r="C430" s="2" t="s">
        <v>284</v>
      </c>
      <c r="G430" s="4" t="s">
        <v>122</v>
      </c>
      <c r="H430" s="4" t="s">
        <v>285</v>
      </c>
      <c r="I430" s="4" t="s">
        <v>286</v>
      </c>
      <c r="J430" s="4" t="s">
        <v>287</v>
      </c>
      <c r="K430" s="4" t="s">
        <v>288</v>
      </c>
    </row>
    <row r="431" spans="2:11">
      <c r="C431" s="7" t="s">
        <v>289</v>
      </c>
    </row>
    <row r="432" spans="2:11">
      <c r="C432" t="s">
        <v>293</v>
      </c>
      <c r="G432" s="8" t="s">
        <v>291</v>
      </c>
      <c r="H432" s="9">
        <v>1</v>
      </c>
      <c r="I432" s="10">
        <f>H432*8/$E$429</f>
        <v>1.0666666666666667</v>
      </c>
      <c r="J432" s="12">
        <v>20.51</v>
      </c>
      <c r="K432" s="12">
        <f>I432*J432</f>
        <v>21.877333333333336</v>
      </c>
    </row>
    <row r="433" spans="2:11">
      <c r="K433" s="6">
        <f>SUM(K432:K432)</f>
        <v>21.877333333333336</v>
      </c>
    </row>
    <row r="434" spans="2:11">
      <c r="C434" s="7" t="s">
        <v>294</v>
      </c>
    </row>
    <row r="435" spans="2:11">
      <c r="C435" t="s">
        <v>415</v>
      </c>
      <c r="G435" s="8" t="s">
        <v>149</v>
      </c>
      <c r="I435" s="9">
        <v>1</v>
      </c>
      <c r="J435" s="10">
        <v>144.07</v>
      </c>
      <c r="K435" s="12">
        <f>I435*J435</f>
        <v>144.07</v>
      </c>
    </row>
    <row r="436" spans="2:11">
      <c r="K436" s="6">
        <f>SUM(K435:K435)</f>
        <v>144.07</v>
      </c>
    </row>
    <row r="437" spans="2:11">
      <c r="C437" s="7" t="s">
        <v>317</v>
      </c>
    </row>
    <row r="438" spans="2:11">
      <c r="C438" t="s">
        <v>310</v>
      </c>
      <c r="G438" s="8" t="s">
        <v>311</v>
      </c>
      <c r="I438" s="10">
        <v>5</v>
      </c>
      <c r="J438" s="12">
        <f>K433</f>
        <v>21.877333333333336</v>
      </c>
      <c r="K438" s="12">
        <f>I438%*J438</f>
        <v>1.0938666666666668</v>
      </c>
    </row>
    <row r="439" spans="2:11">
      <c r="B439" s="14"/>
      <c r="C439" s="14"/>
      <c r="D439" s="14"/>
      <c r="E439" s="14"/>
      <c r="F439" s="14"/>
      <c r="G439" s="14"/>
      <c r="H439" s="14"/>
      <c r="I439" s="14"/>
      <c r="J439" s="14"/>
      <c r="K439" s="16">
        <f>SUM(K438:K438)</f>
        <v>1.0938666666666668</v>
      </c>
    </row>
    <row r="441" spans="2:11">
      <c r="B441" s="2" t="s">
        <v>277</v>
      </c>
      <c r="C441" s="2" t="str">
        <f>PROVISIONALES!A49</f>
        <v>1.4.4.1.2</v>
      </c>
      <c r="D441" s="2" t="s">
        <v>222</v>
      </c>
      <c r="E441" s="2"/>
      <c r="F441" s="2"/>
      <c r="G441" s="2"/>
      <c r="H441" s="2"/>
      <c r="I441" s="2"/>
      <c r="J441" s="2"/>
    </row>
    <row r="442" spans="2:11">
      <c r="B442" s="2" t="s">
        <v>278</v>
      </c>
      <c r="C442" s="2" t="s">
        <v>416</v>
      </c>
      <c r="D442" s="4" t="s">
        <v>280</v>
      </c>
      <c r="E442" s="5">
        <v>45</v>
      </c>
      <c r="F442" s="4" t="s">
        <v>281</v>
      </c>
      <c r="G442" s="5">
        <f>E442</f>
        <v>45</v>
      </c>
      <c r="H442" s="2" t="s">
        <v>282</v>
      </c>
      <c r="J442" s="4" t="s">
        <v>203</v>
      </c>
      <c r="K442" s="6">
        <f>K446++K454+K457</f>
        <v>163.19213333333335</v>
      </c>
    </row>
    <row r="443" spans="2:11">
      <c r="B443" s="2" t="s">
        <v>283</v>
      </c>
      <c r="C443" s="2" t="s">
        <v>284</v>
      </c>
      <c r="G443" s="4" t="s">
        <v>122</v>
      </c>
      <c r="H443" s="4" t="s">
        <v>285</v>
      </c>
      <c r="I443" s="4" t="s">
        <v>286</v>
      </c>
      <c r="J443" s="4" t="s">
        <v>287</v>
      </c>
      <c r="K443" s="4" t="s">
        <v>288</v>
      </c>
    </row>
    <row r="444" spans="2:11">
      <c r="C444" s="7" t="s">
        <v>289</v>
      </c>
    </row>
    <row r="445" spans="2:11">
      <c r="C445" t="s">
        <v>293</v>
      </c>
      <c r="G445" s="8" t="s">
        <v>291</v>
      </c>
      <c r="H445" s="9">
        <v>4</v>
      </c>
      <c r="I445" s="10">
        <f>H445*8/$E$442</f>
        <v>0.71111111111111114</v>
      </c>
      <c r="J445" s="12">
        <v>20.51</v>
      </c>
      <c r="K445" s="12">
        <f>I445*J445</f>
        <v>14.584888888888891</v>
      </c>
    </row>
    <row r="446" spans="2:11">
      <c r="K446" s="6">
        <f>SUM(K445:K445)</f>
        <v>14.584888888888891</v>
      </c>
    </row>
    <row r="447" spans="2:11">
      <c r="C447" s="7" t="s">
        <v>294</v>
      </c>
    </row>
    <row r="448" spans="2:11">
      <c r="C448" t="s">
        <v>417</v>
      </c>
      <c r="G448" s="8" t="s">
        <v>149</v>
      </c>
      <c r="H448" s="9"/>
      <c r="I448" s="10">
        <v>2</v>
      </c>
      <c r="J448" s="12">
        <v>29.66</v>
      </c>
      <c r="K448" s="12">
        <f>I448*J448</f>
        <v>59.32</v>
      </c>
    </row>
    <row r="449" spans="2:11">
      <c r="C449" t="s">
        <v>418</v>
      </c>
      <c r="G449" s="8" t="s">
        <v>419</v>
      </c>
      <c r="H449" s="9"/>
      <c r="I449" s="10">
        <v>5</v>
      </c>
      <c r="J449" s="12">
        <v>8.9</v>
      </c>
      <c r="K449" s="12">
        <f>I449*J449</f>
        <v>44.5</v>
      </c>
    </row>
    <row r="450" spans="2:11">
      <c r="C450" t="s">
        <v>420</v>
      </c>
      <c r="G450" s="8" t="s">
        <v>149</v>
      </c>
      <c r="I450" s="10">
        <v>3</v>
      </c>
      <c r="J450" s="12">
        <v>3.39</v>
      </c>
      <c r="K450" s="12">
        <f t="shared" ref="K450:K453" si="19">I450*J450</f>
        <v>10.17</v>
      </c>
    </row>
    <row r="451" spans="2:11">
      <c r="C451" t="s">
        <v>421</v>
      </c>
      <c r="G451" s="8" t="s">
        <v>149</v>
      </c>
      <c r="H451" s="9"/>
      <c r="I451" s="10">
        <v>2</v>
      </c>
      <c r="J451" s="12">
        <v>8.4700000000000006</v>
      </c>
      <c r="K451" s="12">
        <f t="shared" si="19"/>
        <v>16.940000000000001</v>
      </c>
    </row>
    <row r="452" spans="2:11">
      <c r="C452" t="s">
        <v>422</v>
      </c>
      <c r="G452" s="8" t="s">
        <v>149</v>
      </c>
      <c r="I452" s="10">
        <v>0.1</v>
      </c>
      <c r="J452" s="12">
        <v>55.08</v>
      </c>
      <c r="K452" s="12">
        <f t="shared" si="19"/>
        <v>5.508</v>
      </c>
    </row>
    <row r="453" spans="2:11">
      <c r="C453" t="s">
        <v>423</v>
      </c>
      <c r="G453" s="8" t="s">
        <v>149</v>
      </c>
      <c r="I453" s="10">
        <v>0.5</v>
      </c>
      <c r="J453" s="12">
        <v>22.88</v>
      </c>
      <c r="K453" s="12">
        <f t="shared" si="19"/>
        <v>11.44</v>
      </c>
    </row>
    <row r="454" spans="2:11">
      <c r="K454" s="6">
        <f>SUM(K448:K453)</f>
        <v>147.87800000000001</v>
      </c>
    </row>
    <row r="455" spans="2:11">
      <c r="C455" s="7" t="s">
        <v>309</v>
      </c>
    </row>
    <row r="456" spans="2:11">
      <c r="C456" t="s">
        <v>310</v>
      </c>
      <c r="G456" s="8" t="s">
        <v>311</v>
      </c>
      <c r="I456" s="10">
        <v>5</v>
      </c>
      <c r="J456" s="12">
        <f>K446</f>
        <v>14.584888888888891</v>
      </c>
      <c r="K456" s="12">
        <f>I456%*J456</f>
        <v>0.72924444444444458</v>
      </c>
    </row>
    <row r="457" spans="2:11">
      <c r="B457" s="14"/>
      <c r="C457" s="14"/>
      <c r="D457" s="14"/>
      <c r="E457" s="14"/>
      <c r="F457" s="14"/>
      <c r="G457" s="14"/>
      <c r="H457" s="14"/>
      <c r="I457" s="14"/>
      <c r="J457" s="14"/>
      <c r="K457" s="16">
        <f>SUM(K456)</f>
        <v>0.72924444444444458</v>
      </c>
    </row>
    <row r="459" spans="2:11">
      <c r="B459" s="2" t="s">
        <v>333</v>
      </c>
      <c r="C459" s="2" t="str">
        <f>PROVISIONALES!A50</f>
        <v>1.4.4.1.3</v>
      </c>
      <c r="D459" s="2" t="s">
        <v>224</v>
      </c>
      <c r="E459" s="2"/>
      <c r="F459" s="2"/>
      <c r="G459" s="2"/>
      <c r="H459" s="2"/>
      <c r="I459" s="2"/>
      <c r="J459" s="2"/>
    </row>
    <row r="460" spans="2:11">
      <c r="B460" s="2" t="s">
        <v>278</v>
      </c>
      <c r="C460" s="2" t="s">
        <v>416</v>
      </c>
      <c r="D460" s="4" t="s">
        <v>280</v>
      </c>
      <c r="E460" s="5">
        <v>1</v>
      </c>
      <c r="F460" s="4" t="s">
        <v>281</v>
      </c>
      <c r="G460" s="5">
        <f>E460</f>
        <v>1</v>
      </c>
      <c r="H460" s="2" t="s">
        <v>282</v>
      </c>
      <c r="J460" s="4" t="s">
        <v>203</v>
      </c>
      <c r="K460" s="6">
        <f>K464</f>
        <v>406.78</v>
      </c>
    </row>
    <row r="461" spans="2:11">
      <c r="B461" s="2" t="s">
        <v>283</v>
      </c>
      <c r="C461" s="2" t="s">
        <v>284</v>
      </c>
      <c r="G461" s="4" t="s">
        <v>122</v>
      </c>
      <c r="H461" s="4" t="s">
        <v>285</v>
      </c>
      <c r="I461" s="4" t="s">
        <v>286</v>
      </c>
      <c r="J461" s="4" t="s">
        <v>287</v>
      </c>
      <c r="K461" s="4" t="s">
        <v>288</v>
      </c>
    </row>
    <row r="462" spans="2:11">
      <c r="C462" s="7" t="s">
        <v>294</v>
      </c>
    </row>
    <row r="463" spans="2:11">
      <c r="C463" t="s">
        <v>424</v>
      </c>
      <c r="G463" s="8" t="s">
        <v>425</v>
      </c>
      <c r="H463" s="9"/>
      <c r="I463" s="10">
        <v>1</v>
      </c>
      <c r="J463">
        <v>406.78</v>
      </c>
      <c r="K463" s="12">
        <f>I463*J463</f>
        <v>406.78</v>
      </c>
    </row>
    <row r="464" spans="2:11">
      <c r="B464" s="14"/>
      <c r="C464" s="14"/>
      <c r="D464" s="14"/>
      <c r="E464" s="14"/>
      <c r="F464" s="14"/>
      <c r="G464" s="44"/>
      <c r="H464" s="45"/>
      <c r="I464" s="46"/>
      <c r="J464" s="106"/>
      <c r="K464" s="16">
        <f>SUM(K463)</f>
        <v>406.78</v>
      </c>
    </row>
    <row r="466" spans="2:11">
      <c r="B466" s="2" t="s">
        <v>277</v>
      </c>
      <c r="C466" s="2" t="str">
        <f>PROVISIONALES!A52</f>
        <v>1.4.4.2.1</v>
      </c>
      <c r="D466" s="2" t="s">
        <v>426</v>
      </c>
      <c r="E466" s="2"/>
      <c r="F466" s="2"/>
      <c r="G466" s="2"/>
      <c r="H466" s="2"/>
      <c r="I466" s="2"/>
      <c r="J466" s="2"/>
    </row>
    <row r="467" spans="2:11">
      <c r="B467" s="2" t="s">
        <v>278</v>
      </c>
      <c r="C467" s="2" t="s">
        <v>279</v>
      </c>
      <c r="D467" s="4" t="s">
        <v>280</v>
      </c>
      <c r="E467" s="5">
        <v>30</v>
      </c>
      <c r="F467" s="4" t="s">
        <v>281</v>
      </c>
      <c r="G467" s="5">
        <f>E467</f>
        <v>30</v>
      </c>
      <c r="H467" s="2" t="s">
        <v>282</v>
      </c>
      <c r="J467" s="4" t="s">
        <v>133</v>
      </c>
      <c r="K467" s="6">
        <f>K473++K481+K484</f>
        <v>80.190089999999998</v>
      </c>
    </row>
    <row r="468" spans="2:11">
      <c r="B468" s="2" t="s">
        <v>283</v>
      </c>
      <c r="C468" s="2" t="s">
        <v>284</v>
      </c>
      <c r="G468" s="4" t="s">
        <v>122</v>
      </c>
      <c r="H468" s="4" t="s">
        <v>285</v>
      </c>
      <c r="I468" s="4" t="s">
        <v>286</v>
      </c>
      <c r="J468" s="4" t="s">
        <v>287</v>
      </c>
      <c r="K468" s="4" t="s">
        <v>288</v>
      </c>
    </row>
    <row r="469" spans="2:11">
      <c r="C469" s="7" t="s">
        <v>289</v>
      </c>
    </row>
    <row r="470" spans="2:11">
      <c r="C470" t="s">
        <v>290</v>
      </c>
      <c r="G470" s="8" t="s">
        <v>291</v>
      </c>
      <c r="H470" s="9">
        <v>1</v>
      </c>
      <c r="I470" s="10">
        <f>H470*8/$E$467</f>
        <v>0.26666666666666666</v>
      </c>
      <c r="J470" s="12">
        <v>28.94</v>
      </c>
      <c r="K470" s="12">
        <f>I470*J470</f>
        <v>7.7173333333333334</v>
      </c>
    </row>
    <row r="471" spans="2:11">
      <c r="C471" t="s">
        <v>292</v>
      </c>
      <c r="G471" s="8" t="s">
        <v>291</v>
      </c>
      <c r="H471" s="9">
        <v>1</v>
      </c>
      <c r="I471" s="10">
        <f>H471*8/$E$467</f>
        <v>0.26666666666666666</v>
      </c>
      <c r="J471" s="12">
        <v>22.66</v>
      </c>
      <c r="K471" s="12">
        <f>I471*J471</f>
        <v>6.0426666666666664</v>
      </c>
    </row>
    <row r="472" spans="2:11">
      <c r="C472" t="s">
        <v>293</v>
      </c>
      <c r="G472" s="8" t="s">
        <v>291</v>
      </c>
      <c r="H472" s="9">
        <v>3</v>
      </c>
      <c r="I472" s="10">
        <f>H472*8/$E$467</f>
        <v>0.8</v>
      </c>
      <c r="J472" s="12">
        <v>20.51</v>
      </c>
      <c r="K472" s="12">
        <f>I472*J472</f>
        <v>16.408000000000001</v>
      </c>
    </row>
    <row r="473" spans="2:11">
      <c r="K473" s="6">
        <f>SUM(K470:K472)</f>
        <v>30.167999999999999</v>
      </c>
    </row>
    <row r="474" spans="2:11">
      <c r="C474" s="7" t="s">
        <v>294</v>
      </c>
    </row>
    <row r="475" spans="2:11">
      <c r="C475" t="s">
        <v>295</v>
      </c>
      <c r="G475" s="8" t="s">
        <v>296</v>
      </c>
      <c r="I475">
        <v>0.25</v>
      </c>
      <c r="J475">
        <v>2.64</v>
      </c>
      <c r="K475" s="12">
        <f>I475*J475</f>
        <v>0.66</v>
      </c>
    </row>
    <row r="476" spans="2:11">
      <c r="C476" t="s">
        <v>427</v>
      </c>
      <c r="G476" s="8" t="s">
        <v>149</v>
      </c>
      <c r="H476" s="9"/>
      <c r="I476">
        <v>1.05</v>
      </c>
      <c r="J476">
        <v>25.25</v>
      </c>
      <c r="K476" s="12">
        <f>I476*J476</f>
        <v>26.512500000000003</v>
      </c>
    </row>
    <row r="477" spans="2:11">
      <c r="C477" t="s">
        <v>301</v>
      </c>
      <c r="G477" s="8" t="s">
        <v>296</v>
      </c>
      <c r="H477" s="9"/>
      <c r="I477">
        <v>7.0999999999999994E-2</v>
      </c>
      <c r="J477">
        <v>5.51</v>
      </c>
      <c r="K477" s="12">
        <f>I477*J477</f>
        <v>0.39120999999999995</v>
      </c>
    </row>
    <row r="478" spans="2:11">
      <c r="C478" t="s">
        <v>428</v>
      </c>
      <c r="G478" s="8" t="s">
        <v>429</v>
      </c>
      <c r="I478">
        <v>1.9E-2</v>
      </c>
      <c r="J478">
        <v>70.92</v>
      </c>
      <c r="K478" s="12">
        <f t="shared" ref="K478:K480" si="20">I478*J478</f>
        <v>1.34748</v>
      </c>
    </row>
    <row r="479" spans="2:11">
      <c r="C479" t="s">
        <v>430</v>
      </c>
      <c r="G479" s="8" t="s">
        <v>431</v>
      </c>
      <c r="I479">
        <v>0.25</v>
      </c>
      <c r="J479">
        <v>23.31</v>
      </c>
      <c r="K479" s="12">
        <f t="shared" si="20"/>
        <v>5.8274999999999997</v>
      </c>
    </row>
    <row r="480" spans="2:11">
      <c r="C480" t="s">
        <v>432</v>
      </c>
      <c r="G480" s="8" t="s">
        <v>433</v>
      </c>
      <c r="I480">
        <v>2.5</v>
      </c>
      <c r="J480">
        <v>5.51</v>
      </c>
      <c r="K480" s="12">
        <f t="shared" si="20"/>
        <v>13.774999999999999</v>
      </c>
    </row>
    <row r="481" spans="2:11">
      <c r="K481" s="6">
        <f>SUM(K475:K480)</f>
        <v>48.513690000000004</v>
      </c>
    </row>
    <row r="482" spans="2:11">
      <c r="C482" s="7" t="s">
        <v>317</v>
      </c>
    </row>
    <row r="483" spans="2:11">
      <c r="C483" t="s">
        <v>310</v>
      </c>
      <c r="G483" s="8" t="s">
        <v>311</v>
      </c>
      <c r="I483" s="10">
        <v>5</v>
      </c>
      <c r="J483" s="12">
        <f>K473</f>
        <v>30.167999999999999</v>
      </c>
      <c r="K483" s="12">
        <f>I483%*J483</f>
        <v>1.5084</v>
      </c>
    </row>
    <row r="484" spans="2:11">
      <c r="B484" s="14"/>
      <c r="C484" s="14"/>
      <c r="D484" s="14"/>
      <c r="E484" s="14"/>
      <c r="F484" s="14"/>
      <c r="G484" s="14"/>
      <c r="H484" s="14"/>
      <c r="I484" s="14"/>
      <c r="J484" s="14"/>
      <c r="K484" s="16">
        <f>SUM(K483)</f>
        <v>1.5084</v>
      </c>
    </row>
    <row r="485" spans="2:11">
      <c r="G485" s="8"/>
      <c r="I485" s="10"/>
      <c r="K485" s="12"/>
    </row>
    <row r="486" spans="2:11">
      <c r="B486" s="2" t="s">
        <v>277</v>
      </c>
      <c r="C486" s="2" t="str">
        <f>PROVISIONALES!A53</f>
        <v>1.4.4.2.2</v>
      </c>
      <c r="D486" s="2" t="s">
        <v>230</v>
      </c>
      <c r="E486" s="2"/>
      <c r="F486" s="2"/>
      <c r="G486" s="2"/>
      <c r="H486" s="2"/>
      <c r="I486" s="2"/>
      <c r="J486" s="2"/>
    </row>
    <row r="487" spans="2:11">
      <c r="B487" s="2" t="s">
        <v>278</v>
      </c>
      <c r="C487" s="2" t="s">
        <v>325</v>
      </c>
      <c r="D487" s="4" t="s">
        <v>280</v>
      </c>
      <c r="E487" s="5">
        <v>41</v>
      </c>
      <c r="F487" s="4" t="s">
        <v>281</v>
      </c>
      <c r="G487" s="5">
        <f>E487</f>
        <v>41</v>
      </c>
      <c r="H487" s="2" t="s">
        <v>282</v>
      </c>
      <c r="J487" s="4" t="s">
        <v>149</v>
      </c>
      <c r="K487" s="6">
        <f>K491++K494+K497</f>
        <v>148.27204878048781</v>
      </c>
    </row>
    <row r="488" spans="2:11">
      <c r="B488" s="2" t="s">
        <v>283</v>
      </c>
      <c r="C488" s="2" t="s">
        <v>284</v>
      </c>
      <c r="G488" s="4" t="s">
        <v>122</v>
      </c>
      <c r="H488" s="4" t="s">
        <v>285</v>
      </c>
      <c r="I488" s="4" t="s">
        <v>286</v>
      </c>
      <c r="J488" s="4" t="s">
        <v>287</v>
      </c>
      <c r="K488" s="4" t="s">
        <v>288</v>
      </c>
    </row>
    <row r="489" spans="2:11">
      <c r="C489" s="7" t="s">
        <v>289</v>
      </c>
    </row>
    <row r="490" spans="2:11">
      <c r="C490" t="s">
        <v>293</v>
      </c>
      <c r="G490" s="8" t="s">
        <v>291</v>
      </c>
      <c r="H490" s="9">
        <v>1</v>
      </c>
      <c r="I490" s="10">
        <f>H490*8/$E$487</f>
        <v>0.1951219512195122</v>
      </c>
      <c r="J490" s="12">
        <v>20.51</v>
      </c>
      <c r="K490" s="12">
        <f>I490*J490</f>
        <v>4.0019512195121951</v>
      </c>
    </row>
    <row r="491" spans="2:11">
      <c r="K491" s="6">
        <f>SUM(K490:K490)</f>
        <v>4.0019512195121951</v>
      </c>
    </row>
    <row r="492" spans="2:11">
      <c r="C492" s="7" t="s">
        <v>294</v>
      </c>
    </row>
    <row r="493" spans="2:11">
      <c r="C493" t="s">
        <v>415</v>
      </c>
      <c r="G493" s="8" t="s">
        <v>149</v>
      </c>
      <c r="I493" s="9">
        <v>1</v>
      </c>
      <c r="J493" s="10">
        <v>144.07</v>
      </c>
      <c r="K493" s="12">
        <f>I493*J493</f>
        <v>144.07</v>
      </c>
    </row>
    <row r="494" spans="2:11">
      <c r="K494" s="6">
        <f>SUM(K493:K493)</f>
        <v>144.07</v>
      </c>
    </row>
    <row r="495" spans="2:11">
      <c r="C495" s="7" t="s">
        <v>317</v>
      </c>
    </row>
    <row r="496" spans="2:11">
      <c r="C496" t="s">
        <v>310</v>
      </c>
      <c r="G496" s="8" t="s">
        <v>311</v>
      </c>
      <c r="I496" s="10">
        <v>5</v>
      </c>
      <c r="J496" s="12">
        <f>K491</f>
        <v>4.0019512195121951</v>
      </c>
      <c r="K496" s="12">
        <f>I496%*J496</f>
        <v>0.20009756097560977</v>
      </c>
    </row>
    <row r="497" spans="2:11">
      <c r="B497" s="14"/>
      <c r="C497" s="14"/>
      <c r="D497" s="14"/>
      <c r="E497" s="14"/>
      <c r="F497" s="14"/>
      <c r="G497" s="14"/>
      <c r="H497" s="14"/>
      <c r="I497" s="14"/>
      <c r="J497" s="14"/>
      <c r="K497" s="16">
        <f>SUM(K496:K496)</f>
        <v>0.20009756097560977</v>
      </c>
    </row>
    <row r="499" spans="2:11">
      <c r="B499" s="2" t="s">
        <v>277</v>
      </c>
      <c r="C499" s="2" t="str">
        <f>PROVISIONALES!A54</f>
        <v>1.4.4.2.3</v>
      </c>
      <c r="D499" s="2" t="s">
        <v>232</v>
      </c>
      <c r="E499" s="2"/>
      <c r="F499" s="2"/>
      <c r="G499" s="2"/>
      <c r="H499" s="2"/>
      <c r="I499" s="2"/>
      <c r="J499" s="2"/>
    </row>
    <row r="500" spans="2:11">
      <c r="B500" s="2" t="s">
        <v>278</v>
      </c>
      <c r="C500" s="2" t="s">
        <v>416</v>
      </c>
      <c r="D500" s="4" t="s">
        <v>280</v>
      </c>
      <c r="E500" s="5">
        <v>45</v>
      </c>
      <c r="F500" s="4" t="s">
        <v>281</v>
      </c>
      <c r="G500" s="5">
        <f>E500</f>
        <v>45</v>
      </c>
      <c r="H500" s="2" t="s">
        <v>282</v>
      </c>
      <c r="J500" s="4" t="s">
        <v>203</v>
      </c>
      <c r="K500" s="6">
        <f>K506++K512+K515</f>
        <v>43.208133333333336</v>
      </c>
    </row>
    <row r="501" spans="2:11">
      <c r="B501" s="2" t="s">
        <v>283</v>
      </c>
      <c r="C501" s="2" t="s">
        <v>284</v>
      </c>
      <c r="G501" s="4" t="s">
        <v>122</v>
      </c>
      <c r="H501" s="4" t="s">
        <v>285</v>
      </c>
      <c r="I501" s="4" t="s">
        <v>286</v>
      </c>
      <c r="J501" s="4" t="s">
        <v>287</v>
      </c>
      <c r="K501" s="4" t="s">
        <v>288</v>
      </c>
    </row>
    <row r="502" spans="2:11">
      <c r="C502" s="7" t="s">
        <v>289</v>
      </c>
    </row>
    <row r="503" spans="2:11">
      <c r="C503" t="s">
        <v>290</v>
      </c>
      <c r="G503" s="8" t="s">
        <v>291</v>
      </c>
      <c r="H503" s="9">
        <v>1</v>
      </c>
      <c r="I503" s="10">
        <f>H503*8/$E$500</f>
        <v>0.17777777777777778</v>
      </c>
      <c r="J503" s="12">
        <v>28.94</v>
      </c>
      <c r="K503" s="12">
        <f>I503*J503</f>
        <v>5.1448888888888895</v>
      </c>
    </row>
    <row r="504" spans="2:11">
      <c r="C504" t="s">
        <v>292</v>
      </c>
      <c r="G504" s="8" t="s">
        <v>291</v>
      </c>
      <c r="H504" s="9">
        <v>1</v>
      </c>
      <c r="I504" s="10">
        <f>H504*8/$E$500</f>
        <v>0.17777777777777778</v>
      </c>
      <c r="J504" s="12">
        <v>22.66</v>
      </c>
      <c r="K504" s="12">
        <f>I504*J504</f>
        <v>4.0284444444444443</v>
      </c>
    </row>
    <row r="505" spans="2:11">
      <c r="C505" t="s">
        <v>293</v>
      </c>
      <c r="G505" s="8" t="s">
        <v>291</v>
      </c>
      <c r="H505" s="9">
        <v>4</v>
      </c>
      <c r="I505" s="10">
        <f>H505*8/$E$500</f>
        <v>0.71111111111111114</v>
      </c>
      <c r="J505" s="12">
        <v>20.51</v>
      </c>
      <c r="K505" s="12">
        <f>I505*J505</f>
        <v>14.584888888888891</v>
      </c>
    </row>
    <row r="506" spans="2:11">
      <c r="K506" s="6">
        <f>SUM(K503:K505)</f>
        <v>23.758222222222223</v>
      </c>
    </row>
    <row r="507" spans="2:11">
      <c r="C507" s="7" t="s">
        <v>294</v>
      </c>
    </row>
    <row r="508" spans="2:11">
      <c r="C508" t="s">
        <v>434</v>
      </c>
      <c r="G508" s="8" t="s">
        <v>419</v>
      </c>
      <c r="H508" s="9"/>
      <c r="I508">
        <v>0.1</v>
      </c>
      <c r="J508">
        <v>0.42</v>
      </c>
      <c r="K508" s="12">
        <f>I508*J508</f>
        <v>4.2000000000000003E-2</v>
      </c>
    </row>
    <row r="509" spans="2:11">
      <c r="C509" t="s">
        <v>435</v>
      </c>
      <c r="G509" s="8" t="s">
        <v>149</v>
      </c>
      <c r="H509" s="9"/>
      <c r="I509">
        <v>0.5</v>
      </c>
      <c r="J509">
        <v>10.17</v>
      </c>
      <c r="K509" s="12">
        <f>I509*J509</f>
        <v>5.085</v>
      </c>
    </row>
    <row r="510" spans="2:11">
      <c r="C510" t="s">
        <v>356</v>
      </c>
      <c r="G510" s="8" t="s">
        <v>350</v>
      </c>
      <c r="H510" s="9"/>
      <c r="I510">
        <v>0.5</v>
      </c>
      <c r="J510">
        <v>14.41</v>
      </c>
      <c r="K510" s="12">
        <f>I510*J510</f>
        <v>7.2050000000000001</v>
      </c>
    </row>
    <row r="511" spans="2:11">
      <c r="C511" t="s">
        <v>436</v>
      </c>
      <c r="G511" s="8" t="s">
        <v>149</v>
      </c>
      <c r="I511">
        <v>0.5</v>
      </c>
      <c r="J511">
        <v>11.86</v>
      </c>
      <c r="K511" s="12">
        <f>I511*J511</f>
        <v>5.93</v>
      </c>
    </row>
    <row r="512" spans="2:11">
      <c r="G512" s="8"/>
      <c r="I512" s="10"/>
      <c r="J512" s="12"/>
      <c r="K512" s="6">
        <f>SUM(K508:K511)</f>
        <v>18.262</v>
      </c>
    </row>
    <row r="513" spans="2:11">
      <c r="C513" s="7" t="s">
        <v>309</v>
      </c>
    </row>
    <row r="514" spans="2:11">
      <c r="C514" t="s">
        <v>310</v>
      </c>
      <c r="G514" s="8" t="s">
        <v>311</v>
      </c>
      <c r="I514" s="10">
        <v>5</v>
      </c>
      <c r="J514" s="12">
        <f>K506</f>
        <v>23.758222222222223</v>
      </c>
      <c r="K514" s="12">
        <f>I514%*J514</f>
        <v>1.1879111111111111</v>
      </c>
    </row>
    <row r="515" spans="2:11">
      <c r="B515" s="14"/>
      <c r="C515" s="14"/>
      <c r="D515" s="14"/>
      <c r="E515" s="14"/>
      <c r="F515" s="14"/>
      <c r="G515" s="14"/>
      <c r="H515" s="14"/>
      <c r="I515" s="14"/>
      <c r="J515" s="14"/>
      <c r="K515" s="16">
        <f>SUM(K514)</f>
        <v>1.1879111111111111</v>
      </c>
    </row>
    <row r="516" spans="2:11">
      <c r="G516" s="8"/>
      <c r="I516" s="10"/>
      <c r="J516" s="12"/>
      <c r="K516" s="12"/>
    </row>
    <row r="517" spans="2:11">
      <c r="B517" s="2" t="s">
        <v>277</v>
      </c>
      <c r="C517" s="2" t="str">
        <f>PROVISIONALES!A55</f>
        <v>1.4.4.2.4</v>
      </c>
      <c r="D517" s="2" t="s">
        <v>234</v>
      </c>
      <c r="E517" s="2"/>
      <c r="F517" s="2"/>
      <c r="G517" s="2"/>
      <c r="H517" s="2"/>
      <c r="I517" s="2"/>
      <c r="J517" s="2"/>
    </row>
    <row r="518" spans="2:11">
      <c r="B518" s="2" t="s">
        <v>278</v>
      </c>
      <c r="C518" s="2" t="s">
        <v>416</v>
      </c>
      <c r="D518" s="4" t="s">
        <v>280</v>
      </c>
      <c r="E518" s="5">
        <v>250</v>
      </c>
      <c r="F518" s="4" t="s">
        <v>281</v>
      </c>
      <c r="G518" s="5">
        <f>E518</f>
        <v>250</v>
      </c>
      <c r="H518" s="2" t="s">
        <v>282</v>
      </c>
      <c r="J518" s="4" t="s">
        <v>203</v>
      </c>
      <c r="K518" s="6">
        <f>K523++K526+K530</f>
        <v>13.786064</v>
      </c>
    </row>
    <row r="519" spans="2:11">
      <c r="B519" s="2" t="s">
        <v>283</v>
      </c>
      <c r="C519" s="2" t="s">
        <v>284</v>
      </c>
      <c r="G519" s="4" t="s">
        <v>122</v>
      </c>
      <c r="H519" s="4" t="s">
        <v>285</v>
      </c>
      <c r="I519" s="4" t="s">
        <v>286</v>
      </c>
      <c r="J519" s="4" t="s">
        <v>287</v>
      </c>
      <c r="K519" s="4" t="s">
        <v>288</v>
      </c>
    </row>
    <row r="520" spans="2:11">
      <c r="C520" s="7" t="s">
        <v>289</v>
      </c>
    </row>
    <row r="521" spans="2:11">
      <c r="C521" t="s">
        <v>437</v>
      </c>
      <c r="G521" s="8" t="s">
        <v>291</v>
      </c>
      <c r="H521" s="9">
        <v>2</v>
      </c>
      <c r="I521" s="10">
        <f>H521*8/$E$518</f>
        <v>6.4000000000000001E-2</v>
      </c>
      <c r="J521" s="12">
        <v>28.94</v>
      </c>
      <c r="K521" s="12">
        <f>I521*J521</f>
        <v>1.85216</v>
      </c>
    </row>
    <row r="522" spans="2:11">
      <c r="C522" t="s">
        <v>293</v>
      </c>
      <c r="G522" s="8" t="s">
        <v>291</v>
      </c>
      <c r="H522" s="9">
        <v>1</v>
      </c>
      <c r="I522" s="10">
        <f>H522*8/$E$518</f>
        <v>3.2000000000000001E-2</v>
      </c>
      <c r="J522" s="12">
        <v>20.51</v>
      </c>
      <c r="K522" s="12">
        <f>I522*J522</f>
        <v>0.65632000000000001</v>
      </c>
    </row>
    <row r="523" spans="2:11">
      <c r="K523" s="6">
        <f>SUM(K521:K522)</f>
        <v>2.50848</v>
      </c>
    </row>
    <row r="524" spans="2:11">
      <c r="C524" s="7" t="s">
        <v>294</v>
      </c>
    </row>
    <row r="525" spans="2:11">
      <c r="C525" t="s">
        <v>438</v>
      </c>
      <c r="G525" s="8" t="s">
        <v>439</v>
      </c>
      <c r="H525" s="9"/>
      <c r="I525" s="10">
        <v>0.24</v>
      </c>
      <c r="J525">
        <v>14.83</v>
      </c>
      <c r="K525" s="12">
        <f>I525*J525</f>
        <v>3.5591999999999997</v>
      </c>
    </row>
    <row r="526" spans="2:11">
      <c r="G526" s="8"/>
      <c r="I526" s="10"/>
      <c r="J526" s="12"/>
      <c r="K526" s="6">
        <f>SUM(K525)</f>
        <v>3.5591999999999997</v>
      </c>
    </row>
    <row r="527" spans="2:11">
      <c r="C527" s="7" t="s">
        <v>309</v>
      </c>
    </row>
    <row r="528" spans="2:11">
      <c r="C528" t="s">
        <v>310</v>
      </c>
      <c r="G528" s="8" t="s">
        <v>311</v>
      </c>
      <c r="I528" s="10">
        <v>5</v>
      </c>
      <c r="J528" s="12">
        <f>K523</f>
        <v>2.50848</v>
      </c>
      <c r="K528" s="12">
        <f>I528%*J528</f>
        <v>0.12542400000000001</v>
      </c>
    </row>
    <row r="529" spans="2:11">
      <c r="C529" t="s">
        <v>440</v>
      </c>
      <c r="G529" s="8" t="s">
        <v>337</v>
      </c>
      <c r="H529" s="9">
        <v>2</v>
      </c>
      <c r="I529" s="10">
        <f>H529*8/$E$518</f>
        <v>6.4000000000000001E-2</v>
      </c>
      <c r="J529" s="12">
        <v>118.64</v>
      </c>
      <c r="K529" s="12">
        <f>I529*J529</f>
        <v>7.5929600000000006</v>
      </c>
    </row>
    <row r="530" spans="2:11">
      <c r="B530" s="14"/>
      <c r="C530" s="14"/>
      <c r="D530" s="14"/>
      <c r="E530" s="14"/>
      <c r="F530" s="14"/>
      <c r="G530" s="14"/>
      <c r="H530" s="14"/>
      <c r="I530" s="14"/>
      <c r="J530" s="14"/>
      <c r="K530" s="16">
        <f>SUM(K528:K529)</f>
        <v>7.7183840000000004</v>
      </c>
    </row>
    <row r="532" spans="2:11">
      <c r="B532" s="2" t="s">
        <v>277</v>
      </c>
      <c r="C532" s="2" t="str">
        <f>PROVISIONALES!A57</f>
        <v>1.4.4.3.1</v>
      </c>
      <c r="D532" s="2" t="s">
        <v>238</v>
      </c>
      <c r="E532" s="2"/>
      <c r="F532" s="2"/>
      <c r="G532" s="2"/>
      <c r="H532" s="2"/>
      <c r="I532" s="2"/>
      <c r="J532" s="2"/>
    </row>
    <row r="533" spans="2:11">
      <c r="B533" s="2" t="s">
        <v>278</v>
      </c>
      <c r="C533" s="2" t="s">
        <v>332</v>
      </c>
      <c r="D533" s="4" t="s">
        <v>280</v>
      </c>
      <c r="E533" s="5">
        <v>1</v>
      </c>
      <c r="F533" s="4" t="s">
        <v>281</v>
      </c>
      <c r="G533" s="5">
        <f>E533</f>
        <v>1</v>
      </c>
      <c r="H533" s="2" t="s">
        <v>282</v>
      </c>
      <c r="J533" s="4" t="s">
        <v>157</v>
      </c>
      <c r="K533" s="6">
        <f>K538++K541+K544</f>
        <v>68.271000000000001</v>
      </c>
    </row>
    <row r="534" spans="2:11">
      <c r="B534" s="2" t="s">
        <v>283</v>
      </c>
      <c r="C534" s="2" t="s">
        <v>284</v>
      </c>
      <c r="G534" s="4" t="s">
        <v>122</v>
      </c>
      <c r="H534" s="4" t="s">
        <v>285</v>
      </c>
      <c r="I534" s="4" t="s">
        <v>286</v>
      </c>
      <c r="J534" s="4" t="s">
        <v>287</v>
      </c>
      <c r="K534" s="4" t="s">
        <v>288</v>
      </c>
    </row>
    <row r="535" spans="2:11">
      <c r="C535" s="7" t="s">
        <v>289</v>
      </c>
    </row>
    <row r="536" spans="2:11">
      <c r="G536" s="8"/>
      <c r="H536" s="9"/>
      <c r="I536" s="10"/>
      <c r="J536" s="12"/>
      <c r="K536" s="12"/>
    </row>
    <row r="537" spans="2:11">
      <c r="C537" t="s">
        <v>293</v>
      </c>
      <c r="G537" s="8" t="s">
        <v>291</v>
      </c>
      <c r="H537" s="9">
        <v>0.25</v>
      </c>
      <c r="I537" s="10">
        <f>H537*8/$E$533</f>
        <v>2</v>
      </c>
      <c r="J537" s="12">
        <v>20.51</v>
      </c>
      <c r="K537" s="12">
        <f>I537*J537</f>
        <v>41.02</v>
      </c>
    </row>
    <row r="538" spans="2:11">
      <c r="K538" s="6">
        <f>SUM(K537)</f>
        <v>41.02</v>
      </c>
    </row>
    <row r="539" spans="2:11">
      <c r="C539" s="7" t="s">
        <v>294</v>
      </c>
    </row>
    <row r="540" spans="2:11">
      <c r="C540" t="s">
        <v>441</v>
      </c>
      <c r="G540" s="8" t="s">
        <v>149</v>
      </c>
      <c r="H540" s="9"/>
      <c r="I540" s="10">
        <v>10</v>
      </c>
      <c r="J540">
        <v>2.52</v>
      </c>
      <c r="K540" s="12">
        <f>I540*J540</f>
        <v>25.2</v>
      </c>
    </row>
    <row r="541" spans="2:11">
      <c r="G541" s="8"/>
      <c r="I541" s="10"/>
      <c r="J541" s="12"/>
      <c r="K541" s="6">
        <f>SUM(K540)</f>
        <v>25.2</v>
      </c>
    </row>
    <row r="542" spans="2:11">
      <c r="C542" s="7" t="s">
        <v>309</v>
      </c>
    </row>
    <row r="543" spans="2:11">
      <c r="C543" t="s">
        <v>310</v>
      </c>
      <c r="G543" s="8" t="s">
        <v>311</v>
      </c>
      <c r="I543" s="10">
        <v>5</v>
      </c>
      <c r="J543" s="12">
        <f>K538</f>
        <v>41.02</v>
      </c>
      <c r="K543" s="12">
        <f>I543%*J543</f>
        <v>2.0510000000000002</v>
      </c>
    </row>
    <row r="544" spans="2:11">
      <c r="B544" s="14"/>
      <c r="C544" s="14"/>
      <c r="D544" s="14"/>
      <c r="E544" s="14"/>
      <c r="F544" s="14"/>
      <c r="G544" s="14"/>
      <c r="H544" s="14"/>
      <c r="I544" s="14"/>
      <c r="J544" s="14"/>
      <c r="K544" s="16">
        <f>SUM(K543)</f>
        <v>2.0510000000000002</v>
      </c>
    </row>
    <row r="546" spans="2:11">
      <c r="B546" s="2" t="s">
        <v>277</v>
      </c>
      <c r="C546" s="2" t="str">
        <f>PROVISIONALES!A58</f>
        <v>1.4.4.3.2</v>
      </c>
      <c r="D546" s="2" t="s">
        <v>240</v>
      </c>
      <c r="E546" s="2"/>
      <c r="F546" s="2"/>
      <c r="G546" s="2"/>
      <c r="H546" s="2"/>
      <c r="I546" s="2"/>
      <c r="J546" s="2"/>
    </row>
    <row r="547" spans="2:11">
      <c r="B547" s="2" t="s">
        <v>278</v>
      </c>
      <c r="C547" s="2" t="s">
        <v>416</v>
      </c>
      <c r="D547" s="4" t="s">
        <v>280</v>
      </c>
      <c r="E547" s="5">
        <v>250</v>
      </c>
      <c r="F547" s="4" t="s">
        <v>281</v>
      </c>
      <c r="G547" s="5">
        <f>E547</f>
        <v>250</v>
      </c>
      <c r="H547" s="2" t="s">
        <v>282</v>
      </c>
      <c r="J547" s="4" t="s">
        <v>203</v>
      </c>
      <c r="K547" s="6">
        <f>K552++K555+K559</f>
        <v>13.786064</v>
      </c>
    </row>
    <row r="548" spans="2:11">
      <c r="B548" s="2" t="s">
        <v>283</v>
      </c>
      <c r="C548" s="2" t="s">
        <v>284</v>
      </c>
      <c r="G548" s="4" t="s">
        <v>122</v>
      </c>
      <c r="H548" s="4" t="s">
        <v>285</v>
      </c>
      <c r="I548" s="4" t="s">
        <v>286</v>
      </c>
      <c r="J548" s="4" t="s">
        <v>287</v>
      </c>
      <c r="K548" s="4" t="s">
        <v>288</v>
      </c>
    </row>
    <row r="549" spans="2:11">
      <c r="C549" s="7" t="s">
        <v>289</v>
      </c>
    </row>
    <row r="550" spans="2:11">
      <c r="C550" t="s">
        <v>437</v>
      </c>
      <c r="G550" s="8" t="s">
        <v>291</v>
      </c>
      <c r="H550" s="9">
        <v>2</v>
      </c>
      <c r="I550" s="10">
        <f>H550*8/$E$547</f>
        <v>6.4000000000000001E-2</v>
      </c>
      <c r="J550" s="12">
        <v>28.94</v>
      </c>
      <c r="K550" s="12">
        <f>I550*J550</f>
        <v>1.85216</v>
      </c>
    </row>
    <row r="551" spans="2:11">
      <c r="C551" t="s">
        <v>293</v>
      </c>
      <c r="G551" s="8" t="s">
        <v>291</v>
      </c>
      <c r="H551" s="9">
        <v>1</v>
      </c>
      <c r="I551" s="10">
        <f>H551*8/$E$547</f>
        <v>3.2000000000000001E-2</v>
      </c>
      <c r="J551" s="12">
        <v>20.51</v>
      </c>
      <c r="K551" s="12">
        <f>I551*J551</f>
        <v>0.65632000000000001</v>
      </c>
    </row>
    <row r="552" spans="2:11">
      <c r="K552" s="6">
        <f>SUM(K550:K551)</f>
        <v>2.50848</v>
      </c>
    </row>
    <row r="553" spans="2:11">
      <c r="C553" s="7" t="s">
        <v>294</v>
      </c>
    </row>
    <row r="554" spans="2:11">
      <c r="C554" t="s">
        <v>438</v>
      </c>
      <c r="G554" s="8" t="s">
        <v>439</v>
      </c>
      <c r="H554" s="9"/>
      <c r="I554" s="10">
        <v>0.24</v>
      </c>
      <c r="J554">
        <v>14.83</v>
      </c>
      <c r="K554" s="12">
        <f>I554*J554</f>
        <v>3.5591999999999997</v>
      </c>
    </row>
    <row r="555" spans="2:11">
      <c r="G555" s="8"/>
      <c r="I555" s="10"/>
      <c r="J555" s="12"/>
      <c r="K555" s="6">
        <f>SUM(K554)</f>
        <v>3.5591999999999997</v>
      </c>
    </row>
    <row r="556" spans="2:11">
      <c r="C556" s="7" t="s">
        <v>309</v>
      </c>
    </row>
    <row r="557" spans="2:11">
      <c r="C557" t="s">
        <v>310</v>
      </c>
      <c r="G557" s="8" t="s">
        <v>311</v>
      </c>
      <c r="I557" s="10">
        <v>5</v>
      </c>
      <c r="J557" s="12">
        <f>K552</f>
        <v>2.50848</v>
      </c>
      <c r="K557" s="12">
        <f>I557%*J557</f>
        <v>0.12542400000000001</v>
      </c>
    </row>
    <row r="558" spans="2:11">
      <c r="C558" t="s">
        <v>440</v>
      </c>
      <c r="G558" s="8" t="s">
        <v>337</v>
      </c>
      <c r="H558" s="9">
        <v>2</v>
      </c>
      <c r="I558" s="10">
        <f>H558*8/$E$547</f>
        <v>6.4000000000000001E-2</v>
      </c>
      <c r="J558" s="12">
        <v>118.64</v>
      </c>
      <c r="K558" s="12">
        <f>I558*J558</f>
        <v>7.5929600000000006</v>
      </c>
    </row>
    <row r="559" spans="2:11">
      <c r="B559" s="14"/>
      <c r="C559" s="14"/>
      <c r="D559" s="14"/>
      <c r="E559" s="14"/>
      <c r="F559" s="14"/>
      <c r="G559" s="14"/>
      <c r="H559" s="14"/>
      <c r="I559" s="14"/>
      <c r="J559" s="14"/>
      <c r="K559" s="16">
        <f>SUM(K557:K558)</f>
        <v>7.7183840000000004</v>
      </c>
    </row>
    <row r="561" spans="2:11">
      <c r="B561" s="2" t="s">
        <v>277</v>
      </c>
      <c r="C561" s="2" t="str">
        <f>PROVISIONALES!A60</f>
        <v>1.4.5.1</v>
      </c>
      <c r="D561" s="2" t="s">
        <v>244</v>
      </c>
      <c r="E561" s="2"/>
      <c r="F561" s="2"/>
      <c r="G561" s="2"/>
      <c r="H561" s="2"/>
      <c r="I561" s="2"/>
      <c r="J561" s="2"/>
    </row>
    <row r="562" spans="2:11">
      <c r="B562" s="2" t="s">
        <v>278</v>
      </c>
      <c r="C562" s="2" t="s">
        <v>325</v>
      </c>
      <c r="D562" s="4" t="s">
        <v>280</v>
      </c>
      <c r="E562" s="5">
        <v>5</v>
      </c>
      <c r="F562" s="4" t="s">
        <v>281</v>
      </c>
      <c r="G562" s="5">
        <f>E562</f>
        <v>5</v>
      </c>
      <c r="H562" s="2" t="s">
        <v>282</v>
      </c>
      <c r="J562" s="4" t="s">
        <v>149</v>
      </c>
      <c r="K562" s="6">
        <f>K566++K572+K575</f>
        <v>402.0068</v>
      </c>
    </row>
    <row r="563" spans="2:11">
      <c r="B563" s="2" t="s">
        <v>283</v>
      </c>
      <c r="C563" s="2" t="s">
        <v>284</v>
      </c>
      <c r="G563" s="4" t="s">
        <v>122</v>
      </c>
      <c r="H563" s="4" t="s">
        <v>285</v>
      </c>
      <c r="I563" s="4" t="s">
        <v>286</v>
      </c>
      <c r="J563" s="4" t="s">
        <v>287</v>
      </c>
      <c r="K563" s="4" t="s">
        <v>288</v>
      </c>
    </row>
    <row r="564" spans="2:11">
      <c r="C564" s="7" t="s">
        <v>289</v>
      </c>
    </row>
    <row r="565" spans="2:11">
      <c r="C565" t="s">
        <v>293</v>
      </c>
      <c r="G565" s="8" t="s">
        <v>291</v>
      </c>
      <c r="H565" s="9">
        <v>1</v>
      </c>
      <c r="I565" s="10">
        <f>H565*8/$E$562</f>
        <v>1.6</v>
      </c>
      <c r="J565" s="12">
        <v>20.51</v>
      </c>
      <c r="K565" s="12">
        <f>I565*J565</f>
        <v>32.816000000000003</v>
      </c>
    </row>
    <row r="566" spans="2:11">
      <c r="K566" s="6">
        <f>SUM(K565:K565)</f>
        <v>32.816000000000003</v>
      </c>
    </row>
    <row r="567" spans="2:11">
      <c r="C567" s="7" t="s">
        <v>294</v>
      </c>
    </row>
    <row r="568" spans="2:11">
      <c r="C568" t="s">
        <v>442</v>
      </c>
      <c r="G568" s="8" t="s">
        <v>419</v>
      </c>
      <c r="I568" s="10">
        <v>2</v>
      </c>
      <c r="J568" s="12">
        <v>8.2200000000000006</v>
      </c>
      <c r="K568" s="12">
        <f>I568*J568</f>
        <v>16.440000000000001</v>
      </c>
    </row>
    <row r="569" spans="2:11">
      <c r="C569" t="s">
        <v>443</v>
      </c>
      <c r="G569" s="8" t="s">
        <v>149</v>
      </c>
      <c r="H569" s="9"/>
      <c r="I569" s="10">
        <v>1</v>
      </c>
      <c r="J569" s="12">
        <v>216.34</v>
      </c>
      <c r="K569" s="12">
        <f>I569*J569</f>
        <v>216.34</v>
      </c>
    </row>
    <row r="570" spans="2:11">
      <c r="C570" t="s">
        <v>444</v>
      </c>
      <c r="G570" s="8" t="s">
        <v>149</v>
      </c>
      <c r="I570" s="10">
        <v>25</v>
      </c>
      <c r="J570" s="12">
        <v>1.8</v>
      </c>
      <c r="K570" s="12">
        <f>I570*J570</f>
        <v>45</v>
      </c>
    </row>
    <row r="571" spans="2:11">
      <c r="C571" t="s">
        <v>445</v>
      </c>
      <c r="G571" s="8" t="s">
        <v>372</v>
      </c>
      <c r="I571" s="10">
        <v>0.5</v>
      </c>
      <c r="J571" s="12">
        <v>179.54</v>
      </c>
      <c r="K571" s="12">
        <f>I571*J571</f>
        <v>89.77</v>
      </c>
    </row>
    <row r="572" spans="2:11">
      <c r="G572" s="8"/>
      <c r="I572" s="10"/>
      <c r="J572" s="12"/>
      <c r="K572" s="6">
        <f>SUM(K568:K571)</f>
        <v>367.54999999999995</v>
      </c>
    </row>
    <row r="573" spans="2:11">
      <c r="C573" s="7" t="s">
        <v>309</v>
      </c>
    </row>
    <row r="574" spans="2:11">
      <c r="C574" t="s">
        <v>310</v>
      </c>
      <c r="G574" s="8" t="s">
        <v>311</v>
      </c>
      <c r="I574" s="10">
        <v>5</v>
      </c>
      <c r="J574" s="12">
        <f>K566</f>
        <v>32.816000000000003</v>
      </c>
      <c r="K574" s="12">
        <f>I574%*J574</f>
        <v>1.6408000000000003</v>
      </c>
    </row>
    <row r="575" spans="2:11">
      <c r="B575" s="14"/>
      <c r="C575" s="14"/>
      <c r="D575" s="14"/>
      <c r="E575" s="14"/>
      <c r="F575" s="14"/>
      <c r="G575" s="14"/>
      <c r="H575" s="14"/>
      <c r="I575" s="14"/>
      <c r="J575" s="14"/>
      <c r="K575" s="16">
        <f>SUM(K574:K574)</f>
        <v>1.6408000000000003</v>
      </c>
    </row>
    <row r="577" spans="2:11">
      <c r="B577" s="2" t="s">
        <v>277</v>
      </c>
      <c r="C577" s="2" t="str">
        <f>PROVISIONALES!A62</f>
        <v>1.4.6.1</v>
      </c>
      <c r="D577" s="2" t="s">
        <v>248</v>
      </c>
      <c r="E577" s="2"/>
      <c r="F577" s="2"/>
      <c r="G577" s="2"/>
      <c r="H577" s="2"/>
      <c r="I577" s="2"/>
      <c r="J577" s="2"/>
    </row>
    <row r="578" spans="2:11">
      <c r="B578" s="2" t="s">
        <v>278</v>
      </c>
      <c r="C578" s="2" t="s">
        <v>279</v>
      </c>
      <c r="D578" s="4" t="s">
        <v>280</v>
      </c>
      <c r="E578" s="5">
        <v>150</v>
      </c>
      <c r="F578" s="4" t="s">
        <v>281</v>
      </c>
      <c r="G578" s="5">
        <f>E578</f>
        <v>150</v>
      </c>
      <c r="H578" s="2" t="s">
        <v>282</v>
      </c>
      <c r="J578" s="4" t="s">
        <v>133</v>
      </c>
      <c r="K578" s="6">
        <f>K583+K587</f>
        <v>6.9493066666666667</v>
      </c>
    </row>
    <row r="579" spans="2:11">
      <c r="B579" s="2" t="s">
        <v>283</v>
      </c>
      <c r="C579" s="2" t="s">
        <v>284</v>
      </c>
      <c r="G579" s="4" t="s">
        <v>122</v>
      </c>
      <c r="H579" s="4" t="s">
        <v>285</v>
      </c>
      <c r="I579" s="4" t="s">
        <v>286</v>
      </c>
      <c r="J579" s="4" t="s">
        <v>287</v>
      </c>
      <c r="K579" s="4" t="s">
        <v>288</v>
      </c>
    </row>
    <row r="580" spans="2:11">
      <c r="C580" s="7" t="s">
        <v>289</v>
      </c>
    </row>
    <row r="581" spans="2:11">
      <c r="C581" t="s">
        <v>437</v>
      </c>
      <c r="G581" s="8" t="s">
        <v>291</v>
      </c>
      <c r="H581" s="9">
        <v>0.5</v>
      </c>
      <c r="I581" s="10">
        <f>H581*8/$E$578</f>
        <v>2.6666666666666668E-2</v>
      </c>
      <c r="J581" s="12">
        <v>28.94</v>
      </c>
      <c r="K581" s="12">
        <f>I581*J581</f>
        <v>0.77173333333333338</v>
      </c>
    </row>
    <row r="582" spans="2:11">
      <c r="C582" t="s">
        <v>293</v>
      </c>
      <c r="G582" s="8" t="s">
        <v>291</v>
      </c>
      <c r="H582" s="9">
        <v>2</v>
      </c>
      <c r="I582" s="10">
        <f>H582*8/$E$578</f>
        <v>0.10666666666666667</v>
      </c>
      <c r="J582" s="12">
        <v>20.51</v>
      </c>
      <c r="K582" s="12">
        <f>I582*J582</f>
        <v>2.1877333333333335</v>
      </c>
    </row>
    <row r="583" spans="2:11">
      <c r="K583" s="6">
        <f>SUM(K581:K582)</f>
        <v>2.9594666666666667</v>
      </c>
    </row>
    <row r="584" spans="2:11">
      <c r="C584" s="7" t="s">
        <v>309</v>
      </c>
    </row>
    <row r="585" spans="2:11">
      <c r="C585" t="s">
        <v>310</v>
      </c>
      <c r="G585" s="8" t="s">
        <v>311</v>
      </c>
      <c r="I585" s="10">
        <v>5</v>
      </c>
      <c r="J585" s="12">
        <f>K583</f>
        <v>2.9594666666666667</v>
      </c>
      <c r="K585" s="12">
        <f>I585%*J585</f>
        <v>0.14797333333333335</v>
      </c>
    </row>
    <row r="586" spans="2:11">
      <c r="C586" t="s">
        <v>446</v>
      </c>
      <c r="G586" s="8" t="s">
        <v>337</v>
      </c>
      <c r="H586" s="9">
        <v>0.5</v>
      </c>
      <c r="I586" s="10">
        <f>H586*8/$E$578</f>
        <v>2.6666666666666668E-2</v>
      </c>
      <c r="J586" s="12">
        <v>144.07</v>
      </c>
      <c r="K586" s="12">
        <f>I586*J586</f>
        <v>3.8418666666666668</v>
      </c>
    </row>
    <row r="587" spans="2:11">
      <c r="B587" s="14"/>
      <c r="C587" s="14"/>
      <c r="D587" s="14"/>
      <c r="E587" s="14"/>
      <c r="F587" s="14"/>
      <c r="G587" s="14"/>
      <c r="H587" s="14"/>
      <c r="I587" s="14"/>
      <c r="J587" s="14"/>
      <c r="K587" s="16">
        <f>SUM(K585:K586)</f>
        <v>3.9898400000000001</v>
      </c>
    </row>
    <row r="589" spans="2:11">
      <c r="B589" s="2" t="s">
        <v>277</v>
      </c>
      <c r="C589" s="2" t="str">
        <f>PROVISIONALES!A63</f>
        <v>1.4.6.2</v>
      </c>
      <c r="D589" s="2" t="s">
        <v>250</v>
      </c>
      <c r="E589" s="2"/>
      <c r="F589" s="2"/>
      <c r="G589" s="2"/>
      <c r="H589" s="2"/>
      <c r="I589" s="2"/>
      <c r="J589" s="2"/>
    </row>
    <row r="590" spans="2:11">
      <c r="B590" s="2" t="s">
        <v>278</v>
      </c>
      <c r="C590" s="2" t="s">
        <v>416</v>
      </c>
      <c r="D590" s="4" t="s">
        <v>280</v>
      </c>
      <c r="E590" s="5">
        <v>250</v>
      </c>
      <c r="F590" s="4" t="s">
        <v>281</v>
      </c>
      <c r="G590" s="5">
        <f>E590</f>
        <v>250</v>
      </c>
      <c r="H590" s="2" t="s">
        <v>282</v>
      </c>
      <c r="J590" s="4" t="s">
        <v>203</v>
      </c>
      <c r="K590" s="6">
        <f>K595++K598+K603</f>
        <v>24.086838</v>
      </c>
    </row>
    <row r="591" spans="2:11">
      <c r="B591" s="2" t="s">
        <v>283</v>
      </c>
      <c r="C591" s="2" t="s">
        <v>284</v>
      </c>
      <c r="G591" s="4" t="s">
        <v>122</v>
      </c>
      <c r="H591" s="4" t="s">
        <v>285</v>
      </c>
      <c r="I591" s="4" t="s">
        <v>286</v>
      </c>
      <c r="J591" s="4" t="s">
        <v>287</v>
      </c>
      <c r="K591" s="4" t="s">
        <v>288</v>
      </c>
    </row>
    <row r="592" spans="2:11">
      <c r="C592" s="7" t="s">
        <v>289</v>
      </c>
    </row>
    <row r="593" spans="2:11">
      <c r="C593" t="s">
        <v>437</v>
      </c>
      <c r="G593" s="8" t="s">
        <v>291</v>
      </c>
      <c r="H593" s="9">
        <v>3</v>
      </c>
      <c r="I593" s="10">
        <f>H593*8/$E$590</f>
        <v>9.6000000000000002E-2</v>
      </c>
      <c r="J593" s="12">
        <v>28.94</v>
      </c>
      <c r="K593" s="12">
        <f>I593*J593</f>
        <v>2.7782400000000003</v>
      </c>
    </row>
    <row r="594" spans="2:11">
      <c r="C594" t="s">
        <v>293</v>
      </c>
      <c r="G594" s="8" t="s">
        <v>291</v>
      </c>
      <c r="H594" s="9">
        <v>1</v>
      </c>
      <c r="I594" s="10">
        <f>H594*8/$E$590</f>
        <v>3.2000000000000001E-2</v>
      </c>
      <c r="J594" s="12">
        <v>20.51</v>
      </c>
      <c r="K594" s="12">
        <f>I594*J594</f>
        <v>0.65632000000000001</v>
      </c>
    </row>
    <row r="595" spans="2:11">
      <c r="K595" s="6">
        <f>SUM(K593:K594)</f>
        <v>3.4345600000000003</v>
      </c>
    </row>
    <row r="596" spans="2:11">
      <c r="C596" s="7" t="s">
        <v>294</v>
      </c>
    </row>
    <row r="597" spans="2:11">
      <c r="C597" t="s">
        <v>438</v>
      </c>
      <c r="G597" s="8" t="s">
        <v>439</v>
      </c>
      <c r="H597" s="9"/>
      <c r="I597" s="10">
        <v>0.35699999999999998</v>
      </c>
      <c r="J597">
        <v>14.83</v>
      </c>
      <c r="K597" s="12">
        <f>I597*J597</f>
        <v>5.2943099999999994</v>
      </c>
    </row>
    <row r="598" spans="2:11">
      <c r="G598" s="8"/>
      <c r="I598" s="10"/>
      <c r="J598" s="12"/>
      <c r="K598" s="6">
        <f>SUM(K597)</f>
        <v>5.2943099999999994</v>
      </c>
    </row>
    <row r="599" spans="2:11">
      <c r="C599" s="7" t="s">
        <v>309</v>
      </c>
    </row>
    <row r="600" spans="2:11">
      <c r="C600" t="s">
        <v>310</v>
      </c>
      <c r="G600" s="8" t="s">
        <v>311</v>
      </c>
      <c r="I600" s="10">
        <v>5</v>
      </c>
      <c r="J600" s="12">
        <f>K595</f>
        <v>3.4345600000000003</v>
      </c>
      <c r="K600" s="12">
        <f>I600%*J600</f>
        <v>0.17172800000000002</v>
      </c>
    </row>
    <row r="601" spans="2:11">
      <c r="C601" t="s">
        <v>440</v>
      </c>
      <c r="G601" s="8" t="s">
        <v>337</v>
      </c>
      <c r="H601" s="9">
        <v>2</v>
      </c>
      <c r="I601" s="10">
        <f>H601*8/$E$590</f>
        <v>6.4000000000000001E-2</v>
      </c>
      <c r="J601" s="12">
        <v>118.64</v>
      </c>
      <c r="K601" s="12">
        <f>I601*J601</f>
        <v>7.5929600000000006</v>
      </c>
    </row>
    <row r="602" spans="2:11">
      <c r="C602" t="s">
        <v>447</v>
      </c>
      <c r="G602" s="8" t="s">
        <v>337</v>
      </c>
      <c r="H602" s="9">
        <v>1</v>
      </c>
      <c r="I602" s="10">
        <f>H602*8/$E$590</f>
        <v>3.2000000000000001E-2</v>
      </c>
      <c r="J602" s="12">
        <v>237.29</v>
      </c>
      <c r="K602" s="12">
        <f>I602*J602</f>
        <v>7.59328</v>
      </c>
    </row>
    <row r="603" spans="2:11">
      <c r="B603" s="14"/>
      <c r="C603" s="14"/>
      <c r="D603" s="14"/>
      <c r="E603" s="14"/>
      <c r="F603" s="14"/>
      <c r="G603" s="14"/>
      <c r="H603" s="14"/>
      <c r="I603" s="14"/>
      <c r="J603" s="14"/>
      <c r="K603" s="16">
        <f>SUM(K600:K602)</f>
        <v>15.357968</v>
      </c>
    </row>
    <row r="605" spans="2:11">
      <c r="B605" s="2" t="s">
        <v>277</v>
      </c>
      <c r="C605" s="2" t="str">
        <f>PROVISIONALES!A64</f>
        <v>1.4.6.3</v>
      </c>
      <c r="D605" s="2" t="s">
        <v>252</v>
      </c>
      <c r="E605" s="2"/>
      <c r="F605" s="2"/>
      <c r="G605" s="2"/>
      <c r="H605" s="2"/>
      <c r="I605" s="2"/>
      <c r="J605" s="2"/>
    </row>
    <row r="606" spans="2:11">
      <c r="B606" s="2" t="s">
        <v>278</v>
      </c>
      <c r="C606" s="2" t="s">
        <v>279</v>
      </c>
      <c r="D606" s="4" t="s">
        <v>280</v>
      </c>
      <c r="E606" s="5">
        <v>50</v>
      </c>
      <c r="F606" s="4" t="s">
        <v>281</v>
      </c>
      <c r="G606" s="5">
        <f>E606</f>
        <v>50</v>
      </c>
      <c r="H606" s="2" t="s">
        <v>282</v>
      </c>
      <c r="J606" s="4" t="s">
        <v>133</v>
      </c>
      <c r="K606" s="6">
        <f>K610+K614+K617</f>
        <v>7.6913600000000013</v>
      </c>
    </row>
    <row r="607" spans="2:11">
      <c r="B607" s="2" t="s">
        <v>283</v>
      </c>
      <c r="C607" s="2" t="s">
        <v>284</v>
      </c>
      <c r="G607" s="4" t="s">
        <v>122</v>
      </c>
      <c r="H607" s="4" t="s">
        <v>285</v>
      </c>
      <c r="I607" s="4" t="s">
        <v>286</v>
      </c>
      <c r="J607" s="4" t="s">
        <v>287</v>
      </c>
      <c r="K607" s="4" t="s">
        <v>288</v>
      </c>
    </row>
    <row r="608" spans="2:11">
      <c r="C608" s="7" t="s">
        <v>289</v>
      </c>
    </row>
    <row r="609" spans="2:11">
      <c r="C609" t="s">
        <v>293</v>
      </c>
      <c r="G609" s="8" t="s">
        <v>291</v>
      </c>
      <c r="H609" s="9">
        <v>2</v>
      </c>
      <c r="I609" s="10">
        <f>H609*8/$E$606</f>
        <v>0.32</v>
      </c>
      <c r="J609" s="12">
        <v>20.51</v>
      </c>
      <c r="K609" s="12">
        <f>I609*J609</f>
        <v>6.563200000000001</v>
      </c>
    </row>
    <row r="610" spans="2:11">
      <c r="K610" s="6">
        <f>SUM(K609:K609)</f>
        <v>6.563200000000001</v>
      </c>
    </row>
    <row r="611" spans="2:11">
      <c r="C611" s="7" t="s">
        <v>294</v>
      </c>
    </row>
    <row r="612" spans="2:11">
      <c r="C612" t="s">
        <v>448</v>
      </c>
      <c r="G612" s="8" t="s">
        <v>296</v>
      </c>
      <c r="I612" s="10">
        <v>0.5</v>
      </c>
      <c r="J612">
        <v>0.38</v>
      </c>
      <c r="K612" s="12">
        <f>I612*J612</f>
        <v>0.19</v>
      </c>
    </row>
    <row r="613" spans="2:11">
      <c r="C613" t="s">
        <v>449</v>
      </c>
      <c r="G613" s="8" t="s">
        <v>296</v>
      </c>
      <c r="H613" s="9"/>
      <c r="I613" s="10">
        <v>0.5</v>
      </c>
      <c r="J613">
        <v>1.22</v>
      </c>
      <c r="K613" s="12">
        <f>I613*J613</f>
        <v>0.61</v>
      </c>
    </row>
    <row r="614" spans="2:11">
      <c r="G614" s="8"/>
      <c r="I614" s="10"/>
      <c r="J614" s="12"/>
      <c r="K614" s="6">
        <f>SUM(K612:K613)</f>
        <v>0.8</v>
      </c>
    </row>
    <row r="615" spans="2:11">
      <c r="C615" s="7" t="s">
        <v>309</v>
      </c>
    </row>
    <row r="616" spans="2:11">
      <c r="C616" t="s">
        <v>310</v>
      </c>
      <c r="G616" s="8" t="s">
        <v>311</v>
      </c>
      <c r="I616" s="10">
        <v>5</v>
      </c>
      <c r="J616" s="12">
        <f>K610</f>
        <v>6.563200000000001</v>
      </c>
      <c r="K616" s="12">
        <f>I616%*J616</f>
        <v>0.32816000000000006</v>
      </c>
    </row>
    <row r="617" spans="2:11">
      <c r="B617" s="14"/>
      <c r="C617" s="14"/>
      <c r="D617" s="14"/>
      <c r="E617" s="14"/>
      <c r="F617" s="14"/>
      <c r="G617" s="14"/>
      <c r="H617" s="14"/>
      <c r="I617" s="14"/>
      <c r="J617" s="14"/>
      <c r="K617" s="16">
        <f>SUM(K616)</f>
        <v>0.32816000000000006</v>
      </c>
    </row>
    <row r="618" spans="2:11">
      <c r="G618" s="8"/>
      <c r="H618" s="9"/>
      <c r="I618" s="10"/>
      <c r="J618" s="12"/>
      <c r="K618" s="12"/>
    </row>
    <row r="619" spans="2:11">
      <c r="B619" s="2" t="s">
        <v>277</v>
      </c>
      <c r="C619" s="2" t="str">
        <f>PROVISIONALES!A65</f>
        <v>1.4.6.4</v>
      </c>
      <c r="D619" s="2" t="s">
        <v>450</v>
      </c>
      <c r="E619" s="2"/>
      <c r="F619" s="2"/>
      <c r="G619" s="2"/>
      <c r="H619" s="2"/>
      <c r="I619" s="2"/>
      <c r="J619" s="2"/>
    </row>
    <row r="620" spans="2:11">
      <c r="B620" s="2" t="s">
        <v>278</v>
      </c>
      <c r="C620" s="2" t="s">
        <v>279</v>
      </c>
      <c r="D620" s="4" t="s">
        <v>280</v>
      </c>
      <c r="E620" s="5">
        <v>100</v>
      </c>
      <c r="F620" s="4" t="s">
        <v>281</v>
      </c>
      <c r="G620" s="5">
        <f>E620</f>
        <v>100</v>
      </c>
      <c r="H620" s="2" t="s">
        <v>282</v>
      </c>
      <c r="J620" s="4" t="s">
        <v>133</v>
      </c>
      <c r="K620" s="6">
        <f>K625+K628+K632</f>
        <v>8.0326400000000007</v>
      </c>
    </row>
    <row r="621" spans="2:11">
      <c r="B621" s="2" t="s">
        <v>283</v>
      </c>
      <c r="C621" s="2" t="s">
        <v>284</v>
      </c>
      <c r="G621" s="4" t="s">
        <v>122</v>
      </c>
      <c r="H621" s="4" t="s">
        <v>285</v>
      </c>
      <c r="I621" s="4" t="s">
        <v>286</v>
      </c>
      <c r="J621" s="4" t="s">
        <v>287</v>
      </c>
      <c r="K621" s="4" t="s">
        <v>288</v>
      </c>
    </row>
    <row r="622" spans="2:11">
      <c r="C622" s="7" t="s">
        <v>289</v>
      </c>
    </row>
    <row r="623" spans="2:11">
      <c r="C623" t="s">
        <v>404</v>
      </c>
      <c r="G623" s="8" t="s">
        <v>291</v>
      </c>
      <c r="H623" s="9">
        <v>1</v>
      </c>
      <c r="I623" s="10">
        <f>H623*8/$E$620</f>
        <v>0.08</v>
      </c>
      <c r="J623" s="12">
        <v>28.94</v>
      </c>
      <c r="K623" s="12">
        <f>I623*J623</f>
        <v>2.3152000000000004</v>
      </c>
    </row>
    <row r="624" spans="2:11">
      <c r="C624" t="s">
        <v>293</v>
      </c>
      <c r="G624" s="8" t="s">
        <v>291</v>
      </c>
      <c r="H624" s="9">
        <v>2</v>
      </c>
      <c r="I624" s="10">
        <f>H624*8/$E$620</f>
        <v>0.16</v>
      </c>
      <c r="J624" s="12">
        <v>20.51</v>
      </c>
      <c r="K624" s="12">
        <f>I624*J624</f>
        <v>3.2816000000000005</v>
      </c>
    </row>
    <row r="625" spans="2:11">
      <c r="K625" s="6">
        <f>SUM(K623:K624)</f>
        <v>5.5968000000000009</v>
      </c>
    </row>
    <row r="626" spans="2:11">
      <c r="C626" s="7" t="s">
        <v>294</v>
      </c>
    </row>
    <row r="627" spans="2:11">
      <c r="C627" t="s">
        <v>451</v>
      </c>
      <c r="G627" s="8" t="s">
        <v>439</v>
      </c>
      <c r="I627" s="10">
        <v>0.08</v>
      </c>
      <c r="J627">
        <v>14.24</v>
      </c>
      <c r="K627" s="12">
        <f>I627*J627</f>
        <v>1.1392</v>
      </c>
    </row>
    <row r="628" spans="2:11">
      <c r="G628" s="8"/>
      <c r="I628" s="10"/>
      <c r="J628" s="12"/>
      <c r="K628" s="6">
        <f>SUM(K627:K627)</f>
        <v>1.1392</v>
      </c>
    </row>
    <row r="629" spans="2:11">
      <c r="C629" s="7" t="s">
        <v>309</v>
      </c>
    </row>
    <row r="630" spans="2:11">
      <c r="C630" t="s">
        <v>310</v>
      </c>
      <c r="G630" s="8" t="s">
        <v>311</v>
      </c>
      <c r="I630" s="10">
        <v>5</v>
      </c>
      <c r="J630" s="12">
        <f>K625</f>
        <v>5.5968000000000009</v>
      </c>
      <c r="K630" s="12">
        <f>I630%*J630</f>
        <v>0.27984000000000003</v>
      </c>
    </row>
    <row r="631" spans="2:11">
      <c r="C631" t="s">
        <v>452</v>
      </c>
      <c r="G631" s="8" t="s">
        <v>337</v>
      </c>
      <c r="H631" s="9">
        <v>1</v>
      </c>
      <c r="I631" s="10">
        <f>H631*8/$E$620</f>
        <v>0.08</v>
      </c>
      <c r="J631" s="12">
        <v>12.71</v>
      </c>
      <c r="K631" s="12">
        <f>I631*J631</f>
        <v>1.0168000000000001</v>
      </c>
    </row>
    <row r="632" spans="2:11">
      <c r="B632" s="14"/>
      <c r="C632" s="14"/>
      <c r="D632" s="14"/>
      <c r="E632" s="14"/>
      <c r="F632" s="14"/>
      <c r="G632" s="14"/>
      <c r="H632" s="14"/>
      <c r="I632" s="14"/>
      <c r="J632" s="14"/>
      <c r="K632" s="16">
        <f>SUM(K630:K631)</f>
        <v>1.2966400000000002</v>
      </c>
    </row>
    <row r="634" spans="2:11">
      <c r="B634" s="2" t="s">
        <v>333</v>
      </c>
      <c r="C634" s="2" t="str">
        <f>PROVISIONALES!A68</f>
        <v>1.5.1.1</v>
      </c>
      <c r="D634" s="2" t="s">
        <v>259</v>
      </c>
      <c r="E634" s="2"/>
      <c r="F634" s="2"/>
      <c r="G634" s="2"/>
      <c r="H634" s="2"/>
      <c r="I634" s="2"/>
      <c r="J634" s="2"/>
    </row>
    <row r="635" spans="2:11">
      <c r="B635" s="2" t="s">
        <v>278</v>
      </c>
      <c r="C635" s="2" t="s">
        <v>279</v>
      </c>
      <c r="D635" s="4" t="s">
        <v>280</v>
      </c>
      <c r="E635" s="5">
        <v>1</v>
      </c>
      <c r="F635" s="4" t="s">
        <v>281</v>
      </c>
      <c r="G635" s="5">
        <f>E635</f>
        <v>1</v>
      </c>
      <c r="H635" s="2" t="s">
        <v>282</v>
      </c>
      <c r="J635" s="4" t="s">
        <v>133</v>
      </c>
      <c r="K635" s="6">
        <f>K639</f>
        <v>16.07</v>
      </c>
    </row>
    <row r="636" spans="2:11">
      <c r="B636" s="2" t="s">
        <v>283</v>
      </c>
      <c r="C636" s="2" t="s">
        <v>284</v>
      </c>
      <c r="G636" s="4" t="s">
        <v>122</v>
      </c>
      <c r="H636" s="4" t="s">
        <v>285</v>
      </c>
      <c r="I636" s="4" t="s">
        <v>286</v>
      </c>
      <c r="J636" s="4" t="s">
        <v>287</v>
      </c>
      <c r="K636" s="4" t="s">
        <v>288</v>
      </c>
    </row>
    <row r="637" spans="2:11">
      <c r="C637" s="7" t="s">
        <v>294</v>
      </c>
    </row>
    <row r="638" spans="2:11">
      <c r="C638" t="s">
        <v>259</v>
      </c>
      <c r="G638" s="8" t="s">
        <v>133</v>
      </c>
      <c r="H638" s="9"/>
      <c r="I638" s="10">
        <v>1</v>
      </c>
      <c r="J638">
        <v>16.07</v>
      </c>
      <c r="K638" s="12">
        <f>I638*J638</f>
        <v>16.07</v>
      </c>
    </row>
    <row r="639" spans="2:11">
      <c r="B639" s="14"/>
      <c r="C639" s="14"/>
      <c r="D639" s="14"/>
      <c r="E639" s="14"/>
      <c r="F639" s="14"/>
      <c r="G639" s="44"/>
      <c r="H639" s="45"/>
      <c r="I639" s="46"/>
      <c r="J639" s="106"/>
      <c r="K639" s="16">
        <f>SUM(K638)</f>
        <v>16.07</v>
      </c>
    </row>
    <row r="641" spans="2:11">
      <c r="B641" s="2" t="s">
        <v>333</v>
      </c>
      <c r="C641" s="2" t="str">
        <f>PROVISIONALES!A69</f>
        <v>1.5.1.2</v>
      </c>
      <c r="D641" s="2" t="s">
        <v>261</v>
      </c>
      <c r="E641" s="2"/>
      <c r="F641" s="2"/>
      <c r="G641" s="2"/>
      <c r="H641" s="2"/>
      <c r="I641" s="2"/>
      <c r="J641" s="2"/>
    </row>
    <row r="642" spans="2:11">
      <c r="B642" s="2" t="s">
        <v>278</v>
      </c>
      <c r="C642" s="2" t="s">
        <v>279</v>
      </c>
      <c r="D642" s="4" t="s">
        <v>280</v>
      </c>
      <c r="E642" s="5">
        <v>1</v>
      </c>
      <c r="F642" s="4" t="s">
        <v>281</v>
      </c>
      <c r="G642" s="5">
        <f>E642</f>
        <v>1</v>
      </c>
      <c r="H642" s="2" t="s">
        <v>282</v>
      </c>
      <c r="J642" s="4" t="s">
        <v>133</v>
      </c>
      <c r="K642" s="6">
        <f>K646</f>
        <v>20.09</v>
      </c>
    </row>
    <row r="643" spans="2:11">
      <c r="B643" s="2" t="s">
        <v>283</v>
      </c>
      <c r="C643" s="2" t="s">
        <v>284</v>
      </c>
      <c r="G643" s="4" t="s">
        <v>122</v>
      </c>
      <c r="H643" s="4" t="s">
        <v>285</v>
      </c>
      <c r="I643" s="4" t="s">
        <v>286</v>
      </c>
      <c r="J643" s="4" t="s">
        <v>287</v>
      </c>
      <c r="K643" s="4" t="s">
        <v>288</v>
      </c>
    </row>
    <row r="644" spans="2:11">
      <c r="C644" s="7" t="s">
        <v>294</v>
      </c>
    </row>
    <row r="645" spans="2:11">
      <c r="C645" t="s">
        <v>261</v>
      </c>
      <c r="G645" s="8" t="s">
        <v>133</v>
      </c>
      <c r="H645" s="9"/>
      <c r="I645" s="10">
        <v>1</v>
      </c>
      <c r="J645">
        <v>20.09</v>
      </c>
      <c r="K645" s="12">
        <f>I645*J645</f>
        <v>20.09</v>
      </c>
    </row>
    <row r="646" spans="2:11">
      <c r="B646" s="14"/>
      <c r="C646" s="14"/>
      <c r="D646" s="14"/>
      <c r="E646" s="14"/>
      <c r="F646" s="14"/>
      <c r="G646" s="44"/>
      <c r="H646" s="45"/>
      <c r="I646" s="46"/>
      <c r="J646" s="106"/>
      <c r="K646" s="16">
        <f>SUM(K645)</f>
        <v>20.09</v>
      </c>
    </row>
    <row r="648" spans="2:11">
      <c r="B648" s="2" t="s">
        <v>333</v>
      </c>
      <c r="C648" s="2" t="str">
        <f>PROVISIONALES!A70</f>
        <v>1.5.1.3</v>
      </c>
      <c r="D648" s="2" t="s">
        <v>263</v>
      </c>
      <c r="E648" s="2"/>
      <c r="F648" s="2"/>
      <c r="G648" s="2"/>
      <c r="H648" s="2"/>
      <c r="I648" s="2"/>
      <c r="J648" s="2"/>
    </row>
    <row r="649" spans="2:11">
      <c r="B649" s="2" t="s">
        <v>278</v>
      </c>
      <c r="C649" s="2" t="s">
        <v>279</v>
      </c>
      <c r="D649" s="4" t="s">
        <v>280</v>
      </c>
      <c r="E649" s="5">
        <v>1</v>
      </c>
      <c r="F649" s="4" t="s">
        <v>281</v>
      </c>
      <c r="G649" s="5">
        <f>E649</f>
        <v>1</v>
      </c>
      <c r="H649" s="2" t="s">
        <v>282</v>
      </c>
      <c r="J649" s="4" t="s">
        <v>133</v>
      </c>
      <c r="K649" s="6">
        <f>K653</f>
        <v>20.09</v>
      </c>
    </row>
    <row r="650" spans="2:11">
      <c r="B650" s="2" t="s">
        <v>283</v>
      </c>
      <c r="C650" s="2" t="s">
        <v>284</v>
      </c>
      <c r="G650" s="4" t="s">
        <v>122</v>
      </c>
      <c r="H650" s="4" t="s">
        <v>285</v>
      </c>
      <c r="I650" s="4" t="s">
        <v>286</v>
      </c>
      <c r="J650" s="4" t="s">
        <v>287</v>
      </c>
      <c r="K650" s="4" t="s">
        <v>288</v>
      </c>
    </row>
    <row r="651" spans="2:11">
      <c r="C651" s="7" t="s">
        <v>294</v>
      </c>
    </row>
    <row r="652" spans="2:11">
      <c r="C652" t="s">
        <v>263</v>
      </c>
      <c r="G652" s="8" t="s">
        <v>133</v>
      </c>
      <c r="H652" s="9"/>
      <c r="I652" s="10">
        <v>1</v>
      </c>
      <c r="J652">
        <v>20.09</v>
      </c>
      <c r="K652" s="12">
        <f>I652*J652</f>
        <v>20.09</v>
      </c>
    </row>
    <row r="653" spans="2:11">
      <c r="B653" s="14"/>
      <c r="C653" s="14"/>
      <c r="D653" s="14"/>
      <c r="E653" s="14"/>
      <c r="F653" s="14"/>
      <c r="G653" s="44"/>
      <c r="H653" s="45"/>
      <c r="I653" s="46"/>
      <c r="J653" s="106"/>
      <c r="K653" s="16">
        <f>SUM(K652)</f>
        <v>20.09</v>
      </c>
    </row>
    <row r="655" spans="2:11">
      <c r="B655" s="2" t="s">
        <v>333</v>
      </c>
      <c r="C655" s="2" t="str">
        <f>PROVISIONALES!A71</f>
        <v>1.5.1.4</v>
      </c>
      <c r="D655" s="2" t="s">
        <v>265</v>
      </c>
      <c r="E655" s="2"/>
      <c r="F655" s="2"/>
      <c r="G655" s="2"/>
      <c r="H655" s="2"/>
      <c r="I655" s="2"/>
      <c r="J655" s="2"/>
    </row>
    <row r="656" spans="2:11">
      <c r="B656" s="2" t="s">
        <v>278</v>
      </c>
      <c r="C656" s="2" t="s">
        <v>279</v>
      </c>
      <c r="D656" s="4" t="s">
        <v>280</v>
      </c>
      <c r="E656" s="5">
        <v>1</v>
      </c>
      <c r="F656" s="4" t="s">
        <v>281</v>
      </c>
      <c r="G656" s="5">
        <f>E656</f>
        <v>1</v>
      </c>
      <c r="H656" s="2" t="s">
        <v>282</v>
      </c>
      <c r="J656" s="4" t="s">
        <v>133</v>
      </c>
      <c r="K656" s="6">
        <f>K660</f>
        <v>20.09</v>
      </c>
    </row>
    <row r="657" spans="2:11">
      <c r="B657" s="2" t="s">
        <v>283</v>
      </c>
      <c r="C657" s="2" t="s">
        <v>284</v>
      </c>
      <c r="G657" s="4" t="s">
        <v>122</v>
      </c>
      <c r="H657" s="4" t="s">
        <v>285</v>
      </c>
      <c r="I657" s="4" t="s">
        <v>286</v>
      </c>
      <c r="J657" s="4" t="s">
        <v>287</v>
      </c>
      <c r="K657" s="4" t="s">
        <v>288</v>
      </c>
    </row>
    <row r="658" spans="2:11">
      <c r="C658" s="7" t="s">
        <v>294</v>
      </c>
    </row>
    <row r="659" spans="2:11">
      <c r="C659" t="s">
        <v>265</v>
      </c>
      <c r="G659" s="8" t="s">
        <v>133</v>
      </c>
      <c r="H659" s="9"/>
      <c r="I659" s="10">
        <v>1</v>
      </c>
      <c r="J659">
        <v>20.09</v>
      </c>
      <c r="K659" s="12">
        <f>I659*J659</f>
        <v>20.09</v>
      </c>
    </row>
    <row r="660" spans="2:11">
      <c r="B660" s="14"/>
      <c r="C660" s="14"/>
      <c r="D660" s="14"/>
      <c r="E660" s="14"/>
      <c r="F660" s="14"/>
      <c r="G660" s="44"/>
      <c r="H660" s="45"/>
      <c r="I660" s="46"/>
      <c r="J660" s="106"/>
      <c r="K660" s="16">
        <f>SUM(K659)</f>
        <v>20.09</v>
      </c>
    </row>
    <row r="662" spans="2:11">
      <c r="B662" s="2" t="s">
        <v>333</v>
      </c>
      <c r="C662" s="2" t="str">
        <f>PROVISIONALES!A72</f>
        <v>1.5.1.5</v>
      </c>
      <c r="D662" s="2" t="s">
        <v>267</v>
      </c>
      <c r="E662" s="2"/>
      <c r="F662" s="2"/>
      <c r="G662" s="2"/>
      <c r="H662" s="2"/>
      <c r="I662" s="2"/>
      <c r="J662" s="2"/>
    </row>
    <row r="663" spans="2:11">
      <c r="B663" s="2" t="s">
        <v>278</v>
      </c>
      <c r="C663" s="2" t="s">
        <v>279</v>
      </c>
      <c r="D663" s="4" t="s">
        <v>280</v>
      </c>
      <c r="E663" s="5">
        <v>1</v>
      </c>
      <c r="F663" s="4" t="s">
        <v>281</v>
      </c>
      <c r="G663" s="5">
        <f>E663</f>
        <v>1</v>
      </c>
      <c r="H663" s="2" t="s">
        <v>282</v>
      </c>
      <c r="J663" s="4" t="s">
        <v>133</v>
      </c>
      <c r="K663" s="6">
        <f>K667</f>
        <v>20.09</v>
      </c>
    </row>
    <row r="664" spans="2:11">
      <c r="B664" s="2" t="s">
        <v>283</v>
      </c>
      <c r="C664" s="2" t="s">
        <v>284</v>
      </c>
      <c r="G664" s="4" t="s">
        <v>122</v>
      </c>
      <c r="H664" s="4" t="s">
        <v>285</v>
      </c>
      <c r="I664" s="4" t="s">
        <v>286</v>
      </c>
      <c r="J664" s="4" t="s">
        <v>287</v>
      </c>
      <c r="K664" s="4" t="s">
        <v>288</v>
      </c>
    </row>
    <row r="665" spans="2:11">
      <c r="C665" s="7" t="s">
        <v>294</v>
      </c>
    </row>
    <row r="666" spans="2:11">
      <c r="C666" t="s">
        <v>267</v>
      </c>
      <c r="G666" s="8" t="s">
        <v>133</v>
      </c>
      <c r="H666" s="9"/>
      <c r="I666" s="10">
        <v>1</v>
      </c>
      <c r="J666">
        <v>20.09</v>
      </c>
      <c r="K666" s="12">
        <f>I666*J666</f>
        <v>20.09</v>
      </c>
    </row>
    <row r="667" spans="2:11">
      <c r="B667" s="14"/>
      <c r="C667" s="14"/>
      <c r="D667" s="14"/>
      <c r="E667" s="14"/>
      <c r="F667" s="14"/>
      <c r="G667" s="44"/>
      <c r="H667" s="45"/>
      <c r="I667" s="46"/>
      <c r="J667" s="106"/>
      <c r="K667" s="16">
        <f>SUM(K666)</f>
        <v>20.09</v>
      </c>
    </row>
    <row r="669" spans="2:11">
      <c r="B669" s="2" t="s">
        <v>333</v>
      </c>
      <c r="C669" s="2" t="str">
        <f>PROVISIONALES!A73</f>
        <v>1.5.1.6</v>
      </c>
      <c r="D669" s="2" t="s">
        <v>269</v>
      </c>
      <c r="E669" s="2"/>
      <c r="F669" s="2"/>
      <c r="G669" s="2"/>
      <c r="H669" s="2"/>
      <c r="I669" s="2"/>
      <c r="J669" s="2"/>
    </row>
    <row r="670" spans="2:11">
      <c r="B670" s="2" t="s">
        <v>278</v>
      </c>
      <c r="C670" s="2" t="s">
        <v>279</v>
      </c>
      <c r="D670" s="4" t="s">
        <v>280</v>
      </c>
      <c r="E670" s="5">
        <v>1</v>
      </c>
      <c r="F670" s="4" t="s">
        <v>281</v>
      </c>
      <c r="G670" s="5">
        <f>E670</f>
        <v>1</v>
      </c>
      <c r="H670" s="2" t="s">
        <v>282</v>
      </c>
      <c r="J670" s="4" t="s">
        <v>133</v>
      </c>
      <c r="K670" s="6">
        <f>K674</f>
        <v>20.09</v>
      </c>
    </row>
    <row r="671" spans="2:11">
      <c r="B671" s="2" t="s">
        <v>283</v>
      </c>
      <c r="C671" s="2" t="s">
        <v>284</v>
      </c>
      <c r="G671" s="4" t="s">
        <v>122</v>
      </c>
      <c r="H671" s="4" t="s">
        <v>285</v>
      </c>
      <c r="I671" s="4" t="s">
        <v>286</v>
      </c>
      <c r="J671" s="4" t="s">
        <v>287</v>
      </c>
      <c r="K671" s="4" t="s">
        <v>288</v>
      </c>
    </row>
    <row r="672" spans="2:11">
      <c r="C672" s="7" t="s">
        <v>294</v>
      </c>
    </row>
    <row r="673" spans="2:11">
      <c r="C673" t="s">
        <v>269</v>
      </c>
      <c r="G673" s="8" t="s">
        <v>133</v>
      </c>
      <c r="H673" s="9"/>
      <c r="I673" s="10">
        <v>1</v>
      </c>
      <c r="J673">
        <v>20.09</v>
      </c>
      <c r="K673" s="12">
        <f>I673*J673</f>
        <v>20.09</v>
      </c>
    </row>
    <row r="674" spans="2:11">
      <c r="B674" s="14"/>
      <c r="C674" s="14"/>
      <c r="D674" s="14"/>
      <c r="E674" s="14"/>
      <c r="F674" s="14"/>
      <c r="G674" s="44"/>
      <c r="H674" s="45"/>
      <c r="I674" s="46"/>
      <c r="J674" s="106"/>
      <c r="K674" s="16">
        <f>SUM(K673)</f>
        <v>20.09</v>
      </c>
    </row>
    <row r="676" spans="2:11">
      <c r="B676" s="2" t="s">
        <v>333</v>
      </c>
      <c r="C676" s="2" t="str">
        <f>PROVISIONALES!A74</f>
        <v>1.5.1.7</v>
      </c>
      <c r="D676" s="2" t="s">
        <v>271</v>
      </c>
      <c r="E676" s="2"/>
      <c r="F676" s="2"/>
      <c r="G676" s="2"/>
      <c r="H676" s="2"/>
      <c r="I676" s="2"/>
      <c r="J676" s="2"/>
    </row>
    <row r="677" spans="2:11">
      <c r="B677" s="2" t="s">
        <v>278</v>
      </c>
      <c r="C677" s="2" t="s">
        <v>279</v>
      </c>
      <c r="D677" s="4" t="s">
        <v>280</v>
      </c>
      <c r="E677" s="5">
        <v>1</v>
      </c>
      <c r="F677" s="4" t="s">
        <v>281</v>
      </c>
      <c r="G677" s="5">
        <f>E677</f>
        <v>1</v>
      </c>
      <c r="H677" s="2" t="s">
        <v>282</v>
      </c>
      <c r="J677" s="4" t="s">
        <v>133</v>
      </c>
      <c r="K677" s="6">
        <f>K681</f>
        <v>20.09</v>
      </c>
    </row>
    <row r="678" spans="2:11">
      <c r="B678" s="2" t="s">
        <v>283</v>
      </c>
      <c r="C678" s="2" t="s">
        <v>284</v>
      </c>
      <c r="G678" s="4" t="s">
        <v>122</v>
      </c>
      <c r="H678" s="4" t="s">
        <v>285</v>
      </c>
      <c r="I678" s="4" t="s">
        <v>286</v>
      </c>
      <c r="J678" s="4" t="s">
        <v>287</v>
      </c>
      <c r="K678" s="4" t="s">
        <v>288</v>
      </c>
    </row>
    <row r="679" spans="2:11">
      <c r="C679" s="7" t="s">
        <v>294</v>
      </c>
    </row>
    <row r="680" spans="2:11">
      <c r="C680" t="s">
        <v>271</v>
      </c>
      <c r="G680" s="8" t="s">
        <v>133</v>
      </c>
      <c r="H680" s="9"/>
      <c r="I680" s="10">
        <v>1</v>
      </c>
      <c r="J680">
        <v>20.09</v>
      </c>
      <c r="K680" s="12">
        <f>I680*J680</f>
        <v>20.09</v>
      </c>
    </row>
    <row r="681" spans="2:11">
      <c r="B681" s="14"/>
      <c r="C681" s="14"/>
      <c r="D681" s="14"/>
      <c r="E681" s="14"/>
      <c r="F681" s="14"/>
      <c r="G681" s="44"/>
      <c r="H681" s="45"/>
      <c r="I681" s="46"/>
      <c r="J681" s="106"/>
      <c r="K681" s="16">
        <f>SUM(K680)</f>
        <v>20.09</v>
      </c>
    </row>
    <row r="683" spans="2:11">
      <c r="B683" s="2" t="s">
        <v>333</v>
      </c>
      <c r="C683" s="2" t="str">
        <f>PROVISIONALES!A76</f>
        <v>1.5.2.1</v>
      </c>
      <c r="D683" s="2" t="s">
        <v>274</v>
      </c>
      <c r="E683" s="2"/>
      <c r="F683" s="2"/>
      <c r="G683" s="2"/>
      <c r="H683" s="2"/>
      <c r="I683" s="2"/>
      <c r="J683" s="2"/>
    </row>
    <row r="684" spans="2:11">
      <c r="B684" s="2" t="s">
        <v>278</v>
      </c>
      <c r="C684" s="2" t="s">
        <v>279</v>
      </c>
      <c r="D684" s="4" t="s">
        <v>280</v>
      </c>
      <c r="E684" s="5">
        <v>1</v>
      </c>
      <c r="F684" s="4" t="s">
        <v>281</v>
      </c>
      <c r="G684" s="5">
        <f>E684</f>
        <v>1</v>
      </c>
      <c r="H684" s="2" t="s">
        <v>282</v>
      </c>
      <c r="J684" s="4" t="s">
        <v>133</v>
      </c>
      <c r="K684" s="6">
        <f>K688</f>
        <v>54.2</v>
      </c>
    </row>
    <row r="685" spans="2:11">
      <c r="B685" s="2" t="s">
        <v>283</v>
      </c>
      <c r="C685" s="2" t="s">
        <v>284</v>
      </c>
      <c r="G685" s="4" t="s">
        <v>122</v>
      </c>
      <c r="H685" s="4" t="s">
        <v>285</v>
      </c>
      <c r="I685" s="4" t="s">
        <v>286</v>
      </c>
      <c r="J685" s="4" t="s">
        <v>287</v>
      </c>
      <c r="K685" s="4" t="s">
        <v>288</v>
      </c>
    </row>
    <row r="686" spans="2:11">
      <c r="C686" s="7" t="s">
        <v>294</v>
      </c>
    </row>
    <row r="687" spans="2:11">
      <c r="C687" t="s">
        <v>274</v>
      </c>
      <c r="G687" s="8" t="s">
        <v>133</v>
      </c>
      <c r="H687" s="9"/>
      <c r="I687" s="10">
        <v>1</v>
      </c>
      <c r="J687">
        <v>54.2</v>
      </c>
      <c r="K687" s="12">
        <f>I687*J687</f>
        <v>54.2</v>
      </c>
    </row>
    <row r="688" spans="2:11">
      <c r="B688" s="14"/>
      <c r="C688" s="14"/>
      <c r="D688" s="14"/>
      <c r="E688" s="14"/>
      <c r="F688" s="14"/>
      <c r="G688" s="44"/>
      <c r="H688" s="45"/>
      <c r="I688" s="46"/>
      <c r="J688" s="106"/>
      <c r="K688" s="16">
        <f>SUM(K687)</f>
        <v>54.2</v>
      </c>
    </row>
    <row r="690" spans="2:11">
      <c r="B690" s="2" t="s">
        <v>333</v>
      </c>
      <c r="C690" s="2" t="str">
        <f>PROVISIONALES!A77</f>
        <v>1.5.2.2</v>
      </c>
      <c r="D690" s="2" t="s">
        <v>276</v>
      </c>
      <c r="E690" s="2"/>
      <c r="F690" s="2"/>
      <c r="G690" s="2"/>
      <c r="H690" s="2"/>
      <c r="I690" s="2"/>
      <c r="J690" s="2"/>
    </row>
    <row r="691" spans="2:11">
      <c r="B691" s="2" t="s">
        <v>278</v>
      </c>
      <c r="C691" s="2" t="s">
        <v>279</v>
      </c>
      <c r="D691" s="4" t="s">
        <v>280</v>
      </c>
      <c r="E691" s="5">
        <v>1</v>
      </c>
      <c r="F691" s="4" t="s">
        <v>281</v>
      </c>
      <c r="G691" s="5">
        <f>E691</f>
        <v>1</v>
      </c>
      <c r="H691" s="2" t="s">
        <v>282</v>
      </c>
      <c r="J691" s="4" t="s">
        <v>133</v>
      </c>
      <c r="K691" s="6">
        <f>K695</f>
        <v>40.17</v>
      </c>
    </row>
    <row r="692" spans="2:11">
      <c r="B692" s="2" t="s">
        <v>283</v>
      </c>
      <c r="C692" s="2" t="s">
        <v>284</v>
      </c>
      <c r="G692" s="4" t="s">
        <v>122</v>
      </c>
      <c r="H692" s="4" t="s">
        <v>285</v>
      </c>
      <c r="I692" s="4" t="s">
        <v>286</v>
      </c>
      <c r="J692" s="4" t="s">
        <v>287</v>
      </c>
      <c r="K692" s="4" t="s">
        <v>288</v>
      </c>
    </row>
    <row r="693" spans="2:11">
      <c r="C693" s="7" t="s">
        <v>294</v>
      </c>
    </row>
    <row r="694" spans="2:11">
      <c r="C694" t="s">
        <v>276</v>
      </c>
      <c r="G694" s="8" t="s">
        <v>133</v>
      </c>
      <c r="H694" s="9"/>
      <c r="I694" s="10">
        <v>1</v>
      </c>
      <c r="J694">
        <v>40.17</v>
      </c>
      <c r="K694" s="12">
        <f>I694*J694</f>
        <v>40.17</v>
      </c>
    </row>
    <row r="695" spans="2:11">
      <c r="B695" s="14"/>
      <c r="C695" s="14"/>
      <c r="D695" s="14"/>
      <c r="E695" s="14"/>
      <c r="F695" s="14"/>
      <c r="G695" s="44"/>
      <c r="H695" s="45"/>
      <c r="I695" s="46"/>
      <c r="J695" s="106"/>
      <c r="K695" s="16">
        <f>SUM(K694)</f>
        <v>40.17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01878-5BF9-4DDC-B837-BB798377D571}">
  <sheetPr>
    <tabColor rgb="FFFF0000"/>
  </sheetPr>
  <dimension ref="A1:AI114"/>
  <sheetViews>
    <sheetView tabSelected="1" topLeftCell="A22" workbookViewId="0">
      <selection activeCell="H27" sqref="H27:H29"/>
    </sheetView>
  </sheetViews>
  <sheetFormatPr defaultRowHeight="15"/>
  <cols>
    <col min="1" max="1" width="14.28515625" customWidth="1"/>
    <col min="8" max="8" width="11" customWidth="1"/>
    <col min="9" max="9" width="11.5703125" customWidth="1"/>
    <col min="10" max="10" width="14.28515625" customWidth="1"/>
    <col min="11" max="11" width="14" customWidth="1"/>
    <col min="12" max="12" width="17.28515625" customWidth="1"/>
    <col min="14" max="15" width="15.140625" customWidth="1"/>
    <col min="31" max="31" width="27" customWidth="1"/>
  </cols>
  <sheetData>
    <row r="1" spans="1:35">
      <c r="A1" s="8"/>
      <c r="G1" s="4" t="s">
        <v>122</v>
      </c>
      <c r="H1" s="4" t="s">
        <v>123</v>
      </c>
      <c r="I1" s="4" t="s">
        <v>124</v>
      </c>
      <c r="J1" s="4" t="s">
        <v>453</v>
      </c>
      <c r="K1" s="4" t="s">
        <v>454</v>
      </c>
    </row>
    <row r="2" spans="1:35">
      <c r="A2" s="2">
        <v>2</v>
      </c>
      <c r="B2" s="233" t="s">
        <v>455</v>
      </c>
      <c r="H2" s="29"/>
      <c r="I2" s="29"/>
      <c r="J2" s="29"/>
      <c r="K2" s="236">
        <f>J3+J13+J22+J71</f>
        <v>405251.45513202995</v>
      </c>
      <c r="M2" s="29"/>
    </row>
    <row r="3" spans="1:35">
      <c r="A3" s="2">
        <v>2.0099999999999998</v>
      </c>
      <c r="B3" s="234" t="s">
        <v>456</v>
      </c>
      <c r="C3" s="2"/>
      <c r="H3" s="29"/>
      <c r="I3" s="29"/>
      <c r="J3" s="235">
        <f>SUM(J4:J12)</f>
        <v>56151.097954676603</v>
      </c>
      <c r="K3" s="29"/>
      <c r="N3" s="2"/>
      <c r="O3" s="2"/>
    </row>
    <row r="4" spans="1:35">
      <c r="A4" t="s">
        <v>457</v>
      </c>
      <c r="B4" s="51" t="s">
        <v>458</v>
      </c>
      <c r="G4" s="19" t="s">
        <v>203</v>
      </c>
      <c r="H4" s="29">
        <f>'Cimentación 1 piso'!H9+'Cimentación 2 pisos '!H9+'Cimentación 3 pisos'!H9+'Cimentación 4 pisos'!H9+'Platea de Cimentacion'!H9</f>
        <v>1233.3470459518599</v>
      </c>
      <c r="I4" s="29">
        <f>'APU ESTRUCTURAS'!K2</f>
        <v>8.4582044799999991</v>
      </c>
      <c r="J4" s="29">
        <f>H4*I4</f>
        <v>10431.901509464786</v>
      </c>
      <c r="K4" s="29"/>
      <c r="O4" s="2"/>
      <c r="U4" s="28"/>
    </row>
    <row r="5" spans="1:35">
      <c r="A5" t="s">
        <v>459</v>
      </c>
      <c r="B5" s="51" t="s">
        <v>460</v>
      </c>
      <c r="G5" s="19" t="s">
        <v>203</v>
      </c>
      <c r="H5" s="29">
        <f>'Cimentación 1 piso'!H10+'Cimentación 2 pisos '!H10+'Cimentación 3 pisos'!H10+'Cimentación 4 pisos'!H10+'Platea de Cimentacion'!H10</f>
        <v>15.340043763676148</v>
      </c>
      <c r="I5" s="29">
        <f>'APU ESTRUCTURAS'!K18</f>
        <v>49.404980000000002</v>
      </c>
      <c r="J5" s="29">
        <f t="shared" ref="J5:J80" si="0">H5*I5</f>
        <v>757.87455534354478</v>
      </c>
      <c r="K5" s="29"/>
      <c r="O5" s="2"/>
      <c r="T5" s="19"/>
      <c r="U5" s="29"/>
      <c r="V5" s="29"/>
      <c r="W5" s="284"/>
      <c r="AE5" s="1"/>
      <c r="AI5" s="28"/>
    </row>
    <row r="6" spans="1:35">
      <c r="A6" t="s">
        <v>461</v>
      </c>
      <c r="B6" s="51" t="s">
        <v>462</v>
      </c>
      <c r="G6" s="19" t="s">
        <v>203</v>
      </c>
      <c r="H6" s="29">
        <f>'Cimentación 1 piso'!H11+'Cimentación 2 pisos '!H11+'Cimentación 3 pisos'!H11+'Cimentación 4 pisos'!H11+'Platea de Cimentacion'!H11</f>
        <v>71.298905908096273</v>
      </c>
      <c r="I6" s="29">
        <f>'APU ESTRUCTURAS'!K29</f>
        <v>66.234217333333333</v>
      </c>
      <c r="J6" s="29">
        <f t="shared" si="0"/>
        <v>4722.4272295457322</v>
      </c>
      <c r="K6" s="29"/>
      <c r="L6" s="8"/>
      <c r="M6" s="8"/>
      <c r="Q6" s="8"/>
      <c r="U6" s="28"/>
    </row>
    <row r="7" spans="1:35">
      <c r="A7" t="s">
        <v>463</v>
      </c>
      <c r="B7" s="51" t="s">
        <v>464</v>
      </c>
      <c r="G7" s="19" t="s">
        <v>203</v>
      </c>
      <c r="H7" s="29">
        <f>'Cimentación 1 piso'!H12+'Cimentación 2 pisos '!H12+'Cimentación 3 pisos'!H12+'Cimentación 4 pisos'!H12+'Platea de Cimentacion'!H12</f>
        <v>791.5406272793582</v>
      </c>
      <c r="I7" s="29">
        <f>'APU ESTRUCTURAS'!K46</f>
        <v>19.299630000000001</v>
      </c>
      <c r="J7" s="29">
        <f t="shared" si="0"/>
        <v>15276.441236459521</v>
      </c>
      <c r="K7" s="29"/>
      <c r="L7" s="8"/>
      <c r="M7" s="8"/>
      <c r="T7" s="19"/>
      <c r="U7" s="29"/>
      <c r="V7" s="29"/>
      <c r="W7" s="284"/>
    </row>
    <row r="8" spans="1:35">
      <c r="A8" t="s">
        <v>465</v>
      </c>
      <c r="B8" s="51" t="s">
        <v>466</v>
      </c>
      <c r="G8" s="19" t="s">
        <v>133</v>
      </c>
      <c r="H8" s="29">
        <f>'Cimentación 1 piso'!H13+'Cimentación 2 pisos '!H13+'Cimentación 3 pisos'!H13+'Cimentación 4 pisos'!H13+'Platea de Cimentacion'!H13</f>
        <v>531.81035740335528</v>
      </c>
      <c r="I8" s="29">
        <f>'APU ESTRUCTURAS'!K63</f>
        <v>7.9303440000000007</v>
      </c>
      <c r="J8" s="29">
        <f t="shared" si="0"/>
        <v>4217.4390769715546</v>
      </c>
      <c r="K8" s="29"/>
      <c r="L8" s="8"/>
      <c r="M8" s="8"/>
    </row>
    <row r="9" spans="1:35">
      <c r="A9" t="s">
        <v>467</v>
      </c>
      <c r="B9" s="51" t="s">
        <v>468</v>
      </c>
      <c r="G9" s="19" t="s">
        <v>133</v>
      </c>
      <c r="H9" s="29">
        <f>'Cimentación 1 piso'!H14+'Cimentación 2 pisos '!H14+'Cimentación 3 pisos'!H14+'Cimentación 4 pisos'!H14+'Platea de Cimentacion'!H14</f>
        <v>556.43307804522237</v>
      </c>
      <c r="I9" s="29">
        <f>'APU ESTRUCTURAS'!K78</f>
        <v>12.11253</v>
      </c>
      <c r="J9" s="29">
        <f t="shared" si="0"/>
        <v>6739.8123508150975</v>
      </c>
      <c r="K9" s="29"/>
      <c r="L9" s="8"/>
      <c r="M9" s="8"/>
      <c r="P9" s="10"/>
      <c r="Q9" s="8"/>
      <c r="AE9" s="1"/>
    </row>
    <row r="10" spans="1:35">
      <c r="A10" t="s">
        <v>469</v>
      </c>
      <c r="B10" s="51" t="s">
        <v>470</v>
      </c>
      <c r="G10" s="19" t="s">
        <v>203</v>
      </c>
      <c r="H10" s="29">
        <f>'Cimentación 1 piso'!H15+'Cimentación 2 pisos '!H15+'Cimentación 3 pisos'!H15+'Cimentación 4 pisos'!H15+'Platea de Cimentacion'!H15</f>
        <v>556.43307804522237</v>
      </c>
      <c r="I10" s="29">
        <f>'APU ESTRUCTURAS'!K89</f>
        <v>22.910007466666666</v>
      </c>
      <c r="J10" s="29">
        <f t="shared" si="0"/>
        <v>12747.88597271636</v>
      </c>
      <c r="K10" s="29"/>
      <c r="L10" s="8"/>
      <c r="M10" s="8"/>
      <c r="P10" s="10"/>
      <c r="Q10" s="8"/>
    </row>
    <row r="11" spans="1:35">
      <c r="A11" t="s">
        <v>471</v>
      </c>
      <c r="B11" t="s">
        <v>472</v>
      </c>
      <c r="G11" s="19" t="s">
        <v>203</v>
      </c>
      <c r="H11" s="29">
        <f>'Obras exteriores '!D11+'Obras exteriores '!D27+'Obras exteriores '!D45</f>
        <v>30</v>
      </c>
      <c r="I11" s="29">
        <f>'APU ESTRUCTURAS'!K102</f>
        <v>7.9303440000000007</v>
      </c>
      <c r="J11" s="29">
        <f t="shared" si="0"/>
        <v>237.91032000000001</v>
      </c>
      <c r="K11" s="29"/>
      <c r="L11" s="8"/>
      <c r="M11" s="8"/>
      <c r="P11" s="10"/>
      <c r="Q11" s="8"/>
    </row>
    <row r="12" spans="1:35">
      <c r="A12" t="s">
        <v>473</v>
      </c>
      <c r="B12" t="s">
        <v>474</v>
      </c>
      <c r="G12" s="19" t="s">
        <v>203</v>
      </c>
      <c r="H12" s="29">
        <f>'Obras exteriores '!D12+'Obras exteriores '!D28+'Obras exteriores '!D46+'Obras exteriores '!D59</f>
        <v>13.200000000000001</v>
      </c>
      <c r="I12" s="29">
        <f>'APU ESTRUCTURAS'!K117</f>
        <v>77.227704800000012</v>
      </c>
      <c r="J12" s="29">
        <f t="shared" si="0"/>
        <v>1019.4057033600002</v>
      </c>
      <c r="K12" s="29"/>
      <c r="L12" s="8"/>
      <c r="M12" s="8"/>
      <c r="P12" s="10"/>
      <c r="Q12" s="8"/>
      <c r="AI12" s="28"/>
    </row>
    <row r="13" spans="1:35">
      <c r="A13" s="2">
        <v>2.02</v>
      </c>
      <c r="B13" s="234" t="s">
        <v>475</v>
      </c>
      <c r="G13" s="19"/>
      <c r="H13" s="29"/>
      <c r="I13" s="29"/>
      <c r="J13" s="235">
        <f>J14+J16+J18+J20</f>
        <v>74276.421098692794</v>
      </c>
      <c r="L13" s="8"/>
      <c r="M13" s="8"/>
      <c r="P13" s="10"/>
      <c r="Q13" s="8"/>
      <c r="AE13" s="1"/>
    </row>
    <row r="14" spans="1:35">
      <c r="A14" s="2" t="s">
        <v>476</v>
      </c>
      <c r="B14" s="284" t="s">
        <v>477</v>
      </c>
      <c r="G14" s="19"/>
      <c r="H14" s="29"/>
      <c r="I14" s="29"/>
      <c r="J14" s="284">
        <f>SUM(J15)</f>
        <v>19067.485952000003</v>
      </c>
      <c r="L14" s="8"/>
      <c r="M14" s="8"/>
      <c r="P14" s="10"/>
      <c r="Q14" s="8"/>
      <c r="AE14" s="1"/>
    </row>
    <row r="15" spans="1:35">
      <c r="A15" t="s">
        <v>478</v>
      </c>
      <c r="B15" s="242" t="s">
        <v>479</v>
      </c>
      <c r="G15" s="19" t="s">
        <v>133</v>
      </c>
      <c r="H15" s="29">
        <f>'Platea de Cimentacion'!H17</f>
        <v>80</v>
      </c>
      <c r="I15" s="29">
        <f>'APU ESTRUCTURAS'!K139</f>
        <v>238.34357440000002</v>
      </c>
      <c r="J15" s="29">
        <f>H15*I15</f>
        <v>19067.485952000003</v>
      </c>
      <c r="L15" s="8"/>
      <c r="M15" s="8"/>
      <c r="O15" s="2"/>
      <c r="P15" s="10"/>
      <c r="Q15" s="8"/>
      <c r="AE15" s="1"/>
    </row>
    <row r="16" spans="1:35">
      <c r="A16" s="2" t="s">
        <v>480</v>
      </c>
      <c r="B16" s="284" t="s">
        <v>481</v>
      </c>
      <c r="G16" s="19"/>
      <c r="H16" s="29"/>
      <c r="I16" s="29"/>
      <c r="J16" s="285">
        <f>SUM(J17)</f>
        <v>47387.396248397126</v>
      </c>
      <c r="K16" s="29"/>
      <c r="L16" s="8"/>
      <c r="M16" s="8"/>
      <c r="P16" s="10"/>
      <c r="Q16" s="8"/>
      <c r="U16" s="28"/>
      <c r="AE16" s="21"/>
    </row>
    <row r="17" spans="1:35">
      <c r="A17" t="s">
        <v>482</v>
      </c>
      <c r="B17" t="s">
        <v>483</v>
      </c>
      <c r="G17" s="19" t="s">
        <v>133</v>
      </c>
      <c r="H17" s="29">
        <f>'Cimentación 1 piso'!H17+'Cimentación 2 pisos '!H17+'Cimentación 3 pisos'!H17+'Cimentación 4 pisos'!H17+Escalera!D7</f>
        <v>198.81969282238441</v>
      </c>
      <c r="I17" s="29">
        <f>'APU ESTRUCTURAS'!K161</f>
        <v>238.34357440000002</v>
      </c>
      <c r="J17" s="29">
        <f t="shared" si="0"/>
        <v>47387.396248397126</v>
      </c>
      <c r="K17" s="29"/>
      <c r="L17" s="8"/>
      <c r="M17" s="8"/>
      <c r="P17" s="10"/>
      <c r="Q17" s="8"/>
      <c r="AE17" s="21"/>
      <c r="AI17" s="28"/>
    </row>
    <row r="18" spans="1:35">
      <c r="A18" s="2" t="s">
        <v>484</v>
      </c>
      <c r="B18" s="284" t="s">
        <v>485</v>
      </c>
      <c r="G18" s="19"/>
      <c r="H18" s="29"/>
      <c r="I18" s="29"/>
      <c r="J18" s="285">
        <f>SUM(J19)</f>
        <v>7534.2879952380408</v>
      </c>
      <c r="K18" s="29"/>
      <c r="P18" s="10"/>
      <c r="Q18" s="8"/>
      <c r="U18" s="1"/>
      <c r="AE18" s="21"/>
      <c r="AI18" s="28"/>
    </row>
    <row r="19" spans="1:35">
      <c r="A19" t="s">
        <v>486</v>
      </c>
      <c r="B19" t="s">
        <v>487</v>
      </c>
      <c r="G19" s="19" t="s">
        <v>133</v>
      </c>
      <c r="H19" s="29">
        <f>'Cimentación 1 piso'!H19+'Cimentación 2 pisos '!H19+'Cimentación 3 pisos'!H19+'Cimentación 4 pisos'!H19+Escalera!D8</f>
        <v>190.15952319820897</v>
      </c>
      <c r="I19" s="29">
        <f>'APU ESTRUCTURAS'!K183</f>
        <v>39.620881818181815</v>
      </c>
      <c r="J19" s="29">
        <f t="shared" si="0"/>
        <v>7534.2879952380408</v>
      </c>
      <c r="K19" s="29"/>
      <c r="L19" s="8"/>
      <c r="P19" s="10"/>
      <c r="Q19" s="8"/>
      <c r="AE19" s="21"/>
    </row>
    <row r="20" spans="1:35">
      <c r="A20" s="2" t="s">
        <v>488</v>
      </c>
      <c r="B20" s="284" t="s">
        <v>489</v>
      </c>
      <c r="G20" s="19"/>
      <c r="H20" s="29"/>
      <c r="I20" s="29"/>
      <c r="J20" s="285">
        <f>SUM(J21)</f>
        <v>287.25090305762222</v>
      </c>
      <c r="K20" s="29"/>
      <c r="P20" s="10"/>
      <c r="Q20" s="8"/>
      <c r="U20" s="1"/>
      <c r="AE20" s="202"/>
      <c r="AF20" s="200"/>
    </row>
    <row r="21" spans="1:35">
      <c r="A21" t="s">
        <v>490</v>
      </c>
      <c r="B21" t="s">
        <v>491</v>
      </c>
      <c r="G21" s="19" t="s">
        <v>133</v>
      </c>
      <c r="H21" s="29">
        <f>'Cimentación 1 piso'!H21+'Cimentación 2 pisos '!H21+'Cimentación 3 pisos'!H21+'Cimentación 4 pisos'!H21</f>
        <v>10.589350838803794</v>
      </c>
      <c r="I21" s="29">
        <f>'APU ESTRUCTURAS'!K202</f>
        <v>27.126394000000001</v>
      </c>
      <c r="J21" s="29">
        <f t="shared" si="0"/>
        <v>287.25090305762222</v>
      </c>
      <c r="K21" s="29"/>
      <c r="P21" s="10"/>
      <c r="Q21" s="8"/>
      <c r="AE21" s="200"/>
      <c r="AF21" s="200"/>
    </row>
    <row r="22" spans="1:35">
      <c r="A22" s="2">
        <v>2.0299999999999998</v>
      </c>
      <c r="B22" s="67" t="s">
        <v>492</v>
      </c>
      <c r="G22" s="19"/>
      <c r="H22" s="29"/>
      <c r="I22" s="29"/>
      <c r="J22" s="235">
        <f>J23+J26+J30+J34+J38+J42+J46+J50+J54+J59+J63+J67</f>
        <v>208683.3821364622</v>
      </c>
      <c r="P22" s="10"/>
      <c r="Q22" s="8"/>
      <c r="U22" s="1"/>
      <c r="AE22" s="200"/>
      <c r="AF22" s="200"/>
      <c r="AI22" s="28"/>
    </row>
    <row r="23" spans="1:35">
      <c r="A23" s="2" t="s">
        <v>493</v>
      </c>
      <c r="B23" s="284" t="s">
        <v>494</v>
      </c>
      <c r="G23" s="19"/>
      <c r="H23" s="29"/>
      <c r="I23" s="29"/>
      <c r="J23" s="285">
        <f>SUM(J24:J25)</f>
        <v>59499.328500955482</v>
      </c>
      <c r="K23" s="29"/>
      <c r="Q23" s="8"/>
      <c r="U23" s="1"/>
      <c r="AE23" s="200"/>
      <c r="AF23" s="200"/>
    </row>
    <row r="24" spans="1:35">
      <c r="A24" t="s">
        <v>495</v>
      </c>
      <c r="B24" t="s">
        <v>496</v>
      </c>
      <c r="G24" s="19" t="s">
        <v>203</v>
      </c>
      <c r="H24" s="29">
        <f>'Cimentación 1 piso'!H24+'Cimentación 2 pisos '!H24+'Cimentación 3 pisos'!H24+'Cimentación 4 pisos'!H24</f>
        <v>127.790291757841</v>
      </c>
      <c r="I24" s="29">
        <f>'APU ESTRUCTURAS'!K221</f>
        <v>426.39754399999998</v>
      </c>
      <c r="J24" s="29">
        <f t="shared" si="0"/>
        <v>54489.466552586848</v>
      </c>
      <c r="K24" s="29"/>
      <c r="O24" s="2"/>
    </row>
    <row r="25" spans="1:35">
      <c r="A25" t="s">
        <v>497</v>
      </c>
      <c r="B25" t="s">
        <v>498</v>
      </c>
      <c r="G25" s="280" t="s">
        <v>296</v>
      </c>
      <c r="H25" s="29">
        <f>'Cimentación 1 piso'!H25+'Cimentación 2 pisos '!H25+'Cimentación 3 pisos'!H25+'Cimentación 4 pisos'!H25</f>
        <v>900.41254558716264</v>
      </c>
      <c r="I25" s="29">
        <f>'APU ESTRUCTURAS'!K260</f>
        <v>5.5639628445000007</v>
      </c>
      <c r="J25" s="29">
        <f t="shared" si="0"/>
        <v>5009.8619483686361</v>
      </c>
      <c r="K25" s="29"/>
      <c r="AI25" s="28"/>
    </row>
    <row r="26" spans="1:35">
      <c r="A26" s="2" t="s">
        <v>499</v>
      </c>
      <c r="B26" s="284" t="s">
        <v>500</v>
      </c>
      <c r="G26" s="19"/>
      <c r="H26" s="29"/>
      <c r="I26" s="29"/>
      <c r="J26" s="285">
        <f>SUM(J27:J29)</f>
        <v>102721.03808064002</v>
      </c>
      <c r="K26" s="29"/>
      <c r="AI26" s="28"/>
    </row>
    <row r="27" spans="1:35">
      <c r="A27" t="s">
        <v>501</v>
      </c>
      <c r="B27" s="272" t="s">
        <v>502</v>
      </c>
      <c r="C27" s="272"/>
      <c r="D27" s="272"/>
      <c r="G27" s="281" t="s">
        <v>203</v>
      </c>
      <c r="H27" s="29">
        <f>'Platea de Cimentacion'!H24</f>
        <v>48</v>
      </c>
      <c r="I27" s="29">
        <f>'APU ESTRUCTURAS'!K276</f>
        <v>426.39754399999998</v>
      </c>
      <c r="J27" s="29">
        <f>H27*I27</f>
        <v>20467.082112</v>
      </c>
      <c r="K27" s="29"/>
      <c r="AI27" s="28"/>
    </row>
    <row r="28" spans="1:35">
      <c r="A28" t="s">
        <v>503</v>
      </c>
      <c r="B28" s="272" t="s">
        <v>504</v>
      </c>
      <c r="C28" s="272"/>
      <c r="D28" s="272"/>
      <c r="G28" s="281" t="s">
        <v>133</v>
      </c>
      <c r="H28" s="29">
        <f>'Platea de Cimentacion'!H25</f>
        <v>40</v>
      </c>
      <c r="I28" s="29">
        <f>'APU ESTRUCTURAS'!K298</f>
        <v>453.92760000000004</v>
      </c>
      <c r="J28" s="29">
        <f>H28*I28</f>
        <v>18157.104000000003</v>
      </c>
      <c r="K28" s="29"/>
      <c r="AI28" s="28"/>
    </row>
    <row r="29" spans="1:35">
      <c r="A29" t="s">
        <v>505</v>
      </c>
      <c r="B29" s="272" t="s">
        <v>506</v>
      </c>
      <c r="C29" s="272"/>
      <c r="D29" s="272"/>
      <c r="G29" s="280" t="s">
        <v>296</v>
      </c>
      <c r="H29" s="29">
        <f>'Platea de Cimentacion'!H26</f>
        <v>11520</v>
      </c>
      <c r="I29" s="29">
        <f>'APU ESTRUCTURAS'!K314</f>
        <v>5.5639628445000007</v>
      </c>
      <c r="J29" s="29">
        <f>H29*I29</f>
        <v>64096.85196864001</v>
      </c>
      <c r="K29" s="29"/>
      <c r="AI29" s="28"/>
    </row>
    <row r="30" spans="1:35">
      <c r="A30" s="2" t="s">
        <v>507</v>
      </c>
      <c r="B30" s="284" t="s">
        <v>508</v>
      </c>
      <c r="G30" s="19"/>
      <c r="H30" s="29"/>
      <c r="I30" s="29"/>
      <c r="J30" s="285">
        <f>SUM(J31:J33)</f>
        <v>32656.786063839918</v>
      </c>
      <c r="K30" s="29"/>
      <c r="P30" s="10"/>
      <c r="Q30" s="8"/>
      <c r="U30" s="28"/>
      <c r="AI30" s="21"/>
    </row>
    <row r="31" spans="1:35">
      <c r="A31" t="s">
        <v>509</v>
      </c>
      <c r="B31" t="s">
        <v>510</v>
      </c>
      <c r="G31" s="280" t="s">
        <v>203</v>
      </c>
      <c r="H31" s="29">
        <f>'Cimentación 1 piso'!H27+'Cimentación 2 pisos '!H27+'Cimentación 3 pisos'!H27+'Cimentación 4 pisos'!H27+'Platea de Cimentacion'!H28</f>
        <v>34.402112326768787</v>
      </c>
      <c r="I31" s="29">
        <f>'APU ESTRUCTURAS'!K330</f>
        <v>438.22651999999994</v>
      </c>
      <c r="J31" s="29">
        <f t="shared" si="0"/>
        <v>15075.917965608985</v>
      </c>
      <c r="K31" s="29"/>
      <c r="P31" s="10"/>
      <c r="Q31" s="8"/>
      <c r="AI31" s="21"/>
    </row>
    <row r="32" spans="1:35">
      <c r="A32" t="s">
        <v>511</v>
      </c>
      <c r="B32" t="s">
        <v>512</v>
      </c>
      <c r="G32" s="280" t="s">
        <v>133</v>
      </c>
      <c r="H32" s="29">
        <f>'Cimentación 1 piso'!H28+'Cimentación 2 pisos '!H28+'Cimentación 3 pisos'!H28+'Cimentación 4 pisos'!H28+'Platea de Cimentacion'!H29</f>
        <v>189.21016630196937</v>
      </c>
      <c r="I32" s="29">
        <f>'APU ESTRUCTURAS'!K352</f>
        <v>64.026960000000003</v>
      </c>
      <c r="J32" s="29">
        <f t="shared" si="0"/>
        <v>12114.55174940954</v>
      </c>
      <c r="K32" s="29"/>
      <c r="P32" s="10"/>
      <c r="Q32" s="8"/>
      <c r="AI32" s="21"/>
    </row>
    <row r="33" spans="1:35">
      <c r="A33" t="s">
        <v>513</v>
      </c>
      <c r="B33" t="s">
        <v>514</v>
      </c>
      <c r="G33" s="280" t="s">
        <v>296</v>
      </c>
      <c r="H33" s="29">
        <f>'Cimentación 1 piso'!H29+'Cimentación 2 pisos '!H29+'Cimentación 3 pisos'!H29+'Cimentación 4 pisos'!H29+'Platea de Cimentacion'!H30</f>
        <v>982.4501891174325</v>
      </c>
      <c r="I33" s="29">
        <f>'APU ESTRUCTURAS'!K368</f>
        <v>5.5639628445000007</v>
      </c>
      <c r="J33" s="29">
        <f t="shared" si="0"/>
        <v>5466.3163488213931</v>
      </c>
      <c r="K33" s="29"/>
      <c r="P33" s="10"/>
      <c r="Q33" s="8"/>
      <c r="AI33" s="21"/>
    </row>
    <row r="34" spans="1:35">
      <c r="A34" s="2" t="s">
        <v>515</v>
      </c>
      <c r="B34" s="284" t="s">
        <v>516</v>
      </c>
      <c r="G34" s="19"/>
      <c r="H34" s="29"/>
      <c r="I34" s="29"/>
      <c r="J34" s="285">
        <f>SUM(J35:J37)</f>
        <v>12369.131756036124</v>
      </c>
      <c r="K34" s="29"/>
      <c r="P34" s="10"/>
      <c r="Q34" s="8"/>
      <c r="U34" s="28"/>
      <c r="AI34" s="28"/>
    </row>
    <row r="35" spans="1:35">
      <c r="A35" t="s">
        <v>517</v>
      </c>
      <c r="B35" t="s">
        <v>518</v>
      </c>
      <c r="G35" s="19" t="s">
        <v>203</v>
      </c>
      <c r="H35" s="29">
        <f>'Cimentación 1 piso'!H31+'Cimentación 2 pisos '!H31+'Cimentación 3 pisos'!H31+'Cimentación 4 pisos'!H31+Escalera!D11</f>
        <v>16.312060486511523</v>
      </c>
      <c r="I35" s="29">
        <f>'APU ESTRUCTURAS'!K386</f>
        <v>424.92179999999996</v>
      </c>
      <c r="J35" s="29">
        <f t="shared" si="0"/>
        <v>6931.3501036373518</v>
      </c>
      <c r="K35" s="29"/>
      <c r="L35" s="8"/>
      <c r="P35" s="10"/>
      <c r="Q35" s="8"/>
      <c r="AI35" s="21"/>
    </row>
    <row r="36" spans="1:35">
      <c r="A36" t="s">
        <v>519</v>
      </c>
      <c r="B36" t="s">
        <v>520</v>
      </c>
      <c r="G36" s="19" t="s">
        <v>133</v>
      </c>
      <c r="H36" s="29">
        <f>'Cimentación 1 piso'!H32+'Cimentación 2 pisos '!H32+'Cimentación 3 pisos'!H32+'Cimentación 4 pisos'!H32+Escalera!D12</f>
        <v>83.775760972863338</v>
      </c>
      <c r="I36" s="29">
        <f>'APU ESTRUCTURAS'!K407</f>
        <v>42.644480000000001</v>
      </c>
      <c r="J36" s="29">
        <f t="shared" si="0"/>
        <v>3572.5737632920514</v>
      </c>
      <c r="K36" s="29"/>
      <c r="L36" s="8"/>
      <c r="P36" s="10"/>
      <c r="Q36" s="8"/>
      <c r="AI36" s="21"/>
    </row>
    <row r="37" spans="1:35">
      <c r="A37" t="s">
        <v>521</v>
      </c>
      <c r="B37" t="s">
        <v>522</v>
      </c>
      <c r="G37" s="19" t="s">
        <v>296</v>
      </c>
      <c r="H37" s="29">
        <f>'Cimentación 1 piso'!H33+'Cimentación 2 pisos '!H33+'Cimentación 3 pisos'!H33+'Cimentación 4 pisos'!H33+Escalera!D13</f>
        <v>335.23011228417636</v>
      </c>
      <c r="I37" s="29">
        <f>'APU ESTRUCTURAS'!K423</f>
        <v>5.5639628445000007</v>
      </c>
      <c r="J37" s="29">
        <f t="shared" si="0"/>
        <v>1865.2078891067206</v>
      </c>
      <c r="K37" s="29"/>
      <c r="L37" s="8"/>
      <c r="P37" s="10"/>
      <c r="Q37" s="8"/>
      <c r="AI37" s="21"/>
    </row>
    <row r="38" spans="1:35">
      <c r="A38" s="2" t="s">
        <v>523</v>
      </c>
      <c r="B38" s="284" t="s">
        <v>524</v>
      </c>
      <c r="G38" s="19"/>
      <c r="H38" s="29"/>
      <c r="I38" s="29"/>
      <c r="J38" s="285">
        <f>SUM(J39:J41)</f>
        <v>270.72404251445948</v>
      </c>
      <c r="K38" s="29"/>
      <c r="P38" s="10"/>
      <c r="Q38" s="8"/>
      <c r="AI38" s="28"/>
    </row>
    <row r="39" spans="1:35">
      <c r="A39" t="s">
        <v>525</v>
      </c>
      <c r="B39" t="s">
        <v>526</v>
      </c>
      <c r="G39" s="282" t="s">
        <v>203</v>
      </c>
      <c r="H39" s="29">
        <f>'Estructura 1'!G6</f>
        <v>0.1601295731707317</v>
      </c>
      <c r="I39" s="29">
        <f>'APU ESTRUCTURAS'!K439</f>
        <v>402.68478666666664</v>
      </c>
      <c r="J39" s="29">
        <f t="shared" si="0"/>
        <v>64.481743011280486</v>
      </c>
      <c r="K39" s="29"/>
      <c r="P39" s="10"/>
      <c r="Q39" s="8"/>
    </row>
    <row r="40" spans="1:35">
      <c r="A40" t="s">
        <v>527</v>
      </c>
      <c r="B40" t="s">
        <v>528</v>
      </c>
      <c r="G40" s="282" t="s">
        <v>133</v>
      </c>
      <c r="H40" s="29">
        <f>'Estructura 1'!G7</f>
        <v>1.1652439024390246</v>
      </c>
      <c r="I40" s="29">
        <f>'APU ESTRUCTURAS'!K460</f>
        <v>47.011574285714282</v>
      </c>
      <c r="J40" s="29">
        <f t="shared" si="0"/>
        <v>54.77995028048781</v>
      </c>
      <c r="K40" s="29"/>
      <c r="P40" s="10"/>
      <c r="Q40" s="8"/>
    </row>
    <row r="41" spans="1:35">
      <c r="A41" t="s">
        <v>529</v>
      </c>
      <c r="B41" t="s">
        <v>530</v>
      </c>
      <c r="G41" s="282" t="s">
        <v>296</v>
      </c>
      <c r="H41" s="29">
        <f>'Estructura 1'!G8</f>
        <v>27.222027439024391</v>
      </c>
      <c r="I41" s="29">
        <f>'APU ESTRUCTURAS'!K477</f>
        <v>5.5639628445000007</v>
      </c>
      <c r="J41" s="29">
        <f t="shared" si="0"/>
        <v>151.46234922269122</v>
      </c>
      <c r="K41" s="29"/>
      <c r="P41" s="10"/>
      <c r="Q41" s="8"/>
    </row>
    <row r="42" spans="1:35">
      <c r="A42" s="2" t="s">
        <v>531</v>
      </c>
      <c r="B42" s="284" t="s">
        <v>532</v>
      </c>
      <c r="G42" s="19"/>
      <c r="H42" s="29"/>
      <c r="I42" s="29"/>
      <c r="J42" s="285">
        <f>SUM(J43:J45)</f>
        <v>38.489428723911587</v>
      </c>
      <c r="K42" s="29"/>
      <c r="P42" s="10"/>
      <c r="Q42" s="8"/>
    </row>
    <row r="43" spans="1:35">
      <c r="A43" t="s">
        <v>533</v>
      </c>
      <c r="B43" t="s">
        <v>534</v>
      </c>
      <c r="G43" s="282" t="s">
        <v>203</v>
      </c>
      <c r="H43" s="29">
        <f>'Estructura 2'!G6</f>
        <v>2.40194359756098E-2</v>
      </c>
      <c r="I43" s="269">
        <f>'APU ESTRUCTURAS'!K493</f>
        <v>359.08362666666665</v>
      </c>
      <c r="J43" s="29">
        <f>H43*I43</f>
        <v>8.6249861806097705</v>
      </c>
      <c r="K43" s="29"/>
      <c r="P43" s="10"/>
      <c r="Q43" s="8"/>
    </row>
    <row r="44" spans="1:35">
      <c r="A44" t="s">
        <v>535</v>
      </c>
      <c r="B44" t="s">
        <v>536</v>
      </c>
      <c r="G44" s="282" t="s">
        <v>133</v>
      </c>
      <c r="H44" s="29">
        <f>'Estructura 2'!G7</f>
        <v>0.40783536585365698</v>
      </c>
      <c r="I44" s="269">
        <f>'APU ESTRUCTURAS'!K514</f>
        <v>47.011574285714282</v>
      </c>
      <c r="J44" s="29">
        <f t="shared" ref="J44:J45" si="1">H44*I44</f>
        <v>19.172982598170655</v>
      </c>
      <c r="K44" s="29"/>
      <c r="P44" s="10"/>
      <c r="Q44" s="8"/>
    </row>
    <row r="45" spans="1:35">
      <c r="A45" t="s">
        <v>537</v>
      </c>
      <c r="B45" t="s">
        <v>538</v>
      </c>
      <c r="G45" s="282" t="s">
        <v>296</v>
      </c>
      <c r="H45" s="29">
        <f>'Estructura 2'!G8</f>
        <v>1.9215548780487839</v>
      </c>
      <c r="I45" s="269">
        <f>'APU ESTRUCTURAS'!K531</f>
        <v>5.5639628445000007</v>
      </c>
      <c r="J45" s="29">
        <f t="shared" si="1"/>
        <v>10.691459945131163</v>
      </c>
      <c r="K45" s="29"/>
      <c r="P45" s="10"/>
      <c r="Q45" s="8"/>
    </row>
    <row r="46" spans="1:35">
      <c r="A46" s="2" t="s">
        <v>539</v>
      </c>
      <c r="B46" s="284" t="s">
        <v>540</v>
      </c>
      <c r="G46" s="19"/>
      <c r="H46" s="29"/>
      <c r="I46" s="29"/>
      <c r="J46" s="285">
        <f>SUM(J47:J49)</f>
        <v>239.14881361851181</v>
      </c>
      <c r="K46" s="29"/>
      <c r="Q46" s="8"/>
    </row>
    <row r="47" spans="1:35">
      <c r="A47" t="s">
        <v>541</v>
      </c>
      <c r="B47" t="s">
        <v>542</v>
      </c>
      <c r="G47" s="282" t="s">
        <v>203</v>
      </c>
      <c r="H47" s="29">
        <f>'Estructura 1'!G10</f>
        <v>0.16849085365853661</v>
      </c>
      <c r="I47" s="29">
        <f>'APU ESTRUCTURAS'!K547</f>
        <v>392.5379309090909</v>
      </c>
      <c r="J47" s="29">
        <f t="shared" si="0"/>
        <v>66.139051072228384</v>
      </c>
      <c r="K47" s="29"/>
    </row>
    <row r="48" spans="1:35">
      <c r="A48" t="s">
        <v>543</v>
      </c>
      <c r="B48" t="s">
        <v>544</v>
      </c>
      <c r="G48" s="282" t="s">
        <v>133</v>
      </c>
      <c r="H48" s="29">
        <f>'Estructura 1'!G11</f>
        <v>0.82225990853658537</v>
      </c>
      <c r="I48" s="29">
        <f>'APU ESTRUCTURAS'!K569</f>
        <v>50.790514285714288</v>
      </c>
      <c r="J48" s="29">
        <f t="shared" si="0"/>
        <v>41.763003631097561</v>
      </c>
      <c r="K48" s="29"/>
      <c r="O48" s="2"/>
      <c r="P48" s="2"/>
    </row>
    <row r="49" spans="1:17">
      <c r="A49" t="s">
        <v>545</v>
      </c>
      <c r="B49" t="s">
        <v>546</v>
      </c>
      <c r="G49" s="282" t="s">
        <v>296</v>
      </c>
      <c r="H49" s="29">
        <f>'Estructura 1'!G12</f>
        <v>23.588719512195127</v>
      </c>
      <c r="I49" s="29">
        <f>'APU ESTRUCTURAS'!K585</f>
        <v>5.5639628445000007</v>
      </c>
      <c r="J49" s="29">
        <f t="shared" si="0"/>
        <v>131.24675891518586</v>
      </c>
      <c r="K49" s="29"/>
      <c r="P49" s="2"/>
    </row>
    <row r="50" spans="1:17">
      <c r="A50" s="2" t="s">
        <v>547</v>
      </c>
      <c r="B50" s="284" t="s">
        <v>548</v>
      </c>
      <c r="G50" s="19"/>
      <c r="H50" s="29"/>
      <c r="I50" s="29"/>
      <c r="J50" s="285">
        <f>SUM(J51:J53)</f>
        <v>12.95973671518041</v>
      </c>
      <c r="K50" s="29"/>
    </row>
    <row r="51" spans="1:17">
      <c r="A51" t="s">
        <v>549</v>
      </c>
      <c r="B51" t="s">
        <v>550</v>
      </c>
      <c r="G51" s="282" t="s">
        <v>203</v>
      </c>
      <c r="H51" s="29">
        <f>'Estructura 2'!G10</f>
        <v>8.4245426829268506E-3</v>
      </c>
      <c r="I51" s="269">
        <f>'APU ESTRUCTURAS'!K601</f>
        <v>349.618832</v>
      </c>
      <c r="J51" s="29">
        <f>H51*I51</f>
        <v>2.9453787729390317</v>
      </c>
      <c r="K51" s="29"/>
    </row>
    <row r="52" spans="1:17">
      <c r="A52" t="s">
        <v>551</v>
      </c>
      <c r="B52" t="s">
        <v>552</v>
      </c>
      <c r="G52" s="282" t="s">
        <v>133</v>
      </c>
      <c r="H52" s="29">
        <f>'Estructura 2'!G11</f>
        <v>0.12333898628048776</v>
      </c>
      <c r="I52" s="269">
        <f>'APU ESTRUCTURAS'!K623</f>
        <v>50.790514285714288</v>
      </c>
      <c r="J52" s="29">
        <f t="shared" ref="J52:J53" si="2">H52*I52</f>
        <v>6.2644505446646317</v>
      </c>
      <c r="K52" s="29"/>
    </row>
    <row r="53" spans="1:17">
      <c r="A53" t="s">
        <v>553</v>
      </c>
      <c r="B53" t="s">
        <v>554</v>
      </c>
      <c r="G53" s="282" t="s">
        <v>296</v>
      </c>
      <c r="H53" s="29">
        <f>'Estructura 2'!G12</f>
        <v>0.67396341463414799</v>
      </c>
      <c r="I53" s="269">
        <f>'APU ESTRUCTURAS'!K639</f>
        <v>5.5639628445000007</v>
      </c>
      <c r="J53" s="29">
        <f t="shared" si="2"/>
        <v>3.7499073975767474</v>
      </c>
      <c r="K53" s="29"/>
      <c r="P53" s="2"/>
    </row>
    <row r="54" spans="1:17">
      <c r="A54" s="2" t="s">
        <v>555</v>
      </c>
      <c r="B54" s="284" t="s">
        <v>556</v>
      </c>
      <c r="G54" s="19"/>
      <c r="H54" s="29"/>
      <c r="I54" s="29"/>
      <c r="J54" s="285">
        <f>SUM(J55:J58)</f>
        <v>157.27704787228305</v>
      </c>
      <c r="K54" s="29"/>
    </row>
    <row r="55" spans="1:17">
      <c r="A55" t="s">
        <v>557</v>
      </c>
      <c r="B55" s="21" t="s">
        <v>558</v>
      </c>
      <c r="G55" s="19" t="s">
        <v>203</v>
      </c>
      <c r="H55" s="29">
        <f>'Estructura 1'!G14</f>
        <v>0.11687500000000001</v>
      </c>
      <c r="I55" s="29">
        <f>'APU ESTRUCTURAS'!K655</f>
        <v>396.88173599999999</v>
      </c>
      <c r="J55" s="29">
        <f t="shared" si="0"/>
        <v>46.385552895000004</v>
      </c>
      <c r="K55" s="29"/>
    </row>
    <row r="56" spans="1:17">
      <c r="A56" t="s">
        <v>559</v>
      </c>
      <c r="B56" s="21" t="s">
        <v>560</v>
      </c>
      <c r="G56" s="19" t="s">
        <v>133</v>
      </c>
      <c r="H56" s="29">
        <f>'Estructura 1'!G15</f>
        <v>1.2813643292682928</v>
      </c>
      <c r="I56" s="29">
        <f>'APU ESTRUCTURAS'!K680</f>
        <v>43.476599999999998</v>
      </c>
      <c r="J56" s="29">
        <f t="shared" si="0"/>
        <v>55.709364397865855</v>
      </c>
      <c r="K56" s="29"/>
      <c r="Q56" s="8"/>
    </row>
    <row r="57" spans="1:17">
      <c r="A57" t="s">
        <v>561</v>
      </c>
      <c r="B57" s="21" t="s">
        <v>562</v>
      </c>
      <c r="G57" s="19" t="s">
        <v>296</v>
      </c>
      <c r="H57" s="29">
        <f>'Estructura 1'!G16</f>
        <v>5.2593750000000004</v>
      </c>
      <c r="I57" s="29">
        <f>'APU ESTRUCTURAS'!K697</f>
        <v>5.4833634845000008</v>
      </c>
      <c r="J57" s="29">
        <f t="shared" si="0"/>
        <v>28.839064826292194</v>
      </c>
      <c r="K57" s="29"/>
      <c r="P57" s="2"/>
      <c r="Q57" s="8"/>
    </row>
    <row r="58" spans="1:17">
      <c r="A58" t="s">
        <v>563</v>
      </c>
      <c r="B58" s="21" t="s">
        <v>564</v>
      </c>
      <c r="G58" s="19" t="s">
        <v>565</v>
      </c>
      <c r="H58" s="29">
        <f>'Estructura 1'!G17</f>
        <v>9.7006250000000005</v>
      </c>
      <c r="I58" s="29">
        <f>'APU ESTRUCTURAS'!K713</f>
        <v>2.715605</v>
      </c>
      <c r="J58" s="29">
        <f t="shared" si="0"/>
        <v>26.343065753125003</v>
      </c>
      <c r="K58" s="29"/>
      <c r="Q58" s="8"/>
    </row>
    <row r="59" spans="1:17">
      <c r="A59" s="2" t="s">
        <v>566</v>
      </c>
      <c r="B59" s="284" t="s">
        <v>567</v>
      </c>
      <c r="G59" s="19"/>
      <c r="H59" s="29"/>
      <c r="I59" s="29"/>
      <c r="J59" s="285">
        <f>SUM(J60:J62)</f>
        <v>91.545318578782584</v>
      </c>
      <c r="K59" s="29"/>
      <c r="Q59" s="8"/>
    </row>
    <row r="60" spans="1:17">
      <c r="A60" t="s">
        <v>568</v>
      </c>
      <c r="B60" s="21" t="s">
        <v>569</v>
      </c>
      <c r="C60" s="21"/>
      <c r="G60" s="19" t="s">
        <v>203</v>
      </c>
      <c r="H60" s="29">
        <f>Escalera!D15</f>
        <v>5.8470194647201948E-2</v>
      </c>
      <c r="I60" s="29">
        <f>'APU ESTRUCTURAS'!K729</f>
        <v>471.73033999999996</v>
      </c>
      <c r="J60" s="29">
        <f t="shared" si="0"/>
        <v>27.582164800790753</v>
      </c>
      <c r="K60" s="29"/>
      <c r="Q60" s="8"/>
    </row>
    <row r="61" spans="1:17">
      <c r="A61" t="s">
        <v>570</v>
      </c>
      <c r="B61" s="21" t="s">
        <v>571</v>
      </c>
      <c r="C61" s="21"/>
      <c r="G61" s="19" t="s">
        <v>133</v>
      </c>
      <c r="H61" s="29">
        <f>Escalera!D16</f>
        <v>0.23380474452554742</v>
      </c>
      <c r="I61" s="29">
        <f>'APU ESTRUCTURAS'!K754</f>
        <v>67.948066666666662</v>
      </c>
      <c r="J61" s="29">
        <f t="shared" si="0"/>
        <v>15.886580368004864</v>
      </c>
      <c r="K61" s="29"/>
      <c r="Q61" s="8"/>
    </row>
    <row r="62" spans="1:17">
      <c r="A62" t="s">
        <v>572</v>
      </c>
      <c r="B62" s="21" t="s">
        <v>573</v>
      </c>
      <c r="C62" s="21"/>
      <c r="G62" s="19" t="s">
        <v>296</v>
      </c>
      <c r="H62" s="29">
        <f>Escalera!D17</f>
        <v>8.7677159367396591</v>
      </c>
      <c r="I62" s="29">
        <f>'APU ESTRUCTURAS'!K771</f>
        <v>5.4833634845000008</v>
      </c>
      <c r="J62" s="29">
        <f t="shared" si="0"/>
        <v>48.076573409986963</v>
      </c>
      <c r="K62" s="29"/>
      <c r="P62" s="2"/>
      <c r="Q62" s="8"/>
    </row>
    <row r="63" spans="1:17">
      <c r="A63" s="2" t="s">
        <v>574</v>
      </c>
      <c r="B63" s="284" t="s">
        <v>575</v>
      </c>
      <c r="G63" s="19"/>
      <c r="H63" s="29"/>
      <c r="I63" s="29"/>
      <c r="J63" s="285">
        <f>SUM(J64:J66)</f>
        <v>140.26666968030477</v>
      </c>
      <c r="K63" s="29"/>
      <c r="Q63" s="8"/>
    </row>
    <row r="64" spans="1:17">
      <c r="A64" t="s">
        <v>576</v>
      </c>
      <c r="B64" s="21" t="s">
        <v>577</v>
      </c>
      <c r="C64" s="21"/>
      <c r="G64" s="19" t="s">
        <v>203</v>
      </c>
      <c r="H64" s="29">
        <f>'Estructura 1'!G19</f>
        <v>0.08</v>
      </c>
      <c r="I64" s="29">
        <f>'APU ESTRUCTURAS'!K787</f>
        <v>402.68478666666664</v>
      </c>
      <c r="J64" s="29">
        <f t="shared" si="0"/>
        <v>32.214782933333332</v>
      </c>
      <c r="K64" s="29"/>
      <c r="Q64" s="8"/>
    </row>
    <row r="65" spans="1:17">
      <c r="A65" t="s">
        <v>578</v>
      </c>
      <c r="B65" s="21" t="s">
        <v>579</v>
      </c>
      <c r="C65" s="21"/>
      <c r="G65" s="19" t="s">
        <v>133</v>
      </c>
      <c r="H65" s="29">
        <f>'Estructura 1'!G20</f>
        <v>0.96099999999999997</v>
      </c>
      <c r="I65" s="29">
        <f>'APU ESTRUCTURAS'!K808</f>
        <v>47.59157428571428</v>
      </c>
      <c r="J65" s="29">
        <f t="shared" si="0"/>
        <v>45.735502888571425</v>
      </c>
      <c r="K65" s="29"/>
      <c r="Q65" s="8"/>
    </row>
    <row r="66" spans="1:17">
      <c r="A66" t="s">
        <v>580</v>
      </c>
      <c r="B66" s="21" t="s">
        <v>581</v>
      </c>
      <c r="C66" s="21"/>
      <c r="G66" s="19" t="s">
        <v>296</v>
      </c>
      <c r="H66" s="29">
        <f>'Estructura 1'!G21</f>
        <v>11.200000000000001</v>
      </c>
      <c r="I66" s="29">
        <f>'APU ESTRUCTURAS'!K825</f>
        <v>5.5639628445000007</v>
      </c>
      <c r="J66" s="29">
        <f t="shared" si="0"/>
        <v>62.316383858400016</v>
      </c>
      <c r="K66" s="29"/>
      <c r="P66" s="2"/>
      <c r="Q66" s="8"/>
    </row>
    <row r="67" spans="1:17">
      <c r="A67" s="2" t="s">
        <v>582</v>
      </c>
      <c r="B67" s="284" t="s">
        <v>583</v>
      </c>
      <c r="G67" s="19"/>
      <c r="H67" s="29"/>
      <c r="I67" s="29"/>
      <c r="J67" s="285">
        <f>SUM(J68:J70)</f>
        <v>486.68667728721834</v>
      </c>
      <c r="K67" s="29"/>
    </row>
    <row r="68" spans="1:17">
      <c r="A68" t="s">
        <v>584</v>
      </c>
      <c r="B68" t="s">
        <v>585</v>
      </c>
      <c r="G68" s="19" t="s">
        <v>203</v>
      </c>
      <c r="H68" s="29">
        <f>Escalera!D19</f>
        <v>0.25117244525547444</v>
      </c>
      <c r="I68" s="29">
        <f>'APU ESTRUCTURAS'!K841</f>
        <v>554.63709333333338</v>
      </c>
      <c r="J68" s="29">
        <f t="shared" si="0"/>
        <v>139.30955496192215</v>
      </c>
      <c r="K68" s="29"/>
    </row>
    <row r="69" spans="1:17">
      <c r="A69" t="s">
        <v>586</v>
      </c>
      <c r="B69" t="s">
        <v>587</v>
      </c>
      <c r="G69" s="19" t="s">
        <v>133</v>
      </c>
      <c r="H69" s="29">
        <f>Escalera!D20</f>
        <v>1.8715024330900241</v>
      </c>
      <c r="I69" s="29">
        <f>'APU ESTRUCTURAS'!K865</f>
        <v>111.80536417910447</v>
      </c>
      <c r="J69" s="29">
        <f t="shared" si="0"/>
        <v>209.24401109371024</v>
      </c>
      <c r="K69" s="29"/>
      <c r="Q69" s="8"/>
    </row>
    <row r="70" spans="1:17">
      <c r="A70" t="s">
        <v>588</v>
      </c>
      <c r="B70" t="s">
        <v>589</v>
      </c>
      <c r="G70" s="19" t="s">
        <v>296</v>
      </c>
      <c r="H70" s="29">
        <f>Escalera!D21</f>
        <v>25.117244525547445</v>
      </c>
      <c r="I70" s="29">
        <f>'APU ESTRUCTURAS'!K882</f>
        <v>5.4995328445</v>
      </c>
      <c r="J70" s="29">
        <f t="shared" si="0"/>
        <v>138.13311123158599</v>
      </c>
      <c r="K70" s="29"/>
      <c r="P70" s="2"/>
      <c r="Q70" s="8"/>
    </row>
    <row r="71" spans="1:17">
      <c r="A71" s="2">
        <v>2.04</v>
      </c>
      <c r="B71" s="234" t="s">
        <v>590</v>
      </c>
      <c r="G71" s="19"/>
      <c r="H71" s="29"/>
      <c r="I71" s="29"/>
      <c r="J71" s="235">
        <f>J72+J81+J90+J97+J103+J105+J110</f>
        <v>66140.55394219837</v>
      </c>
      <c r="K71" s="29"/>
      <c r="N71" s="29"/>
      <c r="Q71" s="8"/>
    </row>
    <row r="72" spans="1:17">
      <c r="A72" s="2" t="s">
        <v>591</v>
      </c>
      <c r="B72" s="284" t="s">
        <v>75</v>
      </c>
      <c r="G72" s="19"/>
      <c r="H72" s="29"/>
      <c r="I72" s="29"/>
      <c r="J72" s="285">
        <f>SUM(J73:J80)</f>
        <v>1280.2195841600005</v>
      </c>
      <c r="K72" s="29"/>
      <c r="Q72" s="8"/>
    </row>
    <row r="73" spans="1:17">
      <c r="A73" t="s">
        <v>592</v>
      </c>
      <c r="B73" t="s">
        <v>593</v>
      </c>
      <c r="G73" s="19" t="s">
        <v>133</v>
      </c>
      <c r="H73" s="29">
        <f>'Obras exteriores '!D13</f>
        <v>2.2000000000000002</v>
      </c>
      <c r="I73" s="29">
        <f>'APU ESTRUCTURAS'!K899</f>
        <v>445.66922400000004</v>
      </c>
      <c r="J73" s="29">
        <f t="shared" si="0"/>
        <v>980.47229280000022</v>
      </c>
      <c r="K73" s="29"/>
      <c r="Q73" s="8"/>
    </row>
    <row r="74" spans="1:17">
      <c r="A74" t="s">
        <v>594</v>
      </c>
      <c r="B74" t="s">
        <v>595</v>
      </c>
      <c r="G74" s="19" t="s">
        <v>203</v>
      </c>
      <c r="H74" s="29">
        <f>'Obras exteriores '!D14</f>
        <v>0.14399999999999999</v>
      </c>
      <c r="I74" s="29">
        <f>'APU ESTRUCTURAS'!K918</f>
        <v>445.66922400000004</v>
      </c>
      <c r="J74" s="29">
        <f t="shared" si="0"/>
        <v>64.176368256000003</v>
      </c>
      <c r="K74" s="29"/>
      <c r="P74" s="2"/>
      <c r="Q74" s="8"/>
    </row>
    <row r="75" spans="1:17">
      <c r="A75" t="s">
        <v>596</v>
      </c>
      <c r="B75" t="s">
        <v>597</v>
      </c>
      <c r="G75" s="19" t="s">
        <v>133</v>
      </c>
      <c r="H75" s="29">
        <f>'Obras exteriores '!D15</f>
        <v>0.76600000000000001</v>
      </c>
      <c r="I75" s="29">
        <f>'APU ESTRUCTURAS'!K937</f>
        <v>118.01356480000003</v>
      </c>
      <c r="J75" s="29">
        <f t="shared" si="0"/>
        <v>90.398390636800016</v>
      </c>
      <c r="K75" s="29"/>
      <c r="L75" s="29"/>
      <c r="P75" s="2"/>
      <c r="Q75" s="8"/>
    </row>
    <row r="76" spans="1:17">
      <c r="A76" t="s">
        <v>598</v>
      </c>
      <c r="B76" t="s">
        <v>599</v>
      </c>
      <c r="G76" s="19" t="s">
        <v>203</v>
      </c>
      <c r="H76" s="29">
        <f>'Obras exteriores '!D16</f>
        <v>8.0000000000000002E-3</v>
      </c>
      <c r="I76" s="29">
        <f>'APU ESTRUCTURAS'!K956</f>
        <v>358</v>
      </c>
      <c r="J76" s="29">
        <f t="shared" si="0"/>
        <v>2.8639999999999999</v>
      </c>
      <c r="K76" s="29"/>
      <c r="L76" s="29"/>
      <c r="Q76" s="8"/>
    </row>
    <row r="77" spans="1:17">
      <c r="A77" t="s">
        <v>600</v>
      </c>
      <c r="B77" t="s">
        <v>601</v>
      </c>
      <c r="G77" s="19" t="s">
        <v>133</v>
      </c>
      <c r="H77" s="29">
        <f>'Obras exteriores '!D17</f>
        <v>10</v>
      </c>
      <c r="I77" s="29">
        <f>'APU ESTRUCTURAS'!K963</f>
        <v>2.9418735999999996</v>
      </c>
      <c r="J77" s="29">
        <f t="shared" si="0"/>
        <v>29.418735999999996</v>
      </c>
      <c r="K77" s="29"/>
      <c r="Q77" s="8"/>
    </row>
    <row r="78" spans="1:17">
      <c r="A78" t="s">
        <v>602</v>
      </c>
      <c r="B78" t="s">
        <v>603</v>
      </c>
      <c r="G78" s="19" t="s">
        <v>144</v>
      </c>
      <c r="H78" s="29">
        <f>'Obras exteriores '!D18</f>
        <v>1.6070000000000002</v>
      </c>
      <c r="I78" s="29">
        <f>'APU ESTRUCTURAS'!K976</f>
        <v>19.238683200000001</v>
      </c>
      <c r="J78" s="29">
        <f t="shared" si="0"/>
        <v>30.916563902400004</v>
      </c>
      <c r="K78" s="29"/>
      <c r="Q78" s="8"/>
    </row>
    <row r="79" spans="1:17">
      <c r="A79" t="s">
        <v>604</v>
      </c>
      <c r="B79" t="s">
        <v>605</v>
      </c>
      <c r="G79" s="19" t="s">
        <v>144</v>
      </c>
      <c r="H79" s="29">
        <f>'Obras exteriores '!D19</f>
        <v>1.8890000000000002</v>
      </c>
      <c r="I79" s="29">
        <f>'APU ESTRUCTURAS'!K991</f>
        <v>19.238683200000001</v>
      </c>
      <c r="J79" s="29">
        <f t="shared" si="0"/>
        <v>36.341872564800006</v>
      </c>
      <c r="K79" s="29"/>
    </row>
    <row r="80" spans="1:17">
      <c r="A80" t="s">
        <v>606</v>
      </c>
      <c r="B80" t="s">
        <v>607</v>
      </c>
      <c r="G80" s="19" t="s">
        <v>144</v>
      </c>
      <c r="H80" s="29">
        <f>'Obras exteriores '!D20</f>
        <v>7.400000000000001E-2</v>
      </c>
      <c r="I80" s="29">
        <f>'APU ESTRUCTURAS'!K1006</f>
        <v>616.64</v>
      </c>
      <c r="J80" s="29">
        <f t="shared" si="0"/>
        <v>45.631360000000008</v>
      </c>
      <c r="K80" s="29"/>
    </row>
    <row r="81" spans="1:16">
      <c r="A81" s="2" t="s">
        <v>608</v>
      </c>
      <c r="B81" s="284" t="s">
        <v>108</v>
      </c>
      <c r="G81" s="19"/>
      <c r="H81" s="29"/>
      <c r="I81" s="29"/>
      <c r="J81" s="285">
        <f>SUM(J82:J89)</f>
        <v>1280.2195841600005</v>
      </c>
      <c r="K81" s="29"/>
    </row>
    <row r="82" spans="1:16">
      <c r="A82" t="s">
        <v>609</v>
      </c>
      <c r="B82" t="s">
        <v>610</v>
      </c>
      <c r="G82" s="19" t="s">
        <v>133</v>
      </c>
      <c r="H82" s="29">
        <f>'Obras exteriores '!D29</f>
        <v>2.2000000000000002</v>
      </c>
      <c r="I82" s="29">
        <f>'APU ESTRUCTURAS'!K1013</f>
        <v>445.66922400000004</v>
      </c>
      <c r="J82" s="29">
        <f>H82*I82</f>
        <v>980.47229280000022</v>
      </c>
      <c r="K82" s="29"/>
    </row>
    <row r="83" spans="1:16">
      <c r="A83" t="s">
        <v>611</v>
      </c>
      <c r="B83" t="s">
        <v>595</v>
      </c>
      <c r="G83" s="19" t="s">
        <v>203</v>
      </c>
      <c r="H83" s="29">
        <f>'Obras exteriores '!D30</f>
        <v>0.14399999999999999</v>
      </c>
      <c r="I83" s="29">
        <f>'APU ESTRUCTURAS'!K1032</f>
        <v>445.66922400000004</v>
      </c>
      <c r="J83" s="29">
        <f>H83*I83</f>
        <v>64.176368256000003</v>
      </c>
      <c r="K83" s="29"/>
    </row>
    <row r="84" spans="1:16">
      <c r="A84" t="s">
        <v>612</v>
      </c>
      <c r="B84" t="s">
        <v>597</v>
      </c>
      <c r="G84" s="19" t="s">
        <v>133</v>
      </c>
      <c r="H84" s="29">
        <f>'Obras exteriores '!D31</f>
        <v>0.76600000000000001</v>
      </c>
      <c r="I84" s="29">
        <f>'APU ESTRUCTURAS'!K1051</f>
        <v>118.01356480000003</v>
      </c>
      <c r="J84" s="29">
        <f>H84*I84</f>
        <v>90.398390636800016</v>
      </c>
      <c r="K84" s="29"/>
      <c r="P84" s="2"/>
    </row>
    <row r="85" spans="1:16">
      <c r="A85" t="s">
        <v>613</v>
      </c>
      <c r="B85" t="s">
        <v>599</v>
      </c>
      <c r="G85" s="19" t="s">
        <v>203</v>
      </c>
      <c r="H85" s="29">
        <f>'Obras exteriores '!D32</f>
        <v>8.0000000000000002E-3</v>
      </c>
      <c r="I85" s="29">
        <f>'APU ESTRUCTURAS'!K1070</f>
        <v>358</v>
      </c>
      <c r="J85" s="29">
        <f>H85*I85</f>
        <v>2.8639999999999999</v>
      </c>
      <c r="K85" s="29"/>
    </row>
    <row r="86" spans="1:16">
      <c r="A86" t="s">
        <v>614</v>
      </c>
      <c r="B86" t="s">
        <v>601</v>
      </c>
      <c r="G86" s="19" t="s">
        <v>133</v>
      </c>
      <c r="H86" s="29">
        <f>'Obras exteriores '!D33</f>
        <v>10</v>
      </c>
      <c r="I86" s="29">
        <f>'APU ESTRUCTURAS'!K1077</f>
        <v>2.9418735999999996</v>
      </c>
      <c r="J86" s="29">
        <f>H86*I86</f>
        <v>29.418735999999996</v>
      </c>
      <c r="K86" s="29"/>
    </row>
    <row r="87" spans="1:16">
      <c r="A87" t="s">
        <v>615</v>
      </c>
      <c r="B87" t="s">
        <v>603</v>
      </c>
      <c r="G87" s="19" t="s">
        <v>144</v>
      </c>
      <c r="H87" s="29">
        <f>'Obras exteriores '!D34</f>
        <v>1.6070000000000002</v>
      </c>
      <c r="I87" s="29">
        <f>'APU ESTRUCTURAS'!K1090</f>
        <v>19.238683200000001</v>
      </c>
      <c r="J87" s="29">
        <f>H87*I87</f>
        <v>30.916563902400004</v>
      </c>
      <c r="K87" s="29"/>
    </row>
    <row r="88" spans="1:16">
      <c r="A88" t="s">
        <v>616</v>
      </c>
      <c r="B88" t="s">
        <v>605</v>
      </c>
      <c r="G88" s="19" t="s">
        <v>144</v>
      </c>
      <c r="H88" s="29">
        <f>'Obras exteriores '!D35</f>
        <v>1.8890000000000002</v>
      </c>
      <c r="I88" s="29">
        <f>'APU ESTRUCTURAS'!K1105</f>
        <v>19.238683200000001</v>
      </c>
      <c r="J88" s="29">
        <f>H88*I88</f>
        <v>36.341872564800006</v>
      </c>
      <c r="K88" s="29"/>
    </row>
    <row r="89" spans="1:16">
      <c r="A89" t="s">
        <v>617</v>
      </c>
      <c r="B89" t="s">
        <v>607</v>
      </c>
      <c r="G89" s="19" t="s">
        <v>144</v>
      </c>
      <c r="H89" s="29">
        <f>'Obras exteriores '!D36</f>
        <v>7.400000000000001E-2</v>
      </c>
      <c r="I89" s="29">
        <f>'APU ESTRUCTURAS'!K1120</f>
        <v>616.64</v>
      </c>
      <c r="J89" s="29">
        <f>H89*I89</f>
        <v>45.631360000000008</v>
      </c>
      <c r="K89" s="29"/>
    </row>
    <row r="90" spans="1:16">
      <c r="A90" s="2" t="s">
        <v>618</v>
      </c>
      <c r="B90" s="284" t="s">
        <v>80</v>
      </c>
      <c r="G90" s="19"/>
      <c r="H90" s="29"/>
      <c r="I90" s="29"/>
      <c r="J90" s="285">
        <f>SUM(J91:J96)</f>
        <v>932.89119825920011</v>
      </c>
      <c r="K90" s="29"/>
    </row>
    <row r="91" spans="1:16">
      <c r="A91" t="s">
        <v>619</v>
      </c>
      <c r="B91" t="s">
        <v>620</v>
      </c>
      <c r="C91" s="209"/>
      <c r="G91" s="19" t="s">
        <v>133</v>
      </c>
      <c r="H91" s="29">
        <f>'Obras exteriores '!D47</f>
        <v>1.2</v>
      </c>
      <c r="I91" s="29">
        <f>'APU ESTRUCTURAS'!K1127</f>
        <v>447.90066880000001</v>
      </c>
      <c r="J91" s="29">
        <f>H91*I91</f>
        <v>537.48080256000003</v>
      </c>
      <c r="K91" s="29"/>
    </row>
    <row r="92" spans="1:16">
      <c r="A92" t="s">
        <v>621</v>
      </c>
      <c r="B92" t="s">
        <v>622</v>
      </c>
      <c r="C92" s="209"/>
      <c r="G92" s="19" t="s">
        <v>203</v>
      </c>
      <c r="H92" s="29">
        <f>'Obras exteriores '!D48</f>
        <v>0.14000000000000001</v>
      </c>
      <c r="I92" s="29">
        <f>'APU ESTRUCTURAS'!K1146</f>
        <v>447.90066880000001</v>
      </c>
      <c r="J92" s="29">
        <f>H92*I92</f>
        <v>62.706093632000005</v>
      </c>
      <c r="K92" s="29"/>
    </row>
    <row r="93" spans="1:16">
      <c r="A93" t="s">
        <v>623</v>
      </c>
      <c r="B93" t="s">
        <v>597</v>
      </c>
      <c r="C93" s="232"/>
      <c r="G93" s="19" t="s">
        <v>133</v>
      </c>
      <c r="H93" s="29">
        <f>'Obras exteriores '!D49</f>
        <v>2</v>
      </c>
      <c r="I93" s="29">
        <f>'APU ESTRUCTURAS'!K1165</f>
        <v>118.01356480000003</v>
      </c>
      <c r="J93" s="29">
        <f>H93*I93</f>
        <v>236.02712960000005</v>
      </c>
      <c r="K93" s="29"/>
      <c r="P93" s="2"/>
    </row>
    <row r="94" spans="1:16">
      <c r="A94" t="s">
        <v>624</v>
      </c>
      <c r="B94" t="s">
        <v>601</v>
      </c>
      <c r="C94" s="232"/>
      <c r="G94" s="19" t="s">
        <v>133</v>
      </c>
      <c r="H94" s="29">
        <f>'Obras exteriores '!D50</f>
        <v>10</v>
      </c>
      <c r="I94" s="29">
        <f>'APU ESTRUCTURAS'!K1184</f>
        <v>2.9418735999999996</v>
      </c>
      <c r="J94" s="29">
        <f>H94*I94</f>
        <v>29.418735999999996</v>
      </c>
      <c r="K94" s="29"/>
    </row>
    <row r="95" spans="1:16">
      <c r="A95" t="s">
        <v>625</v>
      </c>
      <c r="B95" t="s">
        <v>603</v>
      </c>
      <c r="C95" s="232"/>
      <c r="G95" s="19" t="s">
        <v>144</v>
      </c>
      <c r="H95" s="29">
        <f>'Obras exteriores '!D52</f>
        <v>1.6070000000000002</v>
      </c>
      <c r="I95" s="29">
        <f>'APU ESTRUCTURAS'!K1197</f>
        <v>19.238683200000001</v>
      </c>
      <c r="J95" s="29">
        <f>H95*I95</f>
        <v>30.916563902400004</v>
      </c>
      <c r="K95" s="29"/>
    </row>
    <row r="96" spans="1:16">
      <c r="A96" t="s">
        <v>626</v>
      </c>
      <c r="B96" t="s">
        <v>605</v>
      </c>
      <c r="C96" s="232"/>
      <c r="G96" s="19" t="s">
        <v>144</v>
      </c>
      <c r="H96" s="29">
        <f>'Obras exteriores '!D53</f>
        <v>1.8890000000000002</v>
      </c>
      <c r="I96" s="29">
        <f>'APU ESTRUCTURAS'!K1212</f>
        <v>19.238683200000001</v>
      </c>
      <c r="J96" s="29">
        <f>H96*I96</f>
        <v>36.341872564800006</v>
      </c>
      <c r="K96" s="29"/>
    </row>
    <row r="97" spans="1:16">
      <c r="A97" s="2" t="s">
        <v>627</v>
      </c>
      <c r="B97" s="284" t="s">
        <v>81</v>
      </c>
      <c r="G97" s="19"/>
      <c r="H97" s="29"/>
      <c r="I97" s="29"/>
      <c r="J97" s="285">
        <f>SUM(J98:J102)</f>
        <v>1163.1035254933715</v>
      </c>
      <c r="K97" s="29"/>
    </row>
    <row r="98" spans="1:16">
      <c r="A98" t="s">
        <v>628</v>
      </c>
      <c r="B98" t="s">
        <v>629</v>
      </c>
      <c r="G98" s="19" t="s">
        <v>133</v>
      </c>
      <c r="H98" s="29">
        <f>'Obras exteriores '!D61</f>
        <v>2.25</v>
      </c>
      <c r="I98" s="29">
        <f>'APU ESTRUCTURAS'!K1227</f>
        <v>84.674043333333344</v>
      </c>
      <c r="J98" s="29">
        <f>H98*I98</f>
        <v>190.51659750000002</v>
      </c>
      <c r="K98" s="29"/>
    </row>
    <row r="99" spans="1:16">
      <c r="A99" t="s">
        <v>630</v>
      </c>
      <c r="B99" t="s">
        <v>631</v>
      </c>
      <c r="G99" s="19" t="s">
        <v>296</v>
      </c>
      <c r="H99" s="29">
        <f>'Obras exteriores '!D62</f>
        <v>2</v>
      </c>
      <c r="I99" s="29">
        <f>'APU ESTRUCTURAS'!K1246</f>
        <v>7.5057997142857147</v>
      </c>
      <c r="J99" s="29">
        <f t="shared" ref="J99:J102" si="3">H99*I99</f>
        <v>15.011599428571429</v>
      </c>
      <c r="K99" s="29"/>
    </row>
    <row r="100" spans="1:16">
      <c r="A100" t="s">
        <v>632</v>
      </c>
      <c r="B100" t="s">
        <v>601</v>
      </c>
      <c r="G100" s="19" t="s">
        <v>133</v>
      </c>
      <c r="H100" s="29">
        <f>'Obras exteriores '!D63</f>
        <v>10</v>
      </c>
      <c r="I100" s="29">
        <f>'APU ESTRUCTURAS'!K1262</f>
        <v>2.9418735999999996</v>
      </c>
      <c r="J100" s="29">
        <f t="shared" si="3"/>
        <v>29.418735999999996</v>
      </c>
      <c r="K100" s="29"/>
      <c r="P100" s="2"/>
    </row>
    <row r="101" spans="1:16">
      <c r="A101" t="s">
        <v>633</v>
      </c>
      <c r="B101" t="s">
        <v>634</v>
      </c>
      <c r="G101" s="19" t="s">
        <v>203</v>
      </c>
      <c r="H101" s="29">
        <f>'Obras exteriores '!D64</f>
        <v>2</v>
      </c>
      <c r="I101" s="29">
        <f>'APU ESTRUCTURAS'!K1275</f>
        <v>445.90736000000004</v>
      </c>
      <c r="J101" s="29">
        <f t="shared" si="3"/>
        <v>891.81472000000008</v>
      </c>
      <c r="K101" s="29"/>
    </row>
    <row r="102" spans="1:16">
      <c r="A102" t="s">
        <v>635</v>
      </c>
      <c r="B102" t="s">
        <v>605</v>
      </c>
      <c r="G102" s="19" t="s">
        <v>144</v>
      </c>
      <c r="H102" s="29">
        <f>'Obras exteriores '!D65</f>
        <v>1.8890000000000002</v>
      </c>
      <c r="I102" s="29">
        <f>'APU ESTRUCTURAS'!K1294</f>
        <v>19.238683200000001</v>
      </c>
      <c r="J102" s="29">
        <f t="shared" si="3"/>
        <v>36.341872564800006</v>
      </c>
      <c r="K102" s="29"/>
    </row>
    <row r="103" spans="1:16">
      <c r="A103" s="2" t="s">
        <v>636</v>
      </c>
      <c r="B103" s="284" t="s">
        <v>83</v>
      </c>
      <c r="G103" s="19"/>
      <c r="H103" s="29"/>
      <c r="I103" s="29"/>
      <c r="J103" s="285">
        <f>SUM(J104)</f>
        <v>69.41</v>
      </c>
      <c r="K103" s="29"/>
    </row>
    <row r="104" spans="1:16">
      <c r="A104" t="s">
        <v>637</v>
      </c>
      <c r="B104" t="s">
        <v>83</v>
      </c>
      <c r="G104" s="19" t="s">
        <v>565</v>
      </c>
      <c r="H104" s="29">
        <f>'Obras exteriores '!D68</f>
        <v>1</v>
      </c>
      <c r="I104" s="29">
        <f>'APU ESTRUCTURAS'!K1309</f>
        <v>69.41</v>
      </c>
      <c r="J104" s="29">
        <f>H104*I104</f>
        <v>69.41</v>
      </c>
      <c r="K104" s="29"/>
    </row>
    <row r="105" spans="1:16">
      <c r="A105" s="2" t="s">
        <v>638</v>
      </c>
      <c r="B105" s="284" t="s">
        <v>639</v>
      </c>
      <c r="G105" s="19"/>
      <c r="H105" s="29"/>
      <c r="I105" s="29"/>
      <c r="J105" s="285">
        <f>SUM(J106:J109)</f>
        <v>31834.121942959602</v>
      </c>
      <c r="K105" s="29"/>
    </row>
    <row r="106" spans="1:16">
      <c r="A106" t="s">
        <v>640</v>
      </c>
      <c r="B106" t="s">
        <v>641</v>
      </c>
      <c r="G106" s="19" t="s">
        <v>144</v>
      </c>
      <c r="H106" s="29">
        <f>'Obras exteriores '!D83</f>
        <v>10</v>
      </c>
      <c r="I106" s="29">
        <f>'APU ESTRUCTURAS'!K1316</f>
        <v>1489.7348144000002</v>
      </c>
      <c r="J106" s="29">
        <f>H106*I106</f>
        <v>14897.348144000003</v>
      </c>
      <c r="K106" s="29"/>
      <c r="P106" s="2"/>
    </row>
    <row r="107" spans="1:16">
      <c r="A107" t="s">
        <v>642</v>
      </c>
      <c r="B107" t="s">
        <v>643</v>
      </c>
      <c r="G107" s="19" t="s">
        <v>144</v>
      </c>
      <c r="H107" s="29">
        <f>'Obras exteriores '!D84</f>
        <v>10</v>
      </c>
      <c r="I107" s="29">
        <f>'APU ESTRUCTURAS'!K1325</f>
        <v>1583.5817403999999</v>
      </c>
      <c r="J107" s="29">
        <f>H107*I107</f>
        <v>15835.817403999999</v>
      </c>
      <c r="K107" s="29"/>
    </row>
    <row r="108" spans="1:16">
      <c r="A108" t="s">
        <v>644</v>
      </c>
      <c r="B108" t="s">
        <v>645</v>
      </c>
      <c r="G108" s="19" t="s">
        <v>144</v>
      </c>
      <c r="H108" s="29">
        <f>'Obras exteriores '!D85</f>
        <v>10</v>
      </c>
      <c r="I108" s="29">
        <f>'APU ESTRUCTURAS'!K1335</f>
        <v>107.84565577777778</v>
      </c>
      <c r="J108" s="29">
        <f>H108*I108</f>
        <v>1078.4565577777778</v>
      </c>
      <c r="K108" s="29"/>
      <c r="P108" s="2"/>
    </row>
    <row r="109" spans="1:16">
      <c r="A109" t="s">
        <v>646</v>
      </c>
      <c r="B109" t="s">
        <v>647</v>
      </c>
      <c r="G109" s="19" t="s">
        <v>144</v>
      </c>
      <c r="H109" s="29">
        <f>'Obras exteriores '!D87</f>
        <v>1.1931818181818201</v>
      </c>
      <c r="I109" s="29">
        <f>'APU ESTRUCTURAS'!K1472</f>
        <v>18.857006400000003</v>
      </c>
      <c r="J109" s="29">
        <f>H109*I109</f>
        <v>22.499837181818222</v>
      </c>
      <c r="K109" s="29"/>
    </row>
    <row r="110" spans="1:16">
      <c r="A110" s="2" t="s">
        <v>648</v>
      </c>
      <c r="B110" s="284" t="s">
        <v>85</v>
      </c>
      <c r="G110" s="19"/>
      <c r="H110" s="29"/>
      <c r="I110" s="29"/>
      <c r="J110" s="285">
        <f>SUM(J111)</f>
        <v>29580.58810716619</v>
      </c>
      <c r="K110" s="29"/>
    </row>
    <row r="111" spans="1:16">
      <c r="A111" t="s">
        <v>649</v>
      </c>
      <c r="B111" t="s">
        <v>85</v>
      </c>
      <c r="G111" s="19" t="s">
        <v>133</v>
      </c>
      <c r="H111" s="29">
        <f>'Obras exteriores '!D92</f>
        <v>1</v>
      </c>
      <c r="I111" s="29">
        <f>'APU ESTRUCTURAS'!K1488</f>
        <v>29580.58810716619</v>
      </c>
      <c r="J111" s="29">
        <f>H111*I111</f>
        <v>29580.58810716619</v>
      </c>
      <c r="K111" s="29"/>
    </row>
    <row r="112" spans="1:16">
      <c r="A112" s="8"/>
      <c r="H112" s="29"/>
      <c r="I112" s="29"/>
      <c r="J112" s="29"/>
      <c r="K112" s="29"/>
    </row>
    <row r="113" spans="8:16">
      <c r="H113" s="29"/>
      <c r="I113" s="29"/>
      <c r="J113" s="29"/>
      <c r="K113" s="29"/>
      <c r="P113" s="2"/>
    </row>
    <row r="114" spans="8:16">
      <c r="K114" s="2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A621-975F-4ABF-BC1D-4CDE77157FD9}">
  <sheetPr>
    <tabColor rgb="FFFF0000"/>
  </sheetPr>
  <dimension ref="A1:BE1497"/>
  <sheetViews>
    <sheetView workbookViewId="0">
      <selection activeCell="C547" sqref="C547"/>
    </sheetView>
  </sheetViews>
  <sheetFormatPr defaultRowHeight="15"/>
  <cols>
    <col min="3" max="3" width="13" customWidth="1"/>
    <col min="5" max="5" width="12.140625" customWidth="1"/>
    <col min="14" max="14" width="11.7109375" customWidth="1"/>
    <col min="16" max="16" width="16.140625" customWidth="1"/>
  </cols>
  <sheetData>
    <row r="1" spans="2:11">
      <c r="B1" s="2" t="s">
        <v>277</v>
      </c>
      <c r="C1" s="2" t="str">
        <f>ESTRUCTURA!A4</f>
        <v>02.01.01</v>
      </c>
      <c r="D1" s="2" t="s">
        <v>458</v>
      </c>
      <c r="E1" s="2"/>
    </row>
    <row r="2" spans="2:11">
      <c r="B2" s="2" t="s">
        <v>278</v>
      </c>
      <c r="C2" s="2" t="s">
        <v>416</v>
      </c>
      <c r="D2" s="4" t="s">
        <v>280</v>
      </c>
      <c r="E2" s="5">
        <v>250</v>
      </c>
      <c r="F2" s="4" t="s">
        <v>281</v>
      </c>
      <c r="G2" s="5">
        <f>E2</f>
        <v>250</v>
      </c>
      <c r="H2" s="2" t="s">
        <v>282</v>
      </c>
      <c r="J2" s="4" t="s">
        <v>203</v>
      </c>
      <c r="K2" s="6">
        <f>K8+K12</f>
        <v>8.4582044799999991</v>
      </c>
    </row>
    <row r="3" spans="2:11">
      <c r="B3" s="2" t="s">
        <v>283</v>
      </c>
      <c r="C3" s="2" t="s">
        <v>284</v>
      </c>
      <c r="G3" s="4" t="s">
        <v>122</v>
      </c>
      <c r="H3" s="4" t="s">
        <v>285</v>
      </c>
      <c r="I3" s="4" t="s">
        <v>286</v>
      </c>
      <c r="J3" s="4" t="s">
        <v>287</v>
      </c>
      <c r="K3" s="4" t="s">
        <v>288</v>
      </c>
    </row>
    <row r="4" spans="2:11">
      <c r="C4" s="7" t="s">
        <v>289</v>
      </c>
    </row>
    <row r="5" spans="2:11">
      <c r="C5" t="s">
        <v>650</v>
      </c>
      <c r="G5" s="8" t="s">
        <v>291</v>
      </c>
      <c r="H5" s="9">
        <v>0.1</v>
      </c>
      <c r="I5" s="10">
        <f>H5*8/$E$2</f>
        <v>3.2000000000000002E-3</v>
      </c>
      <c r="J5">
        <v>34.729999999999997</v>
      </c>
      <c r="K5" s="12">
        <f>I5*J5</f>
        <v>0.111136</v>
      </c>
    </row>
    <row r="6" spans="2:11">
      <c r="C6" t="s">
        <v>290</v>
      </c>
      <c r="G6" s="8" t="s">
        <v>291</v>
      </c>
      <c r="H6" s="9">
        <v>2</v>
      </c>
      <c r="I6" s="10">
        <f>H6*8/$E$2</f>
        <v>6.4000000000000001E-2</v>
      </c>
      <c r="J6" s="12">
        <v>28.94</v>
      </c>
      <c r="K6" s="12">
        <f>I6*J6</f>
        <v>1.85216</v>
      </c>
    </row>
    <row r="7" spans="2:11">
      <c r="C7" t="s">
        <v>293</v>
      </c>
      <c r="G7" s="8" t="s">
        <v>291</v>
      </c>
      <c r="H7" s="9">
        <v>1</v>
      </c>
      <c r="I7" s="10">
        <f>H7*8/$E$2</f>
        <v>3.2000000000000001E-2</v>
      </c>
      <c r="J7">
        <v>20.51</v>
      </c>
      <c r="K7" s="12">
        <f>I7*J7</f>
        <v>0.65632000000000001</v>
      </c>
    </row>
    <row r="8" spans="2:11">
      <c r="K8" s="6">
        <f>SUM(K5:K7)</f>
        <v>2.6196159999999997</v>
      </c>
    </row>
    <row r="9" spans="2:11">
      <c r="C9" s="7" t="s">
        <v>309</v>
      </c>
    </row>
    <row r="10" spans="2:11">
      <c r="C10" t="s">
        <v>310</v>
      </c>
      <c r="G10" s="8" t="s">
        <v>311</v>
      </c>
      <c r="I10" s="10">
        <v>3</v>
      </c>
      <c r="J10" s="12">
        <f>K8</f>
        <v>2.6196159999999997</v>
      </c>
      <c r="K10" s="12">
        <f>I10%*J10</f>
        <v>7.8588479999999988E-2</v>
      </c>
    </row>
    <row r="11" spans="2:11">
      <c r="C11" t="s">
        <v>651</v>
      </c>
      <c r="G11" s="8" t="s">
        <v>337</v>
      </c>
      <c r="H11" s="9">
        <v>1</v>
      </c>
      <c r="I11" s="10">
        <f>H11*8/$E$2</f>
        <v>3.2000000000000001E-2</v>
      </c>
      <c r="J11">
        <v>180</v>
      </c>
      <c r="K11" s="12">
        <f>I11*J11</f>
        <v>5.76</v>
      </c>
    </row>
    <row r="12" spans="2:11">
      <c r="B12" s="14"/>
      <c r="C12" s="14"/>
      <c r="D12" s="14"/>
      <c r="E12" s="14"/>
      <c r="F12" s="14"/>
      <c r="G12" s="14"/>
      <c r="H12" s="14"/>
      <c r="I12" s="14"/>
      <c r="J12" s="14"/>
      <c r="K12" s="16">
        <f>SUM(K10:K11)</f>
        <v>5.8385884799999994</v>
      </c>
    </row>
    <row r="13" spans="2:11">
      <c r="C13" s="7"/>
      <c r="G13" s="8"/>
      <c r="H13" s="9"/>
      <c r="I13" s="10"/>
    </row>
    <row r="14" spans="2:11">
      <c r="J14" s="12"/>
      <c r="K14" s="12"/>
    </row>
    <row r="15" spans="2:11">
      <c r="J15" s="2"/>
      <c r="K15" s="6"/>
    </row>
    <row r="17" spans="2:11">
      <c r="B17" s="2" t="s">
        <v>277</v>
      </c>
      <c r="C17" s="2" t="str">
        <f>ESTRUCTURA!A5</f>
        <v>02.01.02</v>
      </c>
      <c r="D17" s="2" t="s">
        <v>460</v>
      </c>
      <c r="E17" s="2"/>
    </row>
    <row r="18" spans="2:11">
      <c r="B18" s="2" t="s">
        <v>278</v>
      </c>
      <c r="C18" s="2" t="s">
        <v>416</v>
      </c>
      <c r="D18" s="4" t="s">
        <v>280</v>
      </c>
      <c r="E18" s="5">
        <v>4</v>
      </c>
      <c r="F18" s="4" t="s">
        <v>281</v>
      </c>
      <c r="G18" s="5">
        <f>E18</f>
        <v>4</v>
      </c>
      <c r="H18" s="2" t="s">
        <v>282</v>
      </c>
      <c r="J18" s="4" t="s">
        <v>203</v>
      </c>
      <c r="K18" s="6">
        <f>K23+K26</f>
        <v>49.404980000000002</v>
      </c>
    </row>
    <row r="19" spans="2:11">
      <c r="B19" s="2" t="s">
        <v>283</v>
      </c>
      <c r="C19" s="2" t="s">
        <v>284</v>
      </c>
      <c r="G19" s="4" t="s">
        <v>122</v>
      </c>
      <c r="H19" s="4" t="s">
        <v>285</v>
      </c>
      <c r="I19" s="4" t="s">
        <v>286</v>
      </c>
      <c r="J19" s="4" t="s">
        <v>287</v>
      </c>
      <c r="K19" s="4" t="s">
        <v>288</v>
      </c>
    </row>
    <row r="20" spans="2:11">
      <c r="C20" s="7" t="s">
        <v>289</v>
      </c>
    </row>
    <row r="21" spans="2:11">
      <c r="C21" t="s">
        <v>650</v>
      </c>
      <c r="G21" s="8" t="s">
        <v>291</v>
      </c>
      <c r="H21" s="9">
        <v>0.1</v>
      </c>
      <c r="I21" s="10">
        <f>H21*8/$E$18</f>
        <v>0.2</v>
      </c>
      <c r="J21">
        <v>34.729999999999997</v>
      </c>
      <c r="K21" s="12">
        <f>I21*J21</f>
        <v>6.9459999999999997</v>
      </c>
    </row>
    <row r="22" spans="2:11">
      <c r="C22" t="s">
        <v>293</v>
      </c>
      <c r="G22" s="8" t="s">
        <v>291</v>
      </c>
      <c r="H22" s="9">
        <v>1</v>
      </c>
      <c r="I22" s="10">
        <f>H22*8/$E$18</f>
        <v>2</v>
      </c>
      <c r="J22">
        <v>20.51</v>
      </c>
      <c r="K22" s="12">
        <f>I22*J22</f>
        <v>41.02</v>
      </c>
    </row>
    <row r="23" spans="2:11">
      <c r="G23" s="8"/>
      <c r="H23" s="9"/>
      <c r="I23" s="10"/>
      <c r="K23" s="6">
        <f>SUM(K21:K22)</f>
        <v>47.966000000000001</v>
      </c>
    </row>
    <row r="24" spans="2:11">
      <c r="C24" s="7" t="s">
        <v>309</v>
      </c>
    </row>
    <row r="25" spans="2:11">
      <c r="C25" t="s">
        <v>310</v>
      </c>
      <c r="G25" s="8" t="s">
        <v>311</v>
      </c>
      <c r="I25" s="10">
        <v>3</v>
      </c>
      <c r="J25" s="12">
        <f>K23</f>
        <v>47.966000000000001</v>
      </c>
      <c r="K25" s="12">
        <f>I25%*J25</f>
        <v>1.4389799999999999</v>
      </c>
    </row>
    <row r="26" spans="2:11">
      <c r="B26" s="14"/>
      <c r="C26" s="14"/>
      <c r="D26" s="14"/>
      <c r="E26" s="14"/>
      <c r="F26" s="14"/>
      <c r="G26" s="14"/>
      <c r="H26" s="14"/>
      <c r="I26" s="14"/>
      <c r="J26" s="15"/>
      <c r="K26" s="16">
        <f>SUM(K25)</f>
        <v>1.4389799999999999</v>
      </c>
    </row>
    <row r="28" spans="2:11">
      <c r="B28" s="2" t="s">
        <v>277</v>
      </c>
      <c r="C28" s="2" t="str">
        <f>ESTRUCTURA!A6</f>
        <v>02.01.03</v>
      </c>
      <c r="D28" s="2" t="s">
        <v>462</v>
      </c>
      <c r="E28" s="2"/>
    </row>
    <row r="29" spans="2:11">
      <c r="B29" s="2" t="s">
        <v>278</v>
      </c>
      <c r="C29" s="2" t="s">
        <v>416</v>
      </c>
      <c r="D29" s="4" t="s">
        <v>280</v>
      </c>
      <c r="E29" s="5">
        <v>30</v>
      </c>
      <c r="F29" s="4" t="s">
        <v>281</v>
      </c>
      <c r="G29" s="5">
        <f>E29</f>
        <v>30</v>
      </c>
      <c r="H29" s="2" t="s">
        <v>282</v>
      </c>
      <c r="J29" s="4" t="s">
        <v>203</v>
      </c>
      <c r="K29" s="6">
        <f>K35+K39+K43</f>
        <v>66.234217333333333</v>
      </c>
    </row>
    <row r="30" spans="2:11">
      <c r="B30" s="2" t="s">
        <v>283</v>
      </c>
      <c r="C30" s="2" t="s">
        <v>284</v>
      </c>
      <c r="G30" s="4" t="s">
        <v>122</v>
      </c>
      <c r="H30" s="4" t="s">
        <v>285</v>
      </c>
      <c r="I30" s="4" t="s">
        <v>286</v>
      </c>
      <c r="J30" s="4" t="s">
        <v>287</v>
      </c>
      <c r="K30" s="4" t="s">
        <v>288</v>
      </c>
    </row>
    <row r="31" spans="2:11">
      <c r="C31" s="7" t="s">
        <v>289</v>
      </c>
    </row>
    <row r="32" spans="2:11">
      <c r="C32" t="s">
        <v>650</v>
      </c>
      <c r="G32" s="8" t="s">
        <v>291</v>
      </c>
      <c r="H32" s="9">
        <v>0.1</v>
      </c>
      <c r="I32" s="10">
        <f>H32*8/$E$29</f>
        <v>2.6666666666666668E-2</v>
      </c>
      <c r="J32">
        <v>34.729999999999997</v>
      </c>
      <c r="K32" s="12">
        <f>I32*J32</f>
        <v>0.92613333333333336</v>
      </c>
    </row>
    <row r="33" spans="2:11">
      <c r="C33" t="s">
        <v>293</v>
      </c>
      <c r="G33" s="8" t="s">
        <v>291</v>
      </c>
      <c r="H33" s="9">
        <v>1</v>
      </c>
      <c r="I33" s="10">
        <f>H33*8/$E$29</f>
        <v>0.26666666666666666</v>
      </c>
      <c r="J33">
        <v>20.51</v>
      </c>
      <c r="K33" s="12">
        <f>I33*J33</f>
        <v>5.469333333333334</v>
      </c>
    </row>
    <row r="34" spans="2:11">
      <c r="C34" t="s">
        <v>652</v>
      </c>
      <c r="G34" s="8" t="s">
        <v>291</v>
      </c>
      <c r="H34" s="9">
        <v>1</v>
      </c>
      <c r="I34" s="10">
        <f>H34*8/$E$29</f>
        <v>0.26666666666666666</v>
      </c>
      <c r="J34">
        <v>29.94</v>
      </c>
      <c r="K34" s="12">
        <f>I34*J34</f>
        <v>7.984</v>
      </c>
    </row>
    <row r="35" spans="2:11">
      <c r="G35" s="8"/>
      <c r="H35" s="9"/>
      <c r="I35" s="10"/>
      <c r="K35" s="6">
        <f>SUM(K32:K34)</f>
        <v>14.379466666666668</v>
      </c>
    </row>
    <row r="36" spans="2:11">
      <c r="C36" s="7" t="s">
        <v>653</v>
      </c>
      <c r="G36" s="8"/>
      <c r="H36" s="9"/>
      <c r="I36" s="10"/>
      <c r="K36" s="12"/>
    </row>
    <row r="37" spans="2:11">
      <c r="C37" t="s">
        <v>654</v>
      </c>
      <c r="G37" s="8" t="s">
        <v>203</v>
      </c>
      <c r="H37" s="9"/>
      <c r="I37" s="10">
        <v>1.05</v>
      </c>
      <c r="J37" s="50">
        <v>44.07</v>
      </c>
      <c r="K37" s="12">
        <f>I37*J37</f>
        <v>46.273500000000006</v>
      </c>
    </row>
    <row r="38" spans="2:11">
      <c r="C38" t="s">
        <v>655</v>
      </c>
      <c r="G38" s="8" t="s">
        <v>203</v>
      </c>
      <c r="H38" s="9"/>
      <c r="I38" s="10">
        <v>0.08</v>
      </c>
      <c r="J38">
        <v>6.14</v>
      </c>
      <c r="K38" s="12">
        <f>I38*J38</f>
        <v>0.49119999999999997</v>
      </c>
    </row>
    <row r="39" spans="2:11">
      <c r="G39" s="8"/>
      <c r="I39" s="10"/>
      <c r="K39" s="6">
        <f>SUM(K37:K38)</f>
        <v>46.764700000000005</v>
      </c>
    </row>
    <row r="40" spans="2:11">
      <c r="C40" s="7" t="s">
        <v>309</v>
      </c>
    </row>
    <row r="41" spans="2:11">
      <c r="C41" t="s">
        <v>310</v>
      </c>
      <c r="G41" s="8" t="s">
        <v>311</v>
      </c>
      <c r="I41" s="10">
        <v>3</v>
      </c>
      <c r="J41" s="12">
        <f>K35</f>
        <v>14.379466666666668</v>
      </c>
      <c r="K41" s="12">
        <f>I41%*J41</f>
        <v>0.43138399999999999</v>
      </c>
    </row>
    <row r="42" spans="2:11">
      <c r="C42" t="s">
        <v>656</v>
      </c>
      <c r="G42" s="8" t="s">
        <v>337</v>
      </c>
      <c r="H42" s="9">
        <v>1</v>
      </c>
      <c r="I42" s="10">
        <f>H42*8/$E$29</f>
        <v>0.26666666666666666</v>
      </c>
      <c r="J42">
        <v>17.47</v>
      </c>
      <c r="K42" s="12">
        <f>I42*J42</f>
        <v>4.6586666666666661</v>
      </c>
    </row>
    <row r="43" spans="2:11">
      <c r="B43" s="14"/>
      <c r="C43" s="14"/>
      <c r="D43" s="14"/>
      <c r="E43" s="14"/>
      <c r="F43" s="14"/>
      <c r="G43" s="14"/>
      <c r="H43" s="14"/>
      <c r="I43" s="14"/>
      <c r="J43" s="15"/>
      <c r="K43" s="16">
        <f>SUM(K41:K42)</f>
        <v>5.0900506666666665</v>
      </c>
    </row>
    <row r="45" spans="2:11">
      <c r="B45" s="2" t="s">
        <v>277</v>
      </c>
      <c r="C45" s="2" t="str">
        <f>ESTRUCTURA!A7</f>
        <v>02.01.04</v>
      </c>
      <c r="D45" s="2" t="s">
        <v>464</v>
      </c>
      <c r="E45" s="2"/>
    </row>
    <row r="46" spans="2:11">
      <c r="B46" s="2" t="s">
        <v>278</v>
      </c>
      <c r="C46" s="2" t="s">
        <v>416</v>
      </c>
      <c r="D46" s="4" t="s">
        <v>280</v>
      </c>
      <c r="E46" s="5">
        <v>40</v>
      </c>
      <c r="F46" s="4" t="s">
        <v>281</v>
      </c>
      <c r="G46" s="5">
        <f>E46</f>
        <v>40</v>
      </c>
      <c r="H46" s="2" t="s">
        <v>282</v>
      </c>
      <c r="J46" s="4" t="s">
        <v>203</v>
      </c>
      <c r="K46" s="6">
        <f>K52+K60</f>
        <v>19.299630000000001</v>
      </c>
    </row>
    <row r="47" spans="2:11">
      <c r="B47" s="2" t="s">
        <v>283</v>
      </c>
      <c r="C47" s="2" t="s">
        <v>284</v>
      </c>
      <c r="G47" s="4" t="s">
        <v>122</v>
      </c>
      <c r="H47" s="4" t="s">
        <v>285</v>
      </c>
      <c r="I47" s="4" t="s">
        <v>286</v>
      </c>
      <c r="J47" s="4" t="s">
        <v>287</v>
      </c>
      <c r="K47" s="4" t="s">
        <v>288</v>
      </c>
    </row>
    <row r="48" spans="2:11">
      <c r="C48" s="7" t="s">
        <v>289</v>
      </c>
    </row>
    <row r="49" spans="2:11">
      <c r="C49" t="s">
        <v>650</v>
      </c>
      <c r="G49" s="8" t="s">
        <v>291</v>
      </c>
      <c r="H49" s="9">
        <v>0.1</v>
      </c>
      <c r="I49" s="10">
        <f>H49*8/$E$46</f>
        <v>0.02</v>
      </c>
      <c r="J49">
        <v>34.729999999999997</v>
      </c>
      <c r="K49" s="12">
        <f>I49*J49</f>
        <v>0.6946</v>
      </c>
    </row>
    <row r="50" spans="2:11">
      <c r="C50" t="s">
        <v>293</v>
      </c>
      <c r="G50" s="8" t="s">
        <v>291</v>
      </c>
      <c r="H50" s="9">
        <v>2</v>
      </c>
      <c r="I50" s="10">
        <f>H50*8/$E$46</f>
        <v>0.4</v>
      </c>
      <c r="J50">
        <v>20.51</v>
      </c>
      <c r="K50" s="12">
        <f>I50*J50</f>
        <v>8.2040000000000006</v>
      </c>
    </row>
    <row r="51" spans="2:11">
      <c r="C51" t="s">
        <v>652</v>
      </c>
      <c r="G51" s="8" t="s">
        <v>291</v>
      </c>
      <c r="H51" s="9">
        <v>1</v>
      </c>
      <c r="I51" s="10">
        <f>H51*8/$E$46</f>
        <v>0.2</v>
      </c>
      <c r="J51">
        <v>29.94</v>
      </c>
      <c r="K51" s="12">
        <f>I51*J51</f>
        <v>5.9880000000000004</v>
      </c>
    </row>
    <row r="52" spans="2:11">
      <c r="K52" s="6">
        <f>SUM(K49:K51)</f>
        <v>14.886600000000001</v>
      </c>
    </row>
    <row r="53" spans="2:11">
      <c r="C53" s="7" t="s">
        <v>653</v>
      </c>
      <c r="G53" s="8"/>
      <c r="H53" s="9"/>
      <c r="I53" s="10"/>
      <c r="K53" s="12"/>
    </row>
    <row r="54" spans="2:11">
      <c r="C54" t="s">
        <v>655</v>
      </c>
      <c r="G54" s="8" t="s">
        <v>203</v>
      </c>
      <c r="H54" s="9"/>
      <c r="I54" s="10">
        <v>0.08</v>
      </c>
      <c r="J54">
        <v>6.14</v>
      </c>
      <c r="K54" s="12">
        <f>I54*J54</f>
        <v>0.49119999999999997</v>
      </c>
    </row>
    <row r="55" spans="2:11">
      <c r="G55" s="8"/>
      <c r="I55" s="10"/>
      <c r="K55" s="6">
        <f>SUM(K54:K54)</f>
        <v>0.49119999999999997</v>
      </c>
    </row>
    <row r="56" spans="2:11">
      <c r="C56" s="7" t="s">
        <v>309</v>
      </c>
    </row>
    <row r="57" spans="2:11">
      <c r="C57" t="s">
        <v>310</v>
      </c>
      <c r="G57" s="8" t="s">
        <v>311</v>
      </c>
      <c r="I57" s="10">
        <v>5</v>
      </c>
      <c r="J57" s="12">
        <f>K52</f>
        <v>14.886600000000001</v>
      </c>
      <c r="K57" s="12">
        <f>I57%*J57</f>
        <v>0.74433000000000016</v>
      </c>
    </row>
    <row r="58" spans="2:11">
      <c r="C58" t="s">
        <v>656</v>
      </c>
      <c r="G58" s="8" t="s">
        <v>337</v>
      </c>
      <c r="H58" s="9">
        <v>1</v>
      </c>
      <c r="I58" s="10">
        <f>H58*8/$E$46</f>
        <v>0.2</v>
      </c>
      <c r="J58">
        <v>17.47</v>
      </c>
      <c r="K58" s="12">
        <f>I58*J58</f>
        <v>3.4939999999999998</v>
      </c>
    </row>
    <row r="59" spans="2:11">
      <c r="C59" t="s">
        <v>657</v>
      </c>
      <c r="G59" s="8" t="s">
        <v>337</v>
      </c>
      <c r="H59" s="9">
        <v>0.05</v>
      </c>
      <c r="I59" s="10">
        <f>H59*8/$E$46</f>
        <v>0.01</v>
      </c>
      <c r="J59">
        <v>17.47</v>
      </c>
      <c r="K59" s="12">
        <f>I59*J59</f>
        <v>0.17469999999999999</v>
      </c>
    </row>
    <row r="60" spans="2:11">
      <c r="B60" s="14"/>
      <c r="C60" s="14"/>
      <c r="D60" s="14"/>
      <c r="E60" s="14"/>
      <c r="F60" s="14"/>
      <c r="G60" s="14"/>
      <c r="H60" s="14"/>
      <c r="I60" s="14"/>
      <c r="J60" s="15"/>
      <c r="K60" s="16">
        <f>SUM(K57:K59)</f>
        <v>4.4130299999999991</v>
      </c>
    </row>
    <row r="62" spans="2:11">
      <c r="B62" s="2" t="s">
        <v>277</v>
      </c>
      <c r="C62" s="2" t="str">
        <f>ESTRUCTURA!A8</f>
        <v>02.01.05</v>
      </c>
      <c r="D62" s="2" t="s">
        <v>466</v>
      </c>
      <c r="E62" s="2"/>
    </row>
    <row r="63" spans="2:11">
      <c r="B63" s="2" t="s">
        <v>278</v>
      </c>
      <c r="C63" s="2" t="s">
        <v>279</v>
      </c>
      <c r="D63" s="4" t="s">
        <v>280</v>
      </c>
      <c r="E63" s="5">
        <v>500</v>
      </c>
      <c r="F63" s="4" t="s">
        <v>281</v>
      </c>
      <c r="G63" s="5">
        <f>E63</f>
        <v>500</v>
      </c>
      <c r="H63" s="2" t="s">
        <v>282</v>
      </c>
      <c r="J63" s="4" t="s">
        <v>133</v>
      </c>
      <c r="K63" s="6">
        <f>K69+K75</f>
        <v>7.9303440000000007</v>
      </c>
    </row>
    <row r="64" spans="2:11">
      <c r="B64" s="2" t="s">
        <v>283</v>
      </c>
      <c r="C64" s="2" t="s">
        <v>284</v>
      </c>
      <c r="G64" s="4" t="s">
        <v>122</v>
      </c>
      <c r="H64" s="4" t="s">
        <v>285</v>
      </c>
      <c r="I64" s="4" t="s">
        <v>286</v>
      </c>
      <c r="J64" s="4" t="s">
        <v>287</v>
      </c>
      <c r="K64" s="4" t="s">
        <v>288</v>
      </c>
    </row>
    <row r="65" spans="2:11">
      <c r="C65" s="7" t="s">
        <v>289</v>
      </c>
    </row>
    <row r="66" spans="2:11">
      <c r="C66" t="s">
        <v>650</v>
      </c>
      <c r="G66" s="8" t="s">
        <v>291</v>
      </c>
      <c r="H66" s="9">
        <v>1</v>
      </c>
      <c r="I66" s="10">
        <f>H66*8/$E$63</f>
        <v>1.6E-2</v>
      </c>
      <c r="J66">
        <v>34.729999999999997</v>
      </c>
      <c r="K66" s="12">
        <f>I66*J66</f>
        <v>0.55567999999999995</v>
      </c>
    </row>
    <row r="67" spans="2:11">
      <c r="C67" t="s">
        <v>292</v>
      </c>
      <c r="G67" s="8" t="s">
        <v>291</v>
      </c>
      <c r="H67" s="9">
        <v>1</v>
      </c>
      <c r="I67" s="10">
        <f t="shared" ref="I67:I68" si="0">H67*8/$E$63</f>
        <v>1.6E-2</v>
      </c>
      <c r="J67">
        <v>23.6</v>
      </c>
      <c r="K67" s="12">
        <f>I67*J67</f>
        <v>0.37760000000000005</v>
      </c>
    </row>
    <row r="68" spans="2:11">
      <c r="C68" t="s">
        <v>293</v>
      </c>
      <c r="G68" s="8" t="s">
        <v>291</v>
      </c>
      <c r="H68" s="9">
        <v>3</v>
      </c>
      <c r="I68" s="10">
        <f t="shared" si="0"/>
        <v>4.8000000000000001E-2</v>
      </c>
      <c r="J68">
        <v>20.51</v>
      </c>
      <c r="K68" s="12">
        <f>I68*J68</f>
        <v>0.98448000000000013</v>
      </c>
    </row>
    <row r="69" spans="2:11">
      <c r="K69" s="6">
        <f>SUM(K66:K68)</f>
        <v>1.9177600000000001</v>
      </c>
    </row>
    <row r="70" spans="2:11">
      <c r="C70" s="7" t="s">
        <v>309</v>
      </c>
    </row>
    <row r="71" spans="2:11">
      <c r="C71" t="s">
        <v>310</v>
      </c>
      <c r="G71" s="8" t="s">
        <v>311</v>
      </c>
      <c r="I71" s="10">
        <v>5</v>
      </c>
      <c r="J71" s="12">
        <f>K66</f>
        <v>0.55567999999999995</v>
      </c>
      <c r="K71" s="12">
        <f>I71%*J71</f>
        <v>2.7784E-2</v>
      </c>
    </row>
    <row r="72" spans="2:11">
      <c r="C72" t="s">
        <v>656</v>
      </c>
      <c r="G72" s="8" t="s">
        <v>337</v>
      </c>
      <c r="H72" s="9">
        <v>1</v>
      </c>
      <c r="I72" s="10">
        <f t="shared" ref="I72:I74" si="1">H72*8/$E$63</f>
        <v>1.6E-2</v>
      </c>
      <c r="J72">
        <v>17.47</v>
      </c>
      <c r="K72" s="12">
        <f>I72*J72</f>
        <v>0.27951999999999999</v>
      </c>
    </row>
    <row r="73" spans="2:11">
      <c r="C73" t="s">
        <v>658</v>
      </c>
      <c r="G73" s="8" t="s">
        <v>337</v>
      </c>
      <c r="H73" s="9">
        <v>1</v>
      </c>
      <c r="I73" s="10">
        <f t="shared" si="1"/>
        <v>1.6E-2</v>
      </c>
      <c r="J73">
        <v>136.06</v>
      </c>
      <c r="K73" s="12">
        <f t="shared" ref="K73:K74" si="2">I73*J73</f>
        <v>2.1769600000000002</v>
      </c>
    </row>
    <row r="74" spans="2:11">
      <c r="C74" t="s">
        <v>659</v>
      </c>
      <c r="G74" s="8" t="s">
        <v>337</v>
      </c>
      <c r="H74" s="9">
        <v>1</v>
      </c>
      <c r="I74" s="10">
        <f t="shared" si="1"/>
        <v>1.6E-2</v>
      </c>
      <c r="J74">
        <v>220.52</v>
      </c>
      <c r="K74" s="12">
        <f t="shared" si="2"/>
        <v>3.5283200000000003</v>
      </c>
    </row>
    <row r="75" spans="2:11">
      <c r="B75" s="14"/>
      <c r="C75" s="14"/>
      <c r="D75" s="14"/>
      <c r="E75" s="14"/>
      <c r="F75" s="14"/>
      <c r="G75" s="14"/>
      <c r="H75" s="14"/>
      <c r="I75" s="14"/>
      <c r="J75" s="15"/>
      <c r="K75" s="16">
        <f>SUM(K71:K74)</f>
        <v>6.0125840000000004</v>
      </c>
    </row>
    <row r="77" spans="2:11">
      <c r="B77" s="2" t="s">
        <v>277</v>
      </c>
      <c r="C77" s="2" t="str">
        <f>ESTRUCTURA!A9</f>
        <v>02.01.06</v>
      </c>
      <c r="D77" s="2" t="s">
        <v>468</v>
      </c>
      <c r="E77" s="2"/>
    </row>
    <row r="78" spans="2:11">
      <c r="B78" s="2" t="s">
        <v>278</v>
      </c>
      <c r="C78" s="2" t="s">
        <v>313</v>
      </c>
      <c r="D78" s="4" t="s">
        <v>280</v>
      </c>
      <c r="E78" s="5">
        <v>80</v>
      </c>
      <c r="F78" s="4" t="s">
        <v>281</v>
      </c>
      <c r="G78" s="5">
        <f>E78</f>
        <v>80</v>
      </c>
      <c r="H78" s="2" t="s">
        <v>282</v>
      </c>
      <c r="J78" s="4" t="s">
        <v>144</v>
      </c>
      <c r="K78" s="6">
        <f>K82+K86</f>
        <v>12.11253</v>
      </c>
    </row>
    <row r="79" spans="2:11">
      <c r="B79" s="2" t="s">
        <v>283</v>
      </c>
      <c r="C79" s="2" t="s">
        <v>284</v>
      </c>
      <c r="G79" s="4" t="s">
        <v>122</v>
      </c>
      <c r="H79" s="4" t="s">
        <v>285</v>
      </c>
      <c r="I79" s="4" t="s">
        <v>286</v>
      </c>
      <c r="J79" s="4" t="s">
        <v>287</v>
      </c>
      <c r="K79" s="4" t="s">
        <v>288</v>
      </c>
    </row>
    <row r="80" spans="2:11">
      <c r="C80" s="7" t="s">
        <v>289</v>
      </c>
    </row>
    <row r="81" spans="2:11">
      <c r="C81" t="s">
        <v>293</v>
      </c>
      <c r="G81" s="8" t="s">
        <v>291</v>
      </c>
      <c r="H81" s="9">
        <v>1</v>
      </c>
      <c r="I81" s="10">
        <f>H81*8/$E$78</f>
        <v>0.1</v>
      </c>
      <c r="J81">
        <v>20.51</v>
      </c>
      <c r="K81" s="12">
        <f>I81*J81</f>
        <v>2.0510000000000002</v>
      </c>
    </row>
    <row r="82" spans="2:11">
      <c r="G82" s="8"/>
      <c r="H82" s="9"/>
      <c r="I82" s="10"/>
      <c r="K82" s="6">
        <f>SUM(K81:K81)</f>
        <v>2.0510000000000002</v>
      </c>
    </row>
    <row r="83" spans="2:11">
      <c r="C83" s="7" t="s">
        <v>309</v>
      </c>
    </row>
    <row r="84" spans="2:11">
      <c r="C84" t="s">
        <v>310</v>
      </c>
      <c r="G84" s="8" t="s">
        <v>311</v>
      </c>
      <c r="I84" s="10">
        <v>3</v>
      </c>
      <c r="J84" s="12">
        <f>K82</f>
        <v>2.0510000000000002</v>
      </c>
      <c r="K84" s="12">
        <f>I84%*J84</f>
        <v>6.1530000000000001E-2</v>
      </c>
    </row>
    <row r="85" spans="2:11">
      <c r="C85" t="s">
        <v>660</v>
      </c>
      <c r="G85" s="8" t="s">
        <v>337</v>
      </c>
      <c r="H85" s="9">
        <v>1</v>
      </c>
      <c r="I85" s="10">
        <f>H85*8/$E$78</f>
        <v>0.1</v>
      </c>
      <c r="J85">
        <v>100</v>
      </c>
      <c r="K85" s="12">
        <f>I85*J85</f>
        <v>10</v>
      </c>
    </row>
    <row r="86" spans="2:11">
      <c r="B86" s="14"/>
      <c r="C86" s="14"/>
      <c r="D86" s="14"/>
      <c r="E86" s="14"/>
      <c r="F86" s="14"/>
      <c r="G86" s="14"/>
      <c r="H86" s="14"/>
      <c r="I86" s="14"/>
      <c r="J86" s="15"/>
      <c r="K86" s="16">
        <f>SUM(K84:K85)</f>
        <v>10.061529999999999</v>
      </c>
    </row>
    <row r="88" spans="2:11">
      <c r="B88" s="2" t="s">
        <v>277</v>
      </c>
      <c r="C88" s="2" t="str">
        <f>ESTRUCTURA!A10</f>
        <v>02.01.07</v>
      </c>
      <c r="D88" s="2" t="s">
        <v>470</v>
      </c>
      <c r="E88" s="2"/>
    </row>
    <row r="89" spans="2:11">
      <c r="B89" s="2" t="s">
        <v>278</v>
      </c>
      <c r="C89" s="2" t="s">
        <v>416</v>
      </c>
      <c r="D89" s="4" t="s">
        <v>280</v>
      </c>
      <c r="E89" s="5">
        <v>187.5</v>
      </c>
      <c r="F89" s="4" t="s">
        <v>281</v>
      </c>
      <c r="G89" s="5">
        <f>E89</f>
        <v>187.5</v>
      </c>
      <c r="H89" s="2" t="s">
        <v>282</v>
      </c>
      <c r="J89" s="4" t="s">
        <v>203</v>
      </c>
      <c r="K89" s="6">
        <f>K94+K99</f>
        <v>22.910007466666666</v>
      </c>
    </row>
    <row r="90" spans="2:11">
      <c r="B90" s="2" t="s">
        <v>283</v>
      </c>
      <c r="C90" s="2" t="s">
        <v>284</v>
      </c>
      <c r="G90" s="4" t="s">
        <v>122</v>
      </c>
      <c r="H90" s="4" t="s">
        <v>285</v>
      </c>
      <c r="I90" s="4" t="s">
        <v>286</v>
      </c>
      <c r="J90" s="4" t="s">
        <v>287</v>
      </c>
      <c r="K90" s="4" t="s">
        <v>288</v>
      </c>
    </row>
    <row r="91" spans="2:11">
      <c r="C91" s="7" t="s">
        <v>289</v>
      </c>
    </row>
    <row r="92" spans="2:11">
      <c r="C92" t="s">
        <v>292</v>
      </c>
      <c r="G92" s="8" t="s">
        <v>291</v>
      </c>
      <c r="H92" s="9">
        <v>1</v>
      </c>
      <c r="I92" s="10">
        <f>H92*8/$E$89</f>
        <v>4.2666666666666665E-2</v>
      </c>
      <c r="J92">
        <v>23.6</v>
      </c>
      <c r="K92" s="12">
        <f>I92*J92</f>
        <v>1.0069333333333335</v>
      </c>
    </row>
    <row r="93" spans="2:11">
      <c r="C93" t="s">
        <v>293</v>
      </c>
      <c r="G93" s="8" t="s">
        <v>291</v>
      </c>
      <c r="H93" s="9">
        <v>1</v>
      </c>
      <c r="I93" s="10">
        <f>H93*8/$E$89</f>
        <v>4.2666666666666665E-2</v>
      </c>
      <c r="J93">
        <v>20.51</v>
      </c>
      <c r="K93" s="12">
        <f>I93*J93</f>
        <v>0.87509333333333339</v>
      </c>
    </row>
    <row r="94" spans="2:11">
      <c r="G94" s="8"/>
      <c r="H94" s="9"/>
      <c r="I94" s="10"/>
      <c r="K94" s="6">
        <f>SUM(K92:K93)</f>
        <v>1.882026666666667</v>
      </c>
    </row>
    <row r="95" spans="2:11">
      <c r="C95" s="7" t="s">
        <v>309</v>
      </c>
    </row>
    <row r="96" spans="2:11">
      <c r="C96" t="s">
        <v>310</v>
      </c>
      <c r="G96" s="8" t="s">
        <v>311</v>
      </c>
      <c r="I96" s="10">
        <v>3</v>
      </c>
      <c r="J96" s="12">
        <f>K94</f>
        <v>1.882026666666667</v>
      </c>
      <c r="K96" s="12">
        <f>I96%*J96</f>
        <v>5.6460800000000005E-2</v>
      </c>
    </row>
    <row r="97" spans="2:11">
      <c r="C97" t="s">
        <v>661</v>
      </c>
      <c r="G97" s="8" t="s">
        <v>337</v>
      </c>
      <c r="H97" s="9">
        <v>1</v>
      </c>
      <c r="I97" s="10">
        <f>H97*8/$E$89</f>
        <v>4.2666666666666665E-2</v>
      </c>
      <c r="J97" s="50">
        <v>118.64</v>
      </c>
      <c r="K97" s="12">
        <f>I97*J97</f>
        <v>5.0619733333333334</v>
      </c>
    </row>
    <row r="98" spans="2:11">
      <c r="C98" t="s">
        <v>662</v>
      </c>
      <c r="G98" s="8" t="s">
        <v>337</v>
      </c>
      <c r="H98" s="9">
        <v>2</v>
      </c>
      <c r="I98" s="10">
        <f>H98*8/$E$89</f>
        <v>8.533333333333333E-2</v>
      </c>
      <c r="J98" s="50">
        <v>186.44</v>
      </c>
      <c r="K98" s="12">
        <f>I98*J98</f>
        <v>15.909546666666666</v>
      </c>
    </row>
    <row r="99" spans="2:11">
      <c r="B99" s="14"/>
      <c r="C99" s="14"/>
      <c r="D99" s="14"/>
      <c r="E99" s="14"/>
      <c r="F99" s="14"/>
      <c r="G99" s="14"/>
      <c r="H99" s="14"/>
      <c r="I99" s="14"/>
      <c r="J99" s="15"/>
      <c r="K99" s="16">
        <f>SUM(K96:K98)</f>
        <v>21.027980799999998</v>
      </c>
    </row>
    <row r="100" spans="2:11">
      <c r="J100" s="2"/>
      <c r="K100" s="6"/>
    </row>
    <row r="101" spans="2:11">
      <c r="B101" s="2" t="s">
        <v>277</v>
      </c>
      <c r="C101" s="2" t="str">
        <f>ESTRUCTURA!A11</f>
        <v>02.01.08</v>
      </c>
      <c r="D101" s="2" t="s">
        <v>472</v>
      </c>
      <c r="F101" s="2"/>
      <c r="G101" s="2"/>
      <c r="H101" s="2"/>
      <c r="I101" s="2"/>
      <c r="J101" s="2"/>
    </row>
    <row r="102" spans="2:11">
      <c r="B102" s="2" t="s">
        <v>278</v>
      </c>
      <c r="C102" s="2" t="s">
        <v>279</v>
      </c>
      <c r="D102" s="4" t="s">
        <v>280</v>
      </c>
      <c r="E102" s="5">
        <v>500</v>
      </c>
      <c r="F102" s="4" t="s">
        <v>281</v>
      </c>
      <c r="G102" s="5">
        <f>E102</f>
        <v>500</v>
      </c>
      <c r="H102" s="2" t="s">
        <v>282</v>
      </c>
      <c r="J102" s="4" t="s">
        <v>133</v>
      </c>
      <c r="K102" s="6">
        <f>K108+K114</f>
        <v>7.9303440000000007</v>
      </c>
    </row>
    <row r="103" spans="2:11">
      <c r="B103" s="2" t="s">
        <v>283</v>
      </c>
      <c r="C103" s="2" t="s">
        <v>284</v>
      </c>
      <c r="G103" s="4" t="s">
        <v>122</v>
      </c>
      <c r="H103" s="4" t="s">
        <v>285</v>
      </c>
      <c r="I103" s="4" t="s">
        <v>286</v>
      </c>
      <c r="J103" s="4" t="s">
        <v>287</v>
      </c>
      <c r="K103" s="4" t="s">
        <v>288</v>
      </c>
    </row>
    <row r="104" spans="2:11">
      <c r="C104" s="7" t="s">
        <v>289</v>
      </c>
    </row>
    <row r="105" spans="2:11">
      <c r="C105" t="s">
        <v>650</v>
      </c>
      <c r="G105" s="8" t="s">
        <v>291</v>
      </c>
      <c r="H105" s="9">
        <v>1</v>
      </c>
      <c r="I105" s="10">
        <f>H105*8/$E$102</f>
        <v>1.6E-2</v>
      </c>
      <c r="J105">
        <v>34.729999999999997</v>
      </c>
      <c r="K105" s="12">
        <f>I105*J105</f>
        <v>0.55567999999999995</v>
      </c>
    </row>
    <row r="106" spans="2:11">
      <c r="C106" t="s">
        <v>292</v>
      </c>
      <c r="G106" s="8" t="s">
        <v>291</v>
      </c>
      <c r="H106" s="9">
        <v>1</v>
      </c>
      <c r="I106" s="10">
        <f>H106*8/$E$102</f>
        <v>1.6E-2</v>
      </c>
      <c r="J106">
        <v>23.6</v>
      </c>
      <c r="K106" s="12">
        <f>I106*J106</f>
        <v>0.37760000000000005</v>
      </c>
    </row>
    <row r="107" spans="2:11">
      <c r="C107" t="s">
        <v>293</v>
      </c>
      <c r="G107" s="8" t="s">
        <v>291</v>
      </c>
      <c r="H107" s="9">
        <v>3</v>
      </c>
      <c r="I107" s="10">
        <f>H107*8/$E$102</f>
        <v>4.8000000000000001E-2</v>
      </c>
      <c r="J107">
        <v>20.51</v>
      </c>
      <c r="K107" s="12">
        <f>I107*J107</f>
        <v>0.98448000000000013</v>
      </c>
    </row>
    <row r="108" spans="2:11">
      <c r="G108" s="8"/>
      <c r="K108" s="6">
        <f>SUM(K105:K107)</f>
        <v>1.9177600000000001</v>
      </c>
    </row>
    <row r="109" spans="2:11">
      <c r="C109" s="7" t="s">
        <v>317</v>
      </c>
      <c r="G109" s="8"/>
      <c r="H109" s="9"/>
    </row>
    <row r="110" spans="2:11">
      <c r="C110" t="s">
        <v>310</v>
      </c>
      <c r="G110" s="8" t="s">
        <v>311</v>
      </c>
      <c r="I110" s="10">
        <v>5</v>
      </c>
      <c r="J110" s="12">
        <f>K105</f>
        <v>0.55567999999999995</v>
      </c>
      <c r="K110" s="12">
        <f>I110%*J110</f>
        <v>2.7784E-2</v>
      </c>
    </row>
    <row r="111" spans="2:11">
      <c r="C111" t="s">
        <v>656</v>
      </c>
      <c r="G111" s="8" t="s">
        <v>337</v>
      </c>
      <c r="H111" s="9">
        <v>1</v>
      </c>
      <c r="I111" s="10">
        <f>H111*8/$E$102</f>
        <v>1.6E-2</v>
      </c>
      <c r="J111">
        <v>17.47</v>
      </c>
      <c r="K111" s="12">
        <f>I111*J111</f>
        <v>0.27951999999999999</v>
      </c>
    </row>
    <row r="112" spans="2:11">
      <c r="C112" t="s">
        <v>658</v>
      </c>
      <c r="G112" s="8" t="s">
        <v>337</v>
      </c>
      <c r="H112" s="9">
        <v>1</v>
      </c>
      <c r="I112" s="10">
        <f>H112*8/$E$102</f>
        <v>1.6E-2</v>
      </c>
      <c r="J112">
        <v>136.06</v>
      </c>
      <c r="K112" s="12">
        <f>I112*J112</f>
        <v>2.1769600000000002</v>
      </c>
    </row>
    <row r="113" spans="2:11">
      <c r="C113" t="s">
        <v>659</v>
      </c>
      <c r="D113" s="225"/>
      <c r="E113" s="225"/>
      <c r="F113" s="225"/>
      <c r="G113" s="8" t="s">
        <v>337</v>
      </c>
      <c r="H113" s="9">
        <v>1</v>
      </c>
      <c r="I113" s="10">
        <f>H113*8/$E$102</f>
        <v>1.6E-2</v>
      </c>
      <c r="J113">
        <v>220.52</v>
      </c>
      <c r="K113" s="12">
        <f>I113*J113</f>
        <v>3.5283200000000003</v>
      </c>
    </row>
    <row r="114" spans="2:11">
      <c r="B114" s="14"/>
      <c r="C114" s="14"/>
      <c r="D114" s="14"/>
      <c r="E114" s="14"/>
      <c r="F114" s="14"/>
      <c r="G114" s="14"/>
      <c r="H114" s="14"/>
      <c r="I114" s="14"/>
      <c r="J114" s="14"/>
      <c r="K114" s="16">
        <f>SUM(K110:K113)</f>
        <v>6.0125840000000004</v>
      </c>
    </row>
    <row r="115" spans="2:11">
      <c r="J115" s="2"/>
      <c r="K115" s="6"/>
    </row>
    <row r="116" spans="2:11">
      <c r="B116" s="2" t="s">
        <v>277</v>
      </c>
      <c r="C116" s="2" t="str">
        <f>ESTRUCTURA!A12</f>
        <v>02.01.09</v>
      </c>
      <c r="D116" s="2" t="s">
        <v>474</v>
      </c>
      <c r="E116" s="2"/>
      <c r="F116" s="2"/>
      <c r="G116" s="2"/>
      <c r="H116" s="2"/>
      <c r="I116" s="2"/>
      <c r="J116" s="2"/>
    </row>
    <row r="117" spans="2:11">
      <c r="B117" s="2" t="s">
        <v>278</v>
      </c>
      <c r="C117" s="2" t="s">
        <v>325</v>
      </c>
      <c r="D117" s="4" t="s">
        <v>280</v>
      </c>
      <c r="E117" s="5">
        <v>25</v>
      </c>
      <c r="F117" s="4" t="s">
        <v>281</v>
      </c>
      <c r="G117" s="5">
        <f>E117</f>
        <v>25</v>
      </c>
      <c r="H117" s="2" t="s">
        <v>282</v>
      </c>
      <c r="J117" s="4" t="s">
        <v>149</v>
      </c>
      <c r="K117" s="6">
        <f>K123+K127+K131</f>
        <v>77.227704800000012</v>
      </c>
    </row>
    <row r="118" spans="2:11">
      <c r="B118" s="2" t="s">
        <v>283</v>
      </c>
      <c r="C118" s="2" t="s">
        <v>284</v>
      </c>
      <c r="G118" s="4" t="s">
        <v>122</v>
      </c>
      <c r="H118" s="4" t="s">
        <v>285</v>
      </c>
      <c r="I118" s="4" t="s">
        <v>286</v>
      </c>
      <c r="J118" s="4" t="s">
        <v>287</v>
      </c>
      <c r="K118" s="4" t="s">
        <v>288</v>
      </c>
    </row>
    <row r="119" spans="2:11">
      <c r="C119" s="7" t="s">
        <v>289</v>
      </c>
    </row>
    <row r="120" spans="2:11">
      <c r="C120" t="s">
        <v>650</v>
      </c>
      <c r="G120" s="8" t="s">
        <v>291</v>
      </c>
      <c r="H120" s="9">
        <v>0.1</v>
      </c>
      <c r="I120" s="10">
        <f>H120*8/$E$117</f>
        <v>3.2000000000000001E-2</v>
      </c>
      <c r="J120" s="12">
        <v>34.729999999999997</v>
      </c>
      <c r="K120" s="12">
        <f>I120*J120</f>
        <v>1.1113599999999999</v>
      </c>
    </row>
    <row r="121" spans="2:11">
      <c r="C121" t="s">
        <v>663</v>
      </c>
      <c r="G121" s="8" t="s">
        <v>291</v>
      </c>
      <c r="H121" s="9">
        <v>1</v>
      </c>
      <c r="I121" s="10">
        <f>H121*8/$E$117</f>
        <v>0.32</v>
      </c>
      <c r="J121" s="12">
        <v>30.97</v>
      </c>
      <c r="K121" s="12">
        <f>I121*J121</f>
        <v>9.9103999999999992</v>
      </c>
    </row>
    <row r="122" spans="2:11">
      <c r="C122" t="s">
        <v>293</v>
      </c>
      <c r="G122" s="8" t="s">
        <v>291</v>
      </c>
      <c r="H122" s="9">
        <v>2</v>
      </c>
      <c r="I122" s="10">
        <f>H122*8/$E$117</f>
        <v>0.64</v>
      </c>
      <c r="J122" s="12">
        <v>20.51</v>
      </c>
      <c r="K122" s="12">
        <f>I122*J122</f>
        <v>13.126400000000002</v>
      </c>
    </row>
    <row r="123" spans="2:11">
      <c r="G123" s="8"/>
      <c r="K123" s="6">
        <f>SUM(K120:K122)</f>
        <v>24.148160000000001</v>
      </c>
    </row>
    <row r="124" spans="2:11">
      <c r="C124" s="7" t="s">
        <v>294</v>
      </c>
      <c r="G124" s="8"/>
      <c r="I124" s="10"/>
      <c r="J124" s="10"/>
    </row>
    <row r="125" spans="2:11">
      <c r="C125" t="s">
        <v>664</v>
      </c>
      <c r="G125" s="8" t="s">
        <v>203</v>
      </c>
      <c r="I125" s="10">
        <v>0.08</v>
      </c>
      <c r="J125" s="12">
        <v>6.14</v>
      </c>
      <c r="K125" s="12">
        <f>I125*J125</f>
        <v>0.49119999999999997</v>
      </c>
    </row>
    <row r="126" spans="2:11">
      <c r="C126" t="s">
        <v>654</v>
      </c>
      <c r="G126" s="8" t="s">
        <v>203</v>
      </c>
      <c r="I126" s="10">
        <v>1.05</v>
      </c>
      <c r="J126" s="12">
        <v>44.07</v>
      </c>
      <c r="K126" s="12">
        <f>I126*J126</f>
        <v>46.273500000000006</v>
      </c>
    </row>
    <row r="127" spans="2:11">
      <c r="G127" s="8"/>
      <c r="I127" s="10"/>
      <c r="J127" s="10"/>
      <c r="K127" s="6">
        <f>SUM(K125:K126)</f>
        <v>46.764700000000005</v>
      </c>
    </row>
    <row r="128" spans="2:11">
      <c r="C128" s="7" t="s">
        <v>317</v>
      </c>
      <c r="G128" s="8"/>
      <c r="H128" s="9"/>
    </row>
    <row r="129" spans="2:11">
      <c r="C129" t="s">
        <v>310</v>
      </c>
      <c r="G129" s="8" t="s">
        <v>311</v>
      </c>
      <c r="H129" s="9"/>
      <c r="I129" s="10">
        <v>3</v>
      </c>
      <c r="J129" s="12">
        <f>K123</f>
        <v>24.148160000000001</v>
      </c>
      <c r="K129" s="12">
        <f>I129%*J129</f>
        <v>0.7244448</v>
      </c>
    </row>
    <row r="130" spans="2:11">
      <c r="C130" t="s">
        <v>656</v>
      </c>
      <c r="G130" s="8" t="s">
        <v>337</v>
      </c>
      <c r="H130" s="9">
        <v>1</v>
      </c>
      <c r="I130" s="10">
        <f>H130*8/$E$117</f>
        <v>0.32</v>
      </c>
      <c r="J130" s="12">
        <v>17.47</v>
      </c>
      <c r="K130" s="12">
        <f>I130*J130</f>
        <v>5.5903999999999998</v>
      </c>
    </row>
    <row r="131" spans="2:11">
      <c r="B131" s="14"/>
      <c r="C131" s="14"/>
      <c r="D131" s="14"/>
      <c r="E131" s="14"/>
      <c r="F131" s="14"/>
      <c r="G131" s="14"/>
      <c r="H131" s="14"/>
      <c r="I131" s="14"/>
      <c r="J131" s="14"/>
      <c r="K131" s="16">
        <f>SUM(K129:K130)</f>
        <v>6.3148447999999995</v>
      </c>
    </row>
    <row r="132" spans="2:11">
      <c r="J132" s="2"/>
      <c r="K132" s="6"/>
    </row>
    <row r="133" spans="2:11">
      <c r="J133" s="2"/>
      <c r="K133" s="6"/>
    </row>
    <row r="134" spans="2:11">
      <c r="J134" s="2"/>
      <c r="K134" s="6"/>
    </row>
    <row r="135" spans="2:11">
      <c r="J135" s="2"/>
      <c r="K135" s="6"/>
    </row>
    <row r="136" spans="2:11">
      <c r="J136" s="2"/>
      <c r="K136" s="6"/>
    </row>
    <row r="137" spans="2:11">
      <c r="J137" s="2"/>
      <c r="K137" s="6"/>
    </row>
    <row r="138" spans="2:11">
      <c r="B138" s="31" t="s">
        <v>277</v>
      </c>
      <c r="C138" s="2" t="str">
        <f>ESTRUCTURA!A15</f>
        <v>02.02.01.01</v>
      </c>
      <c r="D138" s="250" t="s">
        <v>479</v>
      </c>
      <c r="E138" s="31"/>
    </row>
    <row r="139" spans="2:11">
      <c r="B139" s="31" t="s">
        <v>278</v>
      </c>
      <c r="C139" s="31" t="s">
        <v>279</v>
      </c>
      <c r="D139" s="32" t="s">
        <v>280</v>
      </c>
      <c r="E139" s="33">
        <v>50</v>
      </c>
      <c r="F139" s="32" t="s">
        <v>281</v>
      </c>
      <c r="G139" s="33">
        <f>E139</f>
        <v>50</v>
      </c>
      <c r="H139" s="31" t="s">
        <v>282</v>
      </c>
      <c r="J139" s="32" t="s">
        <v>133</v>
      </c>
      <c r="K139" s="34">
        <f>K147+K154+K158</f>
        <v>238.34357440000002</v>
      </c>
    </row>
    <row r="140" spans="2:11">
      <c r="B140" s="31" t="s">
        <v>283</v>
      </c>
      <c r="C140" s="31" t="s">
        <v>284</v>
      </c>
      <c r="G140" s="32" t="s">
        <v>122</v>
      </c>
      <c r="H140" s="32" t="s">
        <v>285</v>
      </c>
      <c r="I140" s="32" t="s">
        <v>286</v>
      </c>
      <c r="J140" s="32" t="s">
        <v>287</v>
      </c>
      <c r="K140" s="32" t="s">
        <v>288</v>
      </c>
    </row>
    <row r="141" spans="2:11">
      <c r="C141" s="35" t="s">
        <v>289</v>
      </c>
    </row>
    <row r="142" spans="2:11">
      <c r="C142" t="s">
        <v>650</v>
      </c>
      <c r="G142" s="8" t="s">
        <v>291</v>
      </c>
      <c r="H142" s="9">
        <v>0.1</v>
      </c>
      <c r="I142" s="10">
        <f>H142*8/$E$139</f>
        <v>1.6E-2</v>
      </c>
      <c r="J142">
        <v>34.729999999999997</v>
      </c>
      <c r="K142" s="12">
        <f>I142*J142</f>
        <v>0.55567999999999995</v>
      </c>
    </row>
    <row r="143" spans="2:11">
      <c r="C143" t="s">
        <v>290</v>
      </c>
      <c r="G143" s="8" t="s">
        <v>291</v>
      </c>
      <c r="H143" s="9">
        <v>1</v>
      </c>
      <c r="I143" s="10">
        <f t="shared" ref="I143:I146" si="3">H143*8/$E$139</f>
        <v>0.16</v>
      </c>
      <c r="J143" s="12">
        <v>28.94</v>
      </c>
      <c r="K143" s="12">
        <f>I143*J143</f>
        <v>4.6304000000000007</v>
      </c>
    </row>
    <row r="144" spans="2:11">
      <c r="C144" t="s">
        <v>292</v>
      </c>
      <c r="G144" s="8" t="s">
        <v>291</v>
      </c>
      <c r="H144" s="9">
        <v>2</v>
      </c>
      <c r="I144" s="10">
        <f t="shared" si="3"/>
        <v>0.32</v>
      </c>
      <c r="J144" s="12">
        <v>23.6</v>
      </c>
      <c r="K144" s="12">
        <f>I144*J144</f>
        <v>7.5520000000000005</v>
      </c>
    </row>
    <row r="145" spans="2:11">
      <c r="C145" t="s">
        <v>293</v>
      </c>
      <c r="G145" s="8" t="s">
        <v>291</v>
      </c>
      <c r="H145" s="9">
        <v>5</v>
      </c>
      <c r="I145" s="10">
        <f t="shared" si="3"/>
        <v>0.8</v>
      </c>
      <c r="J145" s="12">
        <v>21.36</v>
      </c>
      <c r="K145" s="12">
        <f>I145*J145</f>
        <v>17.088000000000001</v>
      </c>
    </row>
    <row r="146" spans="2:11">
      <c r="C146" t="s">
        <v>652</v>
      </c>
      <c r="G146" s="8" t="s">
        <v>291</v>
      </c>
      <c r="H146" s="9">
        <v>1</v>
      </c>
      <c r="I146" s="10">
        <f t="shared" si="3"/>
        <v>0.16</v>
      </c>
      <c r="J146">
        <v>29.94</v>
      </c>
      <c r="K146" s="12">
        <f>I146*J146</f>
        <v>4.7904</v>
      </c>
    </row>
    <row r="147" spans="2:11">
      <c r="G147" s="8"/>
      <c r="H147" s="9"/>
      <c r="I147" s="10"/>
      <c r="K147" s="34">
        <f>SUM(K142:K146)</f>
        <v>34.616480000000003</v>
      </c>
    </row>
    <row r="148" spans="2:11">
      <c r="C148" s="35" t="s">
        <v>653</v>
      </c>
      <c r="G148" s="8"/>
      <c r="H148" s="9"/>
      <c r="I148" s="10"/>
      <c r="K148" s="12"/>
    </row>
    <row r="149" spans="2:11">
      <c r="C149" t="s">
        <v>306</v>
      </c>
      <c r="G149" s="8" t="s">
        <v>307</v>
      </c>
      <c r="I149" s="10">
        <v>3.8</v>
      </c>
      <c r="J149" s="12">
        <v>24.52</v>
      </c>
      <c r="K149" s="12">
        <f>I149*J149</f>
        <v>93.175999999999988</v>
      </c>
    </row>
    <row r="150" spans="2:11">
      <c r="C150" t="s">
        <v>655</v>
      </c>
      <c r="G150" s="8" t="s">
        <v>203</v>
      </c>
      <c r="I150" s="10">
        <v>0.08</v>
      </c>
      <c r="J150">
        <v>6.14</v>
      </c>
      <c r="K150" s="12">
        <f>I150*J150</f>
        <v>0.49119999999999997</v>
      </c>
    </row>
    <row r="151" spans="2:11">
      <c r="C151" t="s">
        <v>665</v>
      </c>
      <c r="G151" s="8" t="s">
        <v>439</v>
      </c>
      <c r="I151" s="10">
        <v>0.5</v>
      </c>
      <c r="J151">
        <v>13.93</v>
      </c>
      <c r="K151" s="12">
        <f>I151*J151</f>
        <v>6.9649999999999999</v>
      </c>
    </row>
    <row r="152" spans="2:11">
      <c r="C152" t="s">
        <v>302</v>
      </c>
      <c r="G152" s="8" t="s">
        <v>203</v>
      </c>
      <c r="I152" s="10">
        <v>0.93</v>
      </c>
      <c r="J152" s="17">
        <v>70.92</v>
      </c>
      <c r="K152" s="12">
        <f>I152*J152</f>
        <v>65.955600000000004</v>
      </c>
    </row>
    <row r="153" spans="2:11">
      <c r="C153" t="s">
        <v>666</v>
      </c>
      <c r="G153" s="8" t="s">
        <v>203</v>
      </c>
      <c r="I153" s="10">
        <v>0.4</v>
      </c>
      <c r="J153" s="17">
        <v>80</v>
      </c>
      <c r="K153" s="12">
        <f>I153*J153</f>
        <v>32</v>
      </c>
    </row>
    <row r="154" spans="2:11">
      <c r="G154" s="8"/>
      <c r="I154" s="10"/>
      <c r="J154" s="12"/>
      <c r="K154" s="34">
        <f>SUM(K149:K153)</f>
        <v>198.58780000000002</v>
      </c>
    </row>
    <row r="155" spans="2:11">
      <c r="C155" s="35" t="s">
        <v>309</v>
      </c>
    </row>
    <row r="156" spans="2:11">
      <c r="C156" t="s">
        <v>310</v>
      </c>
      <c r="G156" s="8" t="s">
        <v>311</v>
      </c>
      <c r="I156" s="10">
        <v>3</v>
      </c>
      <c r="J156" s="12">
        <f>K147</f>
        <v>34.616480000000003</v>
      </c>
      <c r="K156" s="12">
        <f>I156%*J156</f>
        <v>1.0384944</v>
      </c>
    </row>
    <row r="157" spans="2:11">
      <c r="C157" t="s">
        <v>667</v>
      </c>
      <c r="G157" s="8" t="s">
        <v>337</v>
      </c>
      <c r="H157" s="9">
        <v>1</v>
      </c>
      <c r="I157" s="10">
        <f t="shared" ref="I157" si="4">H157*8/$E$139</f>
        <v>0.16</v>
      </c>
      <c r="J157" s="12">
        <v>25.63</v>
      </c>
      <c r="K157" s="12">
        <f>I157*J157</f>
        <v>4.1007999999999996</v>
      </c>
    </row>
    <row r="158" spans="2:11">
      <c r="B158" s="14"/>
      <c r="C158" s="14"/>
      <c r="D158" s="14"/>
      <c r="E158" s="14"/>
      <c r="F158" s="14"/>
      <c r="G158" s="14"/>
      <c r="H158" s="14"/>
      <c r="I158" s="14"/>
      <c r="J158" s="14"/>
      <c r="K158" s="36">
        <f>SUM(K156:K157)</f>
        <v>5.1392943999999998</v>
      </c>
    </row>
    <row r="160" spans="2:11">
      <c r="B160" s="31" t="s">
        <v>277</v>
      </c>
      <c r="C160" s="2" t="str">
        <f>ESTRUCTURA!A17</f>
        <v>02.02.02.01</v>
      </c>
      <c r="D160" s="31" t="s">
        <v>483</v>
      </c>
      <c r="E160" s="31"/>
    </row>
    <row r="161" spans="2:11">
      <c r="B161" s="31" t="s">
        <v>278</v>
      </c>
      <c r="C161" s="31" t="s">
        <v>279</v>
      </c>
      <c r="D161" s="32" t="s">
        <v>280</v>
      </c>
      <c r="E161" s="33">
        <v>50</v>
      </c>
      <c r="F161" s="32" t="s">
        <v>281</v>
      </c>
      <c r="G161" s="33">
        <f>E161</f>
        <v>50</v>
      </c>
      <c r="H161" s="31" t="s">
        <v>282</v>
      </c>
      <c r="J161" s="32" t="s">
        <v>133</v>
      </c>
      <c r="K161" s="34">
        <f>K169+K176+K180</f>
        <v>238.34357440000002</v>
      </c>
    </row>
    <row r="162" spans="2:11">
      <c r="B162" s="31" t="s">
        <v>283</v>
      </c>
      <c r="C162" s="31" t="s">
        <v>284</v>
      </c>
      <c r="G162" s="32" t="s">
        <v>122</v>
      </c>
      <c r="H162" s="32" t="s">
        <v>285</v>
      </c>
      <c r="I162" s="32" t="s">
        <v>286</v>
      </c>
      <c r="J162" s="32" t="s">
        <v>287</v>
      </c>
      <c r="K162" s="32" t="s">
        <v>288</v>
      </c>
    </row>
    <row r="163" spans="2:11">
      <c r="C163" s="35" t="s">
        <v>289</v>
      </c>
    </row>
    <row r="164" spans="2:11">
      <c r="C164" t="s">
        <v>650</v>
      </c>
      <c r="G164" s="8" t="s">
        <v>291</v>
      </c>
      <c r="H164" s="9">
        <v>0.1</v>
      </c>
      <c r="I164" s="10">
        <f>H164*8/$E$161</f>
        <v>1.6E-2</v>
      </c>
      <c r="J164">
        <v>34.729999999999997</v>
      </c>
      <c r="K164" s="12">
        <f>I164*J164</f>
        <v>0.55567999999999995</v>
      </c>
    </row>
    <row r="165" spans="2:11">
      <c r="C165" t="s">
        <v>290</v>
      </c>
      <c r="G165" s="8" t="s">
        <v>291</v>
      </c>
      <c r="H165" s="9">
        <v>1</v>
      </c>
      <c r="I165" s="10">
        <f t="shared" ref="I165:I168" si="5">H165*8/$E$161</f>
        <v>0.16</v>
      </c>
      <c r="J165" s="12">
        <v>28.94</v>
      </c>
      <c r="K165" s="12">
        <f>I165*J165</f>
        <v>4.6304000000000007</v>
      </c>
    </row>
    <row r="166" spans="2:11">
      <c r="C166" t="s">
        <v>292</v>
      </c>
      <c r="G166" s="8" t="s">
        <v>291</v>
      </c>
      <c r="H166" s="9">
        <v>2</v>
      </c>
      <c r="I166" s="10">
        <f t="shared" si="5"/>
        <v>0.32</v>
      </c>
      <c r="J166" s="12">
        <v>23.6</v>
      </c>
      <c r="K166" s="12">
        <f>I166*J166</f>
        <v>7.5520000000000005</v>
      </c>
    </row>
    <row r="167" spans="2:11">
      <c r="C167" t="s">
        <v>293</v>
      </c>
      <c r="G167" s="8" t="s">
        <v>291</v>
      </c>
      <c r="H167" s="9">
        <v>5</v>
      </c>
      <c r="I167" s="10">
        <f t="shared" si="5"/>
        <v>0.8</v>
      </c>
      <c r="J167" s="12">
        <v>21.36</v>
      </c>
      <c r="K167" s="12">
        <f>I167*J167</f>
        <v>17.088000000000001</v>
      </c>
    </row>
    <row r="168" spans="2:11">
      <c r="C168" t="s">
        <v>652</v>
      </c>
      <c r="G168" s="8" t="s">
        <v>291</v>
      </c>
      <c r="H168" s="9">
        <v>1</v>
      </c>
      <c r="I168" s="10">
        <f t="shared" si="5"/>
        <v>0.16</v>
      </c>
      <c r="J168">
        <v>29.94</v>
      </c>
      <c r="K168" s="12">
        <f>I168*J168</f>
        <v>4.7904</v>
      </c>
    </row>
    <row r="169" spans="2:11">
      <c r="G169" s="8"/>
      <c r="H169" s="9"/>
      <c r="I169" s="10"/>
      <c r="K169" s="34">
        <f>SUM(K164:K168)</f>
        <v>34.616480000000003</v>
      </c>
    </row>
    <row r="170" spans="2:11">
      <c r="C170" s="35" t="s">
        <v>653</v>
      </c>
      <c r="G170" s="8"/>
      <c r="H170" s="9"/>
      <c r="I170" s="10"/>
      <c r="K170" s="12"/>
    </row>
    <row r="171" spans="2:11">
      <c r="C171" t="s">
        <v>306</v>
      </c>
      <c r="G171" s="8" t="s">
        <v>307</v>
      </c>
      <c r="I171" s="10">
        <v>3.8</v>
      </c>
      <c r="J171" s="12">
        <v>24.52</v>
      </c>
      <c r="K171" s="12">
        <f>I171*J171</f>
        <v>93.175999999999988</v>
      </c>
    </row>
    <row r="172" spans="2:11">
      <c r="C172" t="s">
        <v>655</v>
      </c>
      <c r="G172" s="8" t="s">
        <v>203</v>
      </c>
      <c r="I172" s="10">
        <v>0.08</v>
      </c>
      <c r="J172">
        <v>6.14</v>
      </c>
      <c r="K172" s="12">
        <f>I172*J172</f>
        <v>0.49119999999999997</v>
      </c>
    </row>
    <row r="173" spans="2:11">
      <c r="C173" t="s">
        <v>665</v>
      </c>
      <c r="G173" s="8" t="s">
        <v>439</v>
      </c>
      <c r="I173" s="10">
        <v>0.5</v>
      </c>
      <c r="J173">
        <v>13.93</v>
      </c>
      <c r="K173" s="12">
        <f>I173*J173</f>
        <v>6.9649999999999999</v>
      </c>
    </row>
    <row r="174" spans="2:11">
      <c r="C174" t="s">
        <v>302</v>
      </c>
      <c r="G174" s="8" t="s">
        <v>203</v>
      </c>
      <c r="I174" s="10">
        <v>0.93</v>
      </c>
      <c r="J174" s="17">
        <v>70.92</v>
      </c>
      <c r="K174" s="12">
        <f>I174*J174</f>
        <v>65.955600000000004</v>
      </c>
    </row>
    <row r="175" spans="2:11">
      <c r="C175" t="s">
        <v>666</v>
      </c>
      <c r="G175" s="8" t="s">
        <v>203</v>
      </c>
      <c r="I175" s="10">
        <v>0.4</v>
      </c>
      <c r="J175" s="17">
        <v>80</v>
      </c>
      <c r="K175" s="12">
        <f>I175*J175</f>
        <v>32</v>
      </c>
    </row>
    <row r="176" spans="2:11">
      <c r="G176" s="8"/>
      <c r="I176" s="10"/>
      <c r="J176" s="12"/>
      <c r="K176" s="34">
        <f>SUM(K171:K175)</f>
        <v>198.58780000000002</v>
      </c>
    </row>
    <row r="177" spans="2:11">
      <c r="C177" s="35" t="s">
        <v>309</v>
      </c>
    </row>
    <row r="178" spans="2:11">
      <c r="C178" t="s">
        <v>310</v>
      </c>
      <c r="G178" s="8" t="s">
        <v>311</v>
      </c>
      <c r="I178" s="10">
        <v>3</v>
      </c>
      <c r="J178" s="12">
        <f>K169</f>
        <v>34.616480000000003</v>
      </c>
      <c r="K178" s="12">
        <f>I178%*J178</f>
        <v>1.0384944</v>
      </c>
    </row>
    <row r="179" spans="2:11">
      <c r="C179" t="s">
        <v>667</v>
      </c>
      <c r="G179" s="8" t="s">
        <v>337</v>
      </c>
      <c r="H179" s="9">
        <v>1</v>
      </c>
      <c r="I179" s="10">
        <f t="shared" ref="I179" si="6">H179*8/$E$161</f>
        <v>0.16</v>
      </c>
      <c r="J179" s="12">
        <v>25.63</v>
      </c>
      <c r="K179" s="12">
        <f>I179*J179</f>
        <v>4.1007999999999996</v>
      </c>
    </row>
    <row r="180" spans="2:11">
      <c r="B180" s="14"/>
      <c r="C180" s="14"/>
      <c r="D180" s="14"/>
      <c r="E180" s="14"/>
      <c r="F180" s="14"/>
      <c r="G180" s="14"/>
      <c r="H180" s="14"/>
      <c r="I180" s="14"/>
      <c r="J180" s="14"/>
      <c r="K180" s="36">
        <f>SUM(K178:K179)</f>
        <v>5.1392943999999998</v>
      </c>
    </row>
    <row r="182" spans="2:11">
      <c r="B182" s="31" t="s">
        <v>277</v>
      </c>
      <c r="C182" s="31" t="str">
        <f>ESTRUCTURA!A19</f>
        <v>02.02.03.01</v>
      </c>
      <c r="D182" s="31" t="s">
        <v>668</v>
      </c>
      <c r="E182" s="31"/>
    </row>
    <row r="183" spans="2:11">
      <c r="B183" s="31" t="s">
        <v>278</v>
      </c>
      <c r="C183" s="31" t="s">
        <v>279</v>
      </c>
      <c r="D183" s="32" t="s">
        <v>280</v>
      </c>
      <c r="E183" s="33">
        <v>110</v>
      </c>
      <c r="F183" s="32" t="s">
        <v>281</v>
      </c>
      <c r="G183" s="33">
        <f>E183</f>
        <v>110</v>
      </c>
      <c r="H183" s="31" t="s">
        <v>282</v>
      </c>
      <c r="J183" s="32" t="s">
        <v>133</v>
      </c>
      <c r="K183" s="34">
        <f>K189+K195+K199</f>
        <v>39.620881818181815</v>
      </c>
    </row>
    <row r="184" spans="2:11">
      <c r="B184" s="31" t="s">
        <v>283</v>
      </c>
      <c r="C184" s="31" t="s">
        <v>284</v>
      </c>
      <c r="G184" s="32" t="s">
        <v>122</v>
      </c>
      <c r="H184" s="32" t="s">
        <v>285</v>
      </c>
      <c r="I184" s="32" t="s">
        <v>286</v>
      </c>
      <c r="J184" s="32" t="s">
        <v>287</v>
      </c>
      <c r="K184" s="32" t="s">
        <v>288</v>
      </c>
    </row>
    <row r="185" spans="2:11">
      <c r="C185" s="35" t="s">
        <v>289</v>
      </c>
    </row>
    <row r="186" spans="2:11">
      <c r="C186" t="s">
        <v>290</v>
      </c>
      <c r="G186" s="8" t="s">
        <v>291</v>
      </c>
      <c r="H186" s="9">
        <v>2</v>
      </c>
      <c r="I186" s="10">
        <f>H186*8/$E$183</f>
        <v>0.14545454545454545</v>
      </c>
      <c r="J186" s="12">
        <v>28.94</v>
      </c>
      <c r="K186" s="12">
        <f>I186*J186</f>
        <v>4.2094545454545456</v>
      </c>
    </row>
    <row r="187" spans="2:11">
      <c r="C187" t="s">
        <v>292</v>
      </c>
      <c r="G187" s="8" t="s">
        <v>291</v>
      </c>
      <c r="H187" s="9">
        <v>1</v>
      </c>
      <c r="I187" s="10">
        <f>H187*8/$E$183</f>
        <v>7.2727272727272724E-2</v>
      </c>
      <c r="J187" s="12">
        <v>23.6</v>
      </c>
      <c r="K187" s="12">
        <f>I187*J187</f>
        <v>1.7163636363636363</v>
      </c>
    </row>
    <row r="188" spans="2:11">
      <c r="C188" t="s">
        <v>293</v>
      </c>
      <c r="G188" s="8" t="s">
        <v>291</v>
      </c>
      <c r="H188" s="9">
        <v>6</v>
      </c>
      <c r="I188" s="10">
        <f>H188*8/$E$183</f>
        <v>0.43636363636363634</v>
      </c>
      <c r="J188" s="12">
        <v>21.36</v>
      </c>
      <c r="K188" s="12">
        <f>I188*J188</f>
        <v>9.3207272727272716</v>
      </c>
    </row>
    <row r="189" spans="2:11">
      <c r="G189" s="8"/>
      <c r="H189" s="9"/>
      <c r="I189" s="10"/>
      <c r="K189" s="34">
        <f>SUM(K186:K188)</f>
        <v>15.246545454545453</v>
      </c>
    </row>
    <row r="190" spans="2:11">
      <c r="C190" s="35" t="s">
        <v>653</v>
      </c>
      <c r="G190" s="8"/>
      <c r="H190" s="9"/>
      <c r="I190" s="10"/>
      <c r="K190" s="12"/>
    </row>
    <row r="191" spans="2:11">
      <c r="C191" t="s">
        <v>306</v>
      </c>
      <c r="G191" s="8" t="s">
        <v>307</v>
      </c>
      <c r="I191" s="10">
        <v>0.42</v>
      </c>
      <c r="J191" s="12">
        <v>24.52</v>
      </c>
      <c r="K191" s="12">
        <f>I191*J191</f>
        <v>10.298399999999999</v>
      </c>
    </row>
    <row r="192" spans="2:11">
      <c r="C192" t="s">
        <v>655</v>
      </c>
      <c r="G192" s="8" t="s">
        <v>203</v>
      </c>
      <c r="I192" s="10">
        <v>2.5000000000000001E-2</v>
      </c>
      <c r="J192">
        <v>6.14</v>
      </c>
      <c r="K192" s="12">
        <f>I192*J192</f>
        <v>0.1535</v>
      </c>
    </row>
    <row r="193" spans="2:11">
      <c r="C193" t="s">
        <v>302</v>
      </c>
      <c r="G193" s="8" t="s">
        <v>203</v>
      </c>
      <c r="I193" s="10">
        <v>0.16200000000000001</v>
      </c>
      <c r="J193" s="17">
        <v>70.92</v>
      </c>
      <c r="K193" s="12">
        <f>I193*J193</f>
        <v>11.489040000000001</v>
      </c>
    </row>
    <row r="194" spans="2:11">
      <c r="C194" t="s">
        <v>669</v>
      </c>
      <c r="G194" s="8" t="s">
        <v>305</v>
      </c>
      <c r="I194" s="10">
        <v>0.18</v>
      </c>
      <c r="J194" s="12">
        <v>5.8</v>
      </c>
      <c r="K194" s="12">
        <f>I194*J194</f>
        <v>1.044</v>
      </c>
    </row>
    <row r="195" spans="2:11">
      <c r="G195" s="8"/>
      <c r="I195" s="10"/>
      <c r="J195" s="12"/>
      <c r="K195" s="34">
        <f>SUM(K191:K194)</f>
        <v>22.984939999999998</v>
      </c>
    </row>
    <row r="196" spans="2:11">
      <c r="C196" s="35" t="s">
        <v>309</v>
      </c>
    </row>
    <row r="197" spans="2:11">
      <c r="C197" t="s">
        <v>310</v>
      </c>
      <c r="G197" s="8" t="s">
        <v>311</v>
      </c>
      <c r="I197" s="10">
        <v>3</v>
      </c>
      <c r="J197" s="12">
        <f>K189</f>
        <v>15.246545454545453</v>
      </c>
      <c r="K197" s="12">
        <f>I197%*J197</f>
        <v>0.4573963636363636</v>
      </c>
    </row>
    <row r="198" spans="2:11">
      <c r="C198" t="s">
        <v>667</v>
      </c>
      <c r="G198" s="8" t="s">
        <v>337</v>
      </c>
      <c r="H198" s="9">
        <v>0.5</v>
      </c>
      <c r="I198" s="10">
        <f>H198*8/$E$183</f>
        <v>3.6363636363636362E-2</v>
      </c>
      <c r="J198" s="12">
        <v>25.63</v>
      </c>
      <c r="K198" s="12">
        <f>I198*J198</f>
        <v>0.93199999999999994</v>
      </c>
    </row>
    <row r="199" spans="2:11">
      <c r="B199" s="14"/>
      <c r="C199" s="14"/>
      <c r="D199" s="14"/>
      <c r="E199" s="14"/>
      <c r="F199" s="14"/>
      <c r="G199" s="14"/>
      <c r="H199" s="14"/>
      <c r="I199" s="14"/>
      <c r="J199" s="14"/>
      <c r="K199" s="36">
        <f>SUM(K197:K198)</f>
        <v>1.3893963636363635</v>
      </c>
    </row>
    <row r="200" spans="2:11">
      <c r="K200" s="34"/>
    </row>
    <row r="201" spans="2:11">
      <c r="B201" s="250" t="s">
        <v>277</v>
      </c>
      <c r="C201" s="250" t="str">
        <f>ESTRUCTURA!A21</f>
        <v>02.02.04.01</v>
      </c>
      <c r="D201" s="250" t="s">
        <v>670</v>
      </c>
      <c r="E201" s="250"/>
      <c r="F201" s="250"/>
      <c r="G201" s="272"/>
      <c r="H201" s="272"/>
      <c r="I201" s="272"/>
      <c r="J201" s="272"/>
      <c r="K201" s="272"/>
    </row>
    <row r="202" spans="2:11">
      <c r="B202" s="250" t="s">
        <v>278</v>
      </c>
      <c r="C202" s="250" t="s">
        <v>279</v>
      </c>
      <c r="D202" s="250" t="s">
        <v>280</v>
      </c>
      <c r="E202" s="262">
        <v>120</v>
      </c>
      <c r="F202" s="262" t="s">
        <v>281</v>
      </c>
      <c r="G202" s="262">
        <f>E202</f>
        <v>120</v>
      </c>
      <c r="H202" s="262" t="s">
        <v>282</v>
      </c>
      <c r="I202" s="250"/>
      <c r="J202" s="250" t="s">
        <v>133</v>
      </c>
      <c r="K202" s="260">
        <f>K208+K214+K218</f>
        <v>27.126394000000001</v>
      </c>
    </row>
    <row r="203" spans="2:11">
      <c r="B203" s="250" t="s">
        <v>283</v>
      </c>
      <c r="C203" s="250" t="s">
        <v>284</v>
      </c>
      <c r="D203" s="250"/>
      <c r="E203" s="273"/>
      <c r="F203" s="273"/>
      <c r="G203" s="262" t="s">
        <v>122</v>
      </c>
      <c r="H203" s="262" t="s">
        <v>285</v>
      </c>
      <c r="I203" s="250" t="s">
        <v>286</v>
      </c>
      <c r="J203" s="250" t="s">
        <v>287</v>
      </c>
      <c r="K203" s="250" t="s">
        <v>288</v>
      </c>
    </row>
    <row r="204" spans="2:11">
      <c r="B204" s="272"/>
      <c r="C204" s="251" t="s">
        <v>289</v>
      </c>
      <c r="D204" s="272"/>
      <c r="E204" s="273"/>
      <c r="F204" s="273"/>
      <c r="G204" s="273"/>
      <c r="H204" s="273"/>
      <c r="I204" s="272"/>
      <c r="J204" s="272"/>
      <c r="K204" s="272"/>
    </row>
    <row r="205" spans="2:11">
      <c r="B205" s="272"/>
      <c r="C205" s="272" t="s">
        <v>290</v>
      </c>
      <c r="D205" s="272"/>
      <c r="E205" s="273"/>
      <c r="F205" s="273"/>
      <c r="G205" s="273" t="s">
        <v>291</v>
      </c>
      <c r="H205" s="273">
        <v>2</v>
      </c>
      <c r="I205" s="274">
        <f>H205*8/$E$202</f>
        <v>0.13333333333333333</v>
      </c>
      <c r="J205" s="272">
        <v>28.94</v>
      </c>
      <c r="K205" s="275">
        <f>I205*J205</f>
        <v>3.8586666666666667</v>
      </c>
    </row>
    <row r="206" spans="2:11">
      <c r="B206" s="272"/>
      <c r="C206" s="272" t="s">
        <v>292</v>
      </c>
      <c r="D206" s="272"/>
      <c r="E206" s="273"/>
      <c r="F206" s="273"/>
      <c r="G206" s="273" t="s">
        <v>291</v>
      </c>
      <c r="H206" s="273">
        <v>2</v>
      </c>
      <c r="I206" s="274">
        <f>H206*8/$E$202</f>
        <v>0.13333333333333333</v>
      </c>
      <c r="J206" s="272">
        <v>23.6</v>
      </c>
      <c r="K206" s="275">
        <f>I206*J206</f>
        <v>3.1466666666666669</v>
      </c>
    </row>
    <row r="207" spans="2:11">
      <c r="B207" s="272"/>
      <c r="C207" s="272" t="s">
        <v>293</v>
      </c>
      <c r="D207" s="272"/>
      <c r="E207" s="273"/>
      <c r="F207" s="273"/>
      <c r="G207" s="273" t="s">
        <v>291</v>
      </c>
      <c r="H207" s="273">
        <v>6</v>
      </c>
      <c r="I207" s="274">
        <f>H207*8/$E$202</f>
        <v>0.4</v>
      </c>
      <c r="J207" s="272">
        <v>21.36</v>
      </c>
      <c r="K207" s="275">
        <f>I207*J207</f>
        <v>8.5440000000000005</v>
      </c>
    </row>
    <row r="208" spans="2:11">
      <c r="B208" s="272"/>
      <c r="C208" s="272"/>
      <c r="D208" s="272"/>
      <c r="E208" s="273"/>
      <c r="F208" s="273"/>
      <c r="G208" s="273"/>
      <c r="H208" s="273"/>
      <c r="I208" s="274"/>
      <c r="J208" s="272"/>
      <c r="K208" s="260">
        <f>SUM(K205:K207)</f>
        <v>15.549333333333333</v>
      </c>
    </row>
    <row r="209" spans="2:11">
      <c r="B209" s="272"/>
      <c r="C209" s="251" t="s">
        <v>653</v>
      </c>
      <c r="D209" s="272"/>
      <c r="E209" s="273"/>
      <c r="F209" s="273"/>
      <c r="G209" s="273"/>
      <c r="H209" s="273"/>
      <c r="I209" s="274"/>
      <c r="J209" s="272"/>
      <c r="K209" s="272"/>
    </row>
    <row r="210" spans="2:11">
      <c r="B210" s="272"/>
      <c r="C210" s="272" t="s">
        <v>306</v>
      </c>
      <c r="D210" s="272"/>
      <c r="E210" s="273"/>
      <c r="F210" s="273"/>
      <c r="G210" s="273" t="s">
        <v>307</v>
      </c>
      <c r="H210" s="273"/>
      <c r="I210" s="274">
        <v>0.19</v>
      </c>
      <c r="J210" s="272">
        <v>24.52</v>
      </c>
      <c r="K210" s="275">
        <f>I210*J210</f>
        <v>4.6588000000000003</v>
      </c>
    </row>
    <row r="211" spans="2:11">
      <c r="B211" s="272"/>
      <c r="C211" s="272" t="s">
        <v>655</v>
      </c>
      <c r="D211" s="272"/>
      <c r="E211" s="273"/>
      <c r="F211" s="273"/>
      <c r="G211" s="273" t="s">
        <v>203</v>
      </c>
      <c r="H211" s="273"/>
      <c r="I211" s="274">
        <v>8.0999999999999996E-3</v>
      </c>
      <c r="J211" s="272">
        <v>6.14</v>
      </c>
      <c r="K211" s="275">
        <f>I211*J211</f>
        <v>4.9733999999999993E-2</v>
      </c>
    </row>
    <row r="212" spans="2:11">
      <c r="B212" s="272"/>
      <c r="C212" s="272" t="s">
        <v>665</v>
      </c>
      <c r="D212" s="272"/>
      <c r="E212" s="273"/>
      <c r="F212" s="273"/>
      <c r="G212" s="273" t="s">
        <v>439</v>
      </c>
      <c r="H212" s="273"/>
      <c r="I212" s="274">
        <v>6.0000000000000001E-3</v>
      </c>
      <c r="J212" s="272">
        <v>13.93</v>
      </c>
      <c r="K212" s="275">
        <f>I212*J212</f>
        <v>8.3580000000000002E-2</v>
      </c>
    </row>
    <row r="213" spans="2:11">
      <c r="B213" s="272"/>
      <c r="C213" s="272" t="s">
        <v>302</v>
      </c>
      <c r="D213" s="272"/>
      <c r="E213" s="273"/>
      <c r="F213" s="273"/>
      <c r="G213" s="273" t="s">
        <v>203</v>
      </c>
      <c r="H213" s="273"/>
      <c r="I213" s="274">
        <v>6.5000000000000002E-2</v>
      </c>
      <c r="J213" s="279">
        <v>70.92</v>
      </c>
      <c r="K213" s="275">
        <f>I213*J213</f>
        <v>4.6097999999999999</v>
      </c>
    </row>
    <row r="214" spans="2:11">
      <c r="B214" s="272"/>
      <c r="C214" s="272"/>
      <c r="D214" s="272"/>
      <c r="E214" s="273"/>
      <c r="F214" s="273"/>
      <c r="G214" s="273"/>
      <c r="H214" s="273"/>
      <c r="I214" s="274"/>
      <c r="J214" s="272"/>
      <c r="K214" s="260">
        <f>SUM(K210:K213)</f>
        <v>9.4019140000000014</v>
      </c>
    </row>
    <row r="215" spans="2:11">
      <c r="B215" s="272"/>
      <c r="C215" s="251" t="s">
        <v>309</v>
      </c>
      <c r="D215" s="272"/>
      <c r="E215" s="273"/>
      <c r="F215" s="273"/>
      <c r="G215" s="273"/>
      <c r="H215" s="273"/>
      <c r="I215" s="274"/>
      <c r="J215" s="272"/>
      <c r="K215" s="272"/>
    </row>
    <row r="216" spans="2:11">
      <c r="B216" s="272"/>
      <c r="C216" s="272" t="s">
        <v>310</v>
      </c>
      <c r="D216" s="272"/>
      <c r="E216" s="273"/>
      <c r="F216" s="273"/>
      <c r="G216" s="273" t="s">
        <v>311</v>
      </c>
      <c r="H216" s="273"/>
      <c r="I216" s="274">
        <v>3</v>
      </c>
      <c r="J216" s="275">
        <f>K208</f>
        <v>15.549333333333333</v>
      </c>
      <c r="K216" s="275">
        <f>I216%*J216</f>
        <v>0.46648000000000001</v>
      </c>
    </row>
    <row r="217" spans="2:11">
      <c r="B217" s="272"/>
      <c r="C217" s="272" t="s">
        <v>667</v>
      </c>
      <c r="D217" s="272"/>
      <c r="E217" s="273"/>
      <c r="F217" s="273"/>
      <c r="G217" s="273" t="s">
        <v>337</v>
      </c>
      <c r="H217" s="273">
        <v>1</v>
      </c>
      <c r="I217" s="274">
        <f>H217*8/$E$202</f>
        <v>6.6666666666666666E-2</v>
      </c>
      <c r="J217" s="272">
        <v>25.63</v>
      </c>
      <c r="K217" s="275">
        <f>I217*J217</f>
        <v>1.7086666666666666</v>
      </c>
    </row>
    <row r="218" spans="2:11">
      <c r="B218" s="277" t="s">
        <v>671</v>
      </c>
      <c r="C218" s="277" t="s">
        <v>671</v>
      </c>
      <c r="D218" s="277" t="s">
        <v>671</v>
      </c>
      <c r="E218" s="277" t="s">
        <v>671</v>
      </c>
      <c r="F218" s="277" t="s">
        <v>671</v>
      </c>
      <c r="G218" s="277" t="s">
        <v>671</v>
      </c>
      <c r="H218" s="277" t="s">
        <v>671</v>
      </c>
      <c r="I218" s="277" t="s">
        <v>671</v>
      </c>
      <c r="J218" s="277" t="s">
        <v>671</v>
      </c>
      <c r="K218" s="261">
        <f>SUM(K216:K217)</f>
        <v>2.1751466666666666</v>
      </c>
    </row>
    <row r="219" spans="2:11">
      <c r="B219" s="272"/>
      <c r="C219" s="272"/>
      <c r="D219" s="272"/>
      <c r="E219" s="272"/>
      <c r="F219" s="272"/>
      <c r="G219" s="272"/>
      <c r="H219" s="272"/>
      <c r="I219" s="272"/>
      <c r="J219" s="272"/>
      <c r="K219" s="260"/>
    </row>
    <row r="220" spans="2:11">
      <c r="B220" s="31" t="s">
        <v>277</v>
      </c>
      <c r="C220" s="31" t="str">
        <f>ESTRUCTURA!A24</f>
        <v>02.03.01.01</v>
      </c>
      <c r="D220" s="31" t="s">
        <v>496</v>
      </c>
      <c r="E220" s="31"/>
    </row>
    <row r="221" spans="2:11">
      <c r="B221" s="31" t="s">
        <v>278</v>
      </c>
      <c r="C221" s="31" t="s">
        <v>416</v>
      </c>
      <c r="D221" s="32" t="s">
        <v>280</v>
      </c>
      <c r="E221" s="33">
        <v>25</v>
      </c>
      <c r="F221" s="32" t="s">
        <v>281</v>
      </c>
      <c r="G221" s="33">
        <f>E221</f>
        <v>25</v>
      </c>
      <c r="H221" s="31" t="s">
        <v>282</v>
      </c>
      <c r="J221" s="32" t="s">
        <v>203</v>
      </c>
      <c r="K221" s="34">
        <f>K227+K235+K240</f>
        <v>426.39754399999998</v>
      </c>
    </row>
    <row r="222" spans="2:11">
      <c r="B222" s="31" t="s">
        <v>283</v>
      </c>
      <c r="C222" s="31" t="s">
        <v>284</v>
      </c>
      <c r="G222" s="32" t="s">
        <v>122</v>
      </c>
      <c r="H222" s="32" t="s">
        <v>285</v>
      </c>
      <c r="I222" s="32" t="s">
        <v>286</v>
      </c>
      <c r="J222" s="32" t="s">
        <v>287</v>
      </c>
      <c r="K222" s="32" t="s">
        <v>288</v>
      </c>
    </row>
    <row r="223" spans="2:11">
      <c r="C223" s="35" t="s">
        <v>289</v>
      </c>
    </row>
    <row r="224" spans="2:11">
      <c r="C224" t="s">
        <v>290</v>
      </c>
      <c r="G224" s="8" t="s">
        <v>291</v>
      </c>
      <c r="H224" s="9">
        <v>2</v>
      </c>
      <c r="I224" s="10">
        <f>H224*8/$E$221</f>
        <v>0.64</v>
      </c>
      <c r="J224" s="12">
        <v>28.94</v>
      </c>
      <c r="K224" s="12">
        <f>I224*J224</f>
        <v>18.521600000000003</v>
      </c>
    </row>
    <row r="225" spans="2:11">
      <c r="C225" t="s">
        <v>292</v>
      </c>
      <c r="G225" s="8" t="s">
        <v>291</v>
      </c>
      <c r="H225" s="9">
        <v>2</v>
      </c>
      <c r="I225" s="10">
        <f>H225*8/$E$221</f>
        <v>0.64</v>
      </c>
      <c r="J225" s="12">
        <v>23.6</v>
      </c>
      <c r="K225" s="12">
        <f>I225*J225</f>
        <v>15.104000000000001</v>
      </c>
    </row>
    <row r="226" spans="2:11">
      <c r="C226" t="s">
        <v>293</v>
      </c>
      <c r="G226" s="8" t="s">
        <v>291</v>
      </c>
      <c r="H226" s="9">
        <v>6</v>
      </c>
      <c r="I226" s="10">
        <f>H226*8/$E$221</f>
        <v>1.92</v>
      </c>
      <c r="J226" s="12">
        <v>21.36</v>
      </c>
      <c r="K226" s="12">
        <f>I226*J226</f>
        <v>41.011199999999995</v>
      </c>
    </row>
    <row r="227" spans="2:11">
      <c r="G227" s="8"/>
      <c r="H227" s="9"/>
      <c r="I227" s="10"/>
      <c r="K227" s="34">
        <f>SUM(K224:K226)</f>
        <v>74.636799999999994</v>
      </c>
    </row>
    <row r="228" spans="2:11">
      <c r="C228" s="35" t="s">
        <v>653</v>
      </c>
      <c r="G228" s="8"/>
      <c r="H228" s="9"/>
      <c r="I228" s="10"/>
      <c r="K228" s="12"/>
    </row>
    <row r="229" spans="2:11">
      <c r="C229" t="s">
        <v>672</v>
      </c>
      <c r="G229" s="8" t="s">
        <v>203</v>
      </c>
      <c r="I229" s="10">
        <v>0.53</v>
      </c>
      <c r="J229" s="12">
        <v>55.08</v>
      </c>
      <c r="K229" s="12">
        <f>I229*J229</f>
        <v>29.192399999999999</v>
      </c>
    </row>
    <row r="230" spans="2:11">
      <c r="C230" t="s">
        <v>673</v>
      </c>
      <c r="G230" s="8" t="s">
        <v>203</v>
      </c>
      <c r="I230" s="10">
        <v>0.52</v>
      </c>
      <c r="J230" s="12">
        <v>47</v>
      </c>
      <c r="K230" s="12">
        <f>I230*J230</f>
        <v>24.44</v>
      </c>
    </row>
    <row r="231" spans="2:11">
      <c r="C231" t="s">
        <v>306</v>
      </c>
      <c r="G231" s="8" t="s">
        <v>307</v>
      </c>
      <c r="I231" s="10">
        <v>9.73</v>
      </c>
      <c r="J231" s="12">
        <v>24.52</v>
      </c>
      <c r="K231" s="12">
        <f>I231*J231</f>
        <v>238.5796</v>
      </c>
    </row>
    <row r="232" spans="2:11">
      <c r="C232" t="s">
        <v>655</v>
      </c>
      <c r="G232" s="8" t="s">
        <v>203</v>
      </c>
      <c r="I232" s="10">
        <v>0.186</v>
      </c>
      <c r="J232">
        <v>6.14</v>
      </c>
      <c r="K232" s="12">
        <f>I232*J232</f>
        <v>1.1420399999999999</v>
      </c>
    </row>
    <row r="233" spans="2:11">
      <c r="C233" t="s">
        <v>665</v>
      </c>
      <c r="G233" s="8" t="s">
        <v>439</v>
      </c>
      <c r="I233" s="10">
        <v>0.36</v>
      </c>
      <c r="J233">
        <v>13.93</v>
      </c>
      <c r="K233" s="12">
        <f>I233*J233</f>
        <v>5.0148000000000001</v>
      </c>
    </row>
    <row r="234" spans="2:11">
      <c r="C234" t="s">
        <v>674</v>
      </c>
      <c r="G234" s="8" t="s">
        <v>439</v>
      </c>
      <c r="I234" s="10">
        <v>1.5</v>
      </c>
      <c r="J234" s="17">
        <v>27.88</v>
      </c>
      <c r="K234" s="12">
        <f>I234*J234</f>
        <v>41.82</v>
      </c>
    </row>
    <row r="235" spans="2:11">
      <c r="G235" s="8"/>
      <c r="I235" s="10"/>
      <c r="J235" s="12"/>
      <c r="K235" s="34">
        <f>SUM(K229:K234)</f>
        <v>340.18883999999997</v>
      </c>
    </row>
    <row r="236" spans="2:11">
      <c r="C236" s="35" t="s">
        <v>309</v>
      </c>
    </row>
    <row r="237" spans="2:11">
      <c r="C237" t="s">
        <v>310</v>
      </c>
      <c r="G237" s="8" t="s">
        <v>311</v>
      </c>
      <c r="I237" s="10">
        <v>3</v>
      </c>
      <c r="J237" s="12">
        <f>K227</f>
        <v>74.636799999999994</v>
      </c>
      <c r="K237" s="12">
        <f>I237%*J237</f>
        <v>2.2391039999999998</v>
      </c>
    </row>
    <row r="238" spans="2:11">
      <c r="C238" t="s">
        <v>667</v>
      </c>
      <c r="G238" s="8" t="s">
        <v>337</v>
      </c>
      <c r="H238" s="9">
        <v>1</v>
      </c>
      <c r="I238" s="10">
        <f>H238*8/$E$221</f>
        <v>0.32</v>
      </c>
      <c r="J238" s="12">
        <v>25.63</v>
      </c>
      <c r="K238" s="12">
        <f>I238*J238</f>
        <v>8.2015999999999991</v>
      </c>
    </row>
    <row r="239" spans="2:11">
      <c r="C239" t="s">
        <v>675</v>
      </c>
      <c r="G239" s="8" t="s">
        <v>337</v>
      </c>
      <c r="H239" s="9">
        <v>0.5</v>
      </c>
      <c r="I239" s="10">
        <f>H239*8/$E$221</f>
        <v>0.16</v>
      </c>
      <c r="J239" s="12">
        <v>7.07</v>
      </c>
      <c r="K239" s="12">
        <f>I239*J239</f>
        <v>1.1312</v>
      </c>
    </row>
    <row r="240" spans="2:11">
      <c r="B240" s="14"/>
      <c r="C240" s="14"/>
      <c r="D240" s="14"/>
      <c r="E240" s="14"/>
      <c r="F240" s="14"/>
      <c r="G240" s="14"/>
      <c r="H240" s="14"/>
      <c r="I240" s="14"/>
      <c r="J240" s="14"/>
      <c r="K240" s="36">
        <f>SUM(K237:K239)</f>
        <v>11.571903999999998</v>
      </c>
    </row>
    <row r="242" spans="2:11">
      <c r="B242" s="31" t="s">
        <v>277</v>
      </c>
      <c r="C242" s="31"/>
      <c r="D242" s="31" t="s">
        <v>676</v>
      </c>
      <c r="E242" s="31"/>
    </row>
    <row r="243" spans="2:11">
      <c r="B243" s="31" t="s">
        <v>278</v>
      </c>
      <c r="C243" s="31" t="s">
        <v>279</v>
      </c>
      <c r="D243" s="32" t="s">
        <v>280</v>
      </c>
      <c r="E243" s="33">
        <v>8</v>
      </c>
      <c r="F243" s="32" t="s">
        <v>281</v>
      </c>
      <c r="G243" s="33">
        <f>E243</f>
        <v>8</v>
      </c>
      <c r="H243" s="31" t="s">
        <v>282</v>
      </c>
      <c r="J243" s="32" t="s">
        <v>133</v>
      </c>
      <c r="K243" s="34">
        <f>K248+K253+K256</f>
        <v>75.114200000000011</v>
      </c>
    </row>
    <row r="244" spans="2:11">
      <c r="B244" s="31" t="s">
        <v>283</v>
      </c>
      <c r="C244" s="31" t="s">
        <v>284</v>
      </c>
      <c r="G244" s="32" t="s">
        <v>122</v>
      </c>
      <c r="H244" s="32" t="s">
        <v>285</v>
      </c>
      <c r="I244" s="32" t="s">
        <v>286</v>
      </c>
      <c r="J244" s="32" t="s">
        <v>287</v>
      </c>
      <c r="K244" s="32" t="s">
        <v>288</v>
      </c>
    </row>
    <row r="245" spans="2:11">
      <c r="C245" s="35" t="s">
        <v>289</v>
      </c>
    </row>
    <row r="246" spans="2:11">
      <c r="C246" t="s">
        <v>290</v>
      </c>
      <c r="G246" s="8" t="s">
        <v>291</v>
      </c>
      <c r="H246" s="9">
        <v>1</v>
      </c>
      <c r="I246" s="10">
        <f>H246*8/$E$243</f>
        <v>1</v>
      </c>
      <c r="J246" s="12">
        <v>28.94</v>
      </c>
      <c r="K246" s="12">
        <f>I246*J246</f>
        <v>28.94</v>
      </c>
    </row>
    <row r="247" spans="2:11">
      <c r="C247" t="s">
        <v>292</v>
      </c>
      <c r="G247" s="8" t="s">
        <v>291</v>
      </c>
      <c r="H247" s="9">
        <v>1</v>
      </c>
      <c r="I247" s="10">
        <f>H247*8/$E$243</f>
        <v>1</v>
      </c>
      <c r="J247" s="12">
        <v>23.6</v>
      </c>
      <c r="K247" s="12">
        <f>I247*J247</f>
        <v>23.6</v>
      </c>
    </row>
    <row r="248" spans="2:11">
      <c r="G248" s="8"/>
      <c r="H248" s="9"/>
      <c r="I248" s="10"/>
      <c r="K248" s="34">
        <f>SUM(K246:K247)</f>
        <v>52.540000000000006</v>
      </c>
    </row>
    <row r="249" spans="2:11">
      <c r="C249" s="35" t="s">
        <v>653</v>
      </c>
      <c r="G249" s="8"/>
      <c r="H249" s="9"/>
      <c r="I249" s="10"/>
      <c r="K249" s="12"/>
    </row>
    <row r="250" spans="2:11">
      <c r="C250" t="s">
        <v>677</v>
      </c>
      <c r="G250" s="8" t="s">
        <v>296</v>
      </c>
      <c r="I250" s="10">
        <v>0.26</v>
      </c>
      <c r="J250" s="12">
        <v>2.64</v>
      </c>
      <c r="K250" s="12">
        <f>I250*J250</f>
        <v>0.68640000000000001</v>
      </c>
    </row>
    <row r="251" spans="2:11">
      <c r="C251" t="s">
        <v>301</v>
      </c>
      <c r="G251" s="8" t="s">
        <v>296</v>
      </c>
      <c r="I251" s="10">
        <v>0.16</v>
      </c>
      <c r="J251" s="12">
        <v>5.51</v>
      </c>
      <c r="K251" s="12">
        <f>I251*J251</f>
        <v>0.88159999999999994</v>
      </c>
    </row>
    <row r="252" spans="2:11">
      <c r="C252" t="s">
        <v>669</v>
      </c>
      <c r="G252" s="8" t="s">
        <v>305</v>
      </c>
      <c r="I252" s="10">
        <v>3.35</v>
      </c>
      <c r="J252" s="12">
        <v>5.8</v>
      </c>
      <c r="K252" s="12">
        <f>I252*J252</f>
        <v>19.43</v>
      </c>
    </row>
    <row r="253" spans="2:11">
      <c r="G253" s="8"/>
      <c r="I253" s="10"/>
      <c r="J253" s="12"/>
      <c r="K253" s="34">
        <f>SUM(K250:K252)</f>
        <v>20.998000000000001</v>
      </c>
    </row>
    <row r="254" spans="2:11">
      <c r="C254" s="35" t="s">
        <v>309</v>
      </c>
    </row>
    <row r="255" spans="2:11">
      <c r="C255" t="s">
        <v>310</v>
      </c>
      <c r="G255" s="8" t="s">
        <v>311</v>
      </c>
      <c r="I255" s="10">
        <v>3</v>
      </c>
      <c r="J255" s="12">
        <f>K248</f>
        <v>52.540000000000006</v>
      </c>
      <c r="K255" s="12">
        <f>I255%*J255</f>
        <v>1.5762</v>
      </c>
    </row>
    <row r="256" spans="2:11">
      <c r="B256" s="14"/>
      <c r="C256" s="14"/>
      <c r="D256" s="14"/>
      <c r="E256" s="14"/>
      <c r="F256" s="14"/>
      <c r="G256" s="14"/>
      <c r="H256" s="14"/>
      <c r="I256" s="14"/>
      <c r="J256" s="14"/>
      <c r="K256" s="36">
        <f>SUM(K255)</f>
        <v>1.5762</v>
      </c>
    </row>
    <row r="259" spans="2:11">
      <c r="B259" s="31" t="s">
        <v>277</v>
      </c>
      <c r="C259" s="31" t="str">
        <f>ESTRUCTURA!A25</f>
        <v>02.03.01.02</v>
      </c>
      <c r="D259" s="31" t="s">
        <v>498</v>
      </c>
      <c r="E259" s="31"/>
    </row>
    <row r="260" spans="2:11">
      <c r="B260" s="31" t="s">
        <v>278</v>
      </c>
      <c r="C260" s="31" t="s">
        <v>678</v>
      </c>
      <c r="D260" s="32" t="s">
        <v>280</v>
      </c>
      <c r="E260" s="33">
        <v>250</v>
      </c>
      <c r="F260" s="32" t="s">
        <v>281</v>
      </c>
      <c r="G260" s="33">
        <f>E260</f>
        <v>250</v>
      </c>
      <c r="H260" s="31" t="s">
        <v>282</v>
      </c>
      <c r="J260" s="32" t="s">
        <v>296</v>
      </c>
      <c r="K260" s="34">
        <f>K265+K269+K273</f>
        <v>5.5639628445000007</v>
      </c>
    </row>
    <row r="261" spans="2:11">
      <c r="B261" s="31" t="s">
        <v>283</v>
      </c>
      <c r="C261" s="31" t="s">
        <v>284</v>
      </c>
      <c r="G261" s="32" t="s">
        <v>122</v>
      </c>
      <c r="H261" s="32" t="s">
        <v>285</v>
      </c>
      <c r="I261" s="32" t="s">
        <v>286</v>
      </c>
      <c r="J261" s="32" t="s">
        <v>287</v>
      </c>
      <c r="K261" s="32" t="s">
        <v>288</v>
      </c>
    </row>
    <row r="262" spans="2:11">
      <c r="C262" s="35" t="s">
        <v>289</v>
      </c>
      <c r="H262" s="9"/>
    </row>
    <row r="263" spans="2:11">
      <c r="C263" t="s">
        <v>290</v>
      </c>
      <c r="G263" s="8" t="s">
        <v>291</v>
      </c>
      <c r="H263" s="9">
        <v>1</v>
      </c>
      <c r="I263" s="18">
        <f>H263*8/$E$260</f>
        <v>3.2000000000000001E-2</v>
      </c>
      <c r="J263" s="12">
        <v>28.94</v>
      </c>
      <c r="K263" s="12">
        <f>I263*J263</f>
        <v>0.92608000000000001</v>
      </c>
    </row>
    <row r="264" spans="2:11">
      <c r="C264" t="s">
        <v>679</v>
      </c>
      <c r="G264" s="8" t="s">
        <v>291</v>
      </c>
      <c r="H264" s="9">
        <v>1</v>
      </c>
      <c r="I264" s="18">
        <f>H264*8/$E$260</f>
        <v>3.2000000000000001E-2</v>
      </c>
      <c r="J264" s="12">
        <v>23.6</v>
      </c>
      <c r="K264" s="12">
        <f>I264*J264</f>
        <v>0.75520000000000009</v>
      </c>
    </row>
    <row r="265" spans="2:11">
      <c r="G265" s="8"/>
      <c r="H265" s="9"/>
      <c r="K265" s="34">
        <f>SUM(K263:K264)</f>
        <v>1.6812800000000001</v>
      </c>
    </row>
    <row r="266" spans="2:11">
      <c r="C266" s="35" t="s">
        <v>294</v>
      </c>
      <c r="G266" s="8"/>
      <c r="H266" s="9"/>
      <c r="I266" s="18"/>
    </row>
    <row r="267" spans="2:11">
      <c r="C267" t="s">
        <v>295</v>
      </c>
      <c r="G267" s="8" t="s">
        <v>296</v>
      </c>
      <c r="H267" s="9"/>
      <c r="I267" s="18">
        <v>0.03</v>
      </c>
      <c r="J267" s="12">
        <v>2.64</v>
      </c>
      <c r="K267" s="12">
        <f>I267*J267</f>
        <v>7.9200000000000007E-2</v>
      </c>
    </row>
    <row r="268" spans="2:11">
      <c r="C268" t="s">
        <v>680</v>
      </c>
      <c r="G268" s="8" t="s">
        <v>296</v>
      </c>
      <c r="H268" s="9"/>
      <c r="I268" s="18">
        <v>1.05</v>
      </c>
      <c r="J268" s="12">
        <f>1012.71*3.379/1000</f>
        <v>3.4219470900000002</v>
      </c>
      <c r="K268" s="12">
        <f>I268*J268</f>
        <v>3.5930444445000003</v>
      </c>
    </row>
    <row r="269" spans="2:11">
      <c r="G269" s="8"/>
      <c r="H269" s="9"/>
      <c r="K269" s="34">
        <f>SUM(K267:K268)</f>
        <v>3.6722444445000004</v>
      </c>
    </row>
    <row r="270" spans="2:11">
      <c r="C270" s="35" t="s">
        <v>317</v>
      </c>
      <c r="G270" s="8"/>
      <c r="H270" s="9"/>
    </row>
    <row r="271" spans="2:11">
      <c r="C271" t="s">
        <v>310</v>
      </c>
      <c r="G271" s="8" t="s">
        <v>311</v>
      </c>
      <c r="I271" s="10">
        <v>3</v>
      </c>
      <c r="J271" s="12">
        <f>K265</f>
        <v>1.6812800000000001</v>
      </c>
      <c r="K271" s="12">
        <f>I271%*J271</f>
        <v>5.0438400000000001E-2</v>
      </c>
    </row>
    <row r="272" spans="2:11">
      <c r="C272" t="s">
        <v>681</v>
      </c>
      <c r="G272" s="8" t="s">
        <v>291</v>
      </c>
      <c r="H272" s="9">
        <v>1</v>
      </c>
      <c r="I272" s="18">
        <f>H272*8/$E$260</f>
        <v>3.2000000000000001E-2</v>
      </c>
      <c r="J272" s="50">
        <v>5</v>
      </c>
      <c r="K272" s="12">
        <f>I272*J272</f>
        <v>0.16</v>
      </c>
    </row>
    <row r="273" spans="2:11">
      <c r="B273" s="14"/>
      <c r="C273" s="14"/>
      <c r="D273" s="14"/>
      <c r="E273" s="14"/>
      <c r="F273" s="14"/>
      <c r="G273" s="14"/>
      <c r="H273" s="14"/>
      <c r="I273" s="14"/>
      <c r="J273" s="14"/>
      <c r="K273" s="36">
        <f>SUM(K271:K272)</f>
        <v>0.2104384</v>
      </c>
    </row>
    <row r="275" spans="2:11">
      <c r="B275" s="250" t="s">
        <v>277</v>
      </c>
      <c r="C275" s="31" t="str">
        <f>ESTRUCTURA!A27</f>
        <v>02.03.02.01</v>
      </c>
      <c r="D275" s="250" t="s">
        <v>682</v>
      </c>
      <c r="E275" s="250"/>
      <c r="F275" s="250"/>
      <c r="G275" s="250"/>
      <c r="H275" s="272"/>
      <c r="I275" s="272"/>
      <c r="J275" s="272"/>
      <c r="K275" s="272"/>
    </row>
    <row r="276" spans="2:11">
      <c r="B276" s="250" t="s">
        <v>278</v>
      </c>
      <c r="C276" s="250" t="s">
        <v>416</v>
      </c>
      <c r="D276" s="250" t="s">
        <v>280</v>
      </c>
      <c r="E276" s="262">
        <v>25</v>
      </c>
      <c r="F276" s="262" t="s">
        <v>281</v>
      </c>
      <c r="G276" s="262">
        <f>E276</f>
        <v>25</v>
      </c>
      <c r="H276" s="262" t="s">
        <v>282</v>
      </c>
      <c r="I276" s="250"/>
      <c r="J276" s="250" t="s">
        <v>203</v>
      </c>
      <c r="K276" s="260">
        <f>SUM(K282+K290+K295)</f>
        <v>426.39754399999998</v>
      </c>
    </row>
    <row r="277" spans="2:11">
      <c r="B277" s="250" t="s">
        <v>283</v>
      </c>
      <c r="C277" s="250" t="s">
        <v>284</v>
      </c>
      <c r="D277" s="250"/>
      <c r="E277" s="273"/>
      <c r="F277" s="273"/>
      <c r="G277" s="262" t="s">
        <v>122</v>
      </c>
      <c r="H277" s="262" t="s">
        <v>285</v>
      </c>
      <c r="I277" s="250" t="s">
        <v>286</v>
      </c>
      <c r="J277" s="250" t="s">
        <v>287</v>
      </c>
      <c r="K277" s="250" t="s">
        <v>288</v>
      </c>
    </row>
    <row r="278" spans="2:11">
      <c r="B278" s="272"/>
      <c r="C278" s="251" t="s">
        <v>289</v>
      </c>
      <c r="D278" s="272"/>
      <c r="E278" s="273"/>
      <c r="F278" s="273"/>
      <c r="G278" s="273"/>
      <c r="H278" s="273"/>
      <c r="I278" s="272"/>
      <c r="J278" s="272"/>
      <c r="K278" s="272"/>
    </row>
    <row r="279" spans="2:11">
      <c r="B279" s="272"/>
      <c r="C279" s="272" t="s">
        <v>290</v>
      </c>
      <c r="D279" s="272"/>
      <c r="E279" s="273"/>
      <c r="F279" s="273"/>
      <c r="G279" s="273" t="s">
        <v>291</v>
      </c>
      <c r="H279" s="273">
        <v>2</v>
      </c>
      <c r="I279" s="274">
        <f>H279*8/$E$276</f>
        <v>0.64</v>
      </c>
      <c r="J279" s="275">
        <v>28.94</v>
      </c>
      <c r="K279" s="275">
        <f>I279*J279</f>
        <v>18.521600000000003</v>
      </c>
    </row>
    <row r="280" spans="2:11">
      <c r="B280" s="272"/>
      <c r="C280" s="272" t="s">
        <v>292</v>
      </c>
      <c r="D280" s="272"/>
      <c r="E280" s="273"/>
      <c r="F280" s="273"/>
      <c r="G280" s="273" t="s">
        <v>291</v>
      </c>
      <c r="H280" s="273">
        <v>2</v>
      </c>
      <c r="I280" s="274">
        <f>H280*8/$E$276</f>
        <v>0.64</v>
      </c>
      <c r="J280" s="275">
        <v>23.6</v>
      </c>
      <c r="K280" s="275">
        <f>I280*J280</f>
        <v>15.104000000000001</v>
      </c>
    </row>
    <row r="281" spans="2:11">
      <c r="B281" s="272"/>
      <c r="C281" s="272" t="s">
        <v>293</v>
      </c>
      <c r="D281" s="272"/>
      <c r="E281" s="273"/>
      <c r="F281" s="273"/>
      <c r="G281" s="273" t="s">
        <v>291</v>
      </c>
      <c r="H281" s="273">
        <v>6</v>
      </c>
      <c r="I281" s="274">
        <f>H281*8/$E$276</f>
        <v>1.92</v>
      </c>
      <c r="J281" s="275">
        <v>21.36</v>
      </c>
      <c r="K281" s="275">
        <f>I281*J281</f>
        <v>41.011199999999995</v>
      </c>
    </row>
    <row r="282" spans="2:11">
      <c r="B282" s="272"/>
      <c r="C282" s="272"/>
      <c r="D282" s="272"/>
      <c r="E282" s="273"/>
      <c r="F282" s="273"/>
      <c r="G282" s="273"/>
      <c r="H282" s="273"/>
      <c r="I282" s="274"/>
      <c r="J282" s="275"/>
      <c r="K282" s="260">
        <f>SUM(K279:K281)</f>
        <v>74.636799999999994</v>
      </c>
    </row>
    <row r="283" spans="2:11">
      <c r="B283" s="272"/>
      <c r="C283" s="251" t="s">
        <v>653</v>
      </c>
      <c r="D283" s="272"/>
      <c r="E283" s="273"/>
      <c r="F283" s="273"/>
      <c r="G283" s="273"/>
      <c r="H283" s="273"/>
      <c r="I283" s="274"/>
      <c r="J283" s="275"/>
      <c r="K283" s="275"/>
    </row>
    <row r="284" spans="2:11">
      <c r="B284" s="272"/>
      <c r="C284" s="272" t="s">
        <v>672</v>
      </c>
      <c r="D284" s="272"/>
      <c r="E284" s="273"/>
      <c r="F284" s="273"/>
      <c r="G284" s="273" t="s">
        <v>203</v>
      </c>
      <c r="H284" s="273"/>
      <c r="I284" s="274">
        <v>0.53</v>
      </c>
      <c r="J284" s="275">
        <v>55.08</v>
      </c>
      <c r="K284" s="275">
        <f>I284*J284</f>
        <v>29.192399999999999</v>
      </c>
    </row>
    <row r="285" spans="2:11">
      <c r="B285" s="272"/>
      <c r="C285" s="272" t="s">
        <v>673</v>
      </c>
      <c r="D285" s="272"/>
      <c r="E285" s="273"/>
      <c r="F285" s="273"/>
      <c r="G285" s="273" t="s">
        <v>203</v>
      </c>
      <c r="H285" s="273"/>
      <c r="I285" s="274">
        <v>0.52</v>
      </c>
      <c r="J285" s="275">
        <v>47</v>
      </c>
      <c r="K285" s="275">
        <f>I285*J285</f>
        <v>24.44</v>
      </c>
    </row>
    <row r="286" spans="2:11">
      <c r="B286" s="272"/>
      <c r="C286" s="272" t="s">
        <v>306</v>
      </c>
      <c r="D286" s="272"/>
      <c r="E286" s="273"/>
      <c r="F286" s="273"/>
      <c r="G286" s="273" t="s">
        <v>307</v>
      </c>
      <c r="H286" s="273"/>
      <c r="I286" s="274">
        <v>9.73</v>
      </c>
      <c r="J286" s="275">
        <v>24.52</v>
      </c>
      <c r="K286" s="275">
        <f>I286*J286</f>
        <v>238.5796</v>
      </c>
    </row>
    <row r="287" spans="2:11">
      <c r="B287" s="272"/>
      <c r="C287" s="272" t="s">
        <v>655</v>
      </c>
      <c r="D287" s="272"/>
      <c r="E287" s="273"/>
      <c r="F287" s="273"/>
      <c r="G287" s="273" t="s">
        <v>203</v>
      </c>
      <c r="H287" s="273"/>
      <c r="I287" s="274">
        <v>0.186</v>
      </c>
      <c r="J287" s="275">
        <v>6.14</v>
      </c>
      <c r="K287" s="275">
        <f>I287*J287</f>
        <v>1.1420399999999999</v>
      </c>
    </row>
    <row r="288" spans="2:11">
      <c r="B288" s="272"/>
      <c r="C288" s="272" t="s">
        <v>665</v>
      </c>
      <c r="D288" s="272"/>
      <c r="E288" s="273"/>
      <c r="F288" s="273"/>
      <c r="G288" s="273" t="s">
        <v>439</v>
      </c>
      <c r="H288" s="273"/>
      <c r="I288" s="274">
        <v>0.36</v>
      </c>
      <c r="J288" s="275">
        <v>13.93</v>
      </c>
      <c r="K288" s="275">
        <f>I288*J288</f>
        <v>5.0148000000000001</v>
      </c>
    </row>
    <row r="289" spans="2:11">
      <c r="B289" s="272"/>
      <c r="C289" s="272" t="s">
        <v>674</v>
      </c>
      <c r="D289" s="272"/>
      <c r="E289" s="273"/>
      <c r="F289" s="273"/>
      <c r="G289" s="273" t="s">
        <v>439</v>
      </c>
      <c r="H289" s="273"/>
      <c r="I289" s="274">
        <v>1.5</v>
      </c>
      <c r="J289" s="276">
        <v>27.88</v>
      </c>
      <c r="K289" s="275">
        <f>I289*J289</f>
        <v>41.82</v>
      </c>
    </row>
    <row r="290" spans="2:11">
      <c r="B290" s="272"/>
      <c r="C290" s="272"/>
      <c r="D290" s="272"/>
      <c r="E290" s="273"/>
      <c r="F290" s="273"/>
      <c r="G290" s="273"/>
      <c r="H290" s="273"/>
      <c r="I290" s="274"/>
      <c r="J290" s="275"/>
      <c r="K290" s="260">
        <f>SUM(K284:K289)</f>
        <v>340.18883999999997</v>
      </c>
    </row>
    <row r="291" spans="2:11">
      <c r="B291" s="272"/>
      <c r="C291" s="251" t="s">
        <v>309</v>
      </c>
      <c r="D291" s="272"/>
      <c r="E291" s="273"/>
      <c r="F291" s="273"/>
      <c r="G291" s="273"/>
      <c r="H291" s="273"/>
      <c r="I291" s="274"/>
      <c r="J291" s="272"/>
      <c r="K291" s="272"/>
    </row>
    <row r="292" spans="2:11">
      <c r="B292" s="272"/>
      <c r="C292" s="272" t="s">
        <v>310</v>
      </c>
      <c r="D292" s="272"/>
      <c r="E292" s="273"/>
      <c r="F292" s="273"/>
      <c r="G292" s="273" t="s">
        <v>311</v>
      </c>
      <c r="H292" s="273"/>
      <c r="I292" s="274">
        <v>3</v>
      </c>
      <c r="J292" s="275">
        <f>K282</f>
        <v>74.636799999999994</v>
      </c>
      <c r="K292" s="275">
        <f>I292%*J292</f>
        <v>2.2391039999999998</v>
      </c>
    </row>
    <row r="293" spans="2:11">
      <c r="B293" s="272"/>
      <c r="C293" s="272" t="s">
        <v>667</v>
      </c>
      <c r="D293" s="272"/>
      <c r="E293" s="273"/>
      <c r="F293" s="273"/>
      <c r="G293" s="273" t="s">
        <v>337</v>
      </c>
      <c r="H293" s="273">
        <v>1</v>
      </c>
      <c r="I293" s="274">
        <f>H293*8/$E$276</f>
        <v>0.32</v>
      </c>
      <c r="J293" s="272">
        <v>25.63</v>
      </c>
      <c r="K293" s="275">
        <f>I293*J293</f>
        <v>8.2015999999999991</v>
      </c>
    </row>
    <row r="294" spans="2:11">
      <c r="B294" s="272"/>
      <c r="C294" s="272" t="s">
        <v>675</v>
      </c>
      <c r="D294" s="272"/>
      <c r="E294" s="273"/>
      <c r="F294" s="273"/>
      <c r="G294" s="273" t="s">
        <v>337</v>
      </c>
      <c r="H294" s="273">
        <v>0.5</v>
      </c>
      <c r="I294" s="274">
        <f>H294*8/$E$276</f>
        <v>0.16</v>
      </c>
      <c r="J294" s="272">
        <v>7.07</v>
      </c>
      <c r="K294" s="275">
        <f>I294*J294</f>
        <v>1.1312</v>
      </c>
    </row>
    <row r="295" spans="2:11">
      <c r="B295" s="277" t="s">
        <v>671</v>
      </c>
      <c r="C295" s="277" t="s">
        <v>671</v>
      </c>
      <c r="D295" s="277" t="s">
        <v>671</v>
      </c>
      <c r="E295" s="277" t="s">
        <v>671</v>
      </c>
      <c r="F295" s="277" t="s">
        <v>671</v>
      </c>
      <c r="G295" s="277" t="s">
        <v>671</v>
      </c>
      <c r="H295" s="277" t="s">
        <v>671</v>
      </c>
      <c r="I295" s="277" t="s">
        <v>671</v>
      </c>
      <c r="J295" s="277" t="s">
        <v>671</v>
      </c>
      <c r="K295" s="261">
        <f>SUM(K292:K294)</f>
        <v>11.571903999999998</v>
      </c>
    </row>
    <row r="297" spans="2:11">
      <c r="B297" s="250" t="s">
        <v>277</v>
      </c>
      <c r="C297" s="31" t="str">
        <f>ESTRUCTURA!A28</f>
        <v>02.03.02.02</v>
      </c>
      <c r="D297" s="250" t="s">
        <v>683</v>
      </c>
      <c r="E297" s="250"/>
      <c r="F297" s="250"/>
      <c r="G297" s="250"/>
      <c r="H297" s="272"/>
      <c r="I297" s="272"/>
      <c r="J297" s="272"/>
      <c r="K297" s="272"/>
    </row>
    <row r="298" spans="2:11">
      <c r="B298" s="250" t="s">
        <v>278</v>
      </c>
      <c r="C298" s="250" t="s">
        <v>279</v>
      </c>
      <c r="D298" s="250" t="s">
        <v>280</v>
      </c>
      <c r="E298" s="262">
        <v>8</v>
      </c>
      <c r="F298" s="262" t="s">
        <v>281</v>
      </c>
      <c r="G298" s="262">
        <f>E298</f>
        <v>8</v>
      </c>
      <c r="H298" s="262" t="s">
        <v>282</v>
      </c>
      <c r="I298" s="250"/>
      <c r="J298" s="250" t="s">
        <v>133</v>
      </c>
      <c r="K298" s="260">
        <f>K303+K308+K311</f>
        <v>453.92760000000004</v>
      </c>
    </row>
    <row r="299" spans="2:11">
      <c r="B299" s="250" t="s">
        <v>283</v>
      </c>
      <c r="C299" s="250" t="s">
        <v>284</v>
      </c>
      <c r="D299" s="250"/>
      <c r="E299" s="273"/>
      <c r="F299" s="273"/>
      <c r="G299" s="262" t="s">
        <v>122</v>
      </c>
      <c r="H299" s="262" t="s">
        <v>285</v>
      </c>
      <c r="I299" s="250" t="s">
        <v>286</v>
      </c>
      <c r="J299" s="250" t="s">
        <v>287</v>
      </c>
      <c r="K299" s="250" t="s">
        <v>288</v>
      </c>
    </row>
    <row r="300" spans="2:11">
      <c r="B300" s="272"/>
      <c r="C300" s="251" t="s">
        <v>289</v>
      </c>
      <c r="D300" s="272"/>
      <c r="E300" s="273"/>
      <c r="F300" s="273"/>
      <c r="G300" s="273"/>
      <c r="H300" s="273"/>
      <c r="I300" s="272"/>
      <c r="J300" s="272"/>
      <c r="K300" s="272"/>
    </row>
    <row r="301" spans="2:11">
      <c r="B301" s="272"/>
      <c r="C301" s="272" t="s">
        <v>290</v>
      </c>
      <c r="D301" s="272"/>
      <c r="E301" s="273"/>
      <c r="F301" s="273"/>
      <c r="G301" s="273" t="s">
        <v>291</v>
      </c>
      <c r="H301" s="273">
        <v>1</v>
      </c>
      <c r="I301" s="274">
        <f>H301*$E$298</f>
        <v>8</v>
      </c>
      <c r="J301" s="275">
        <v>28.94</v>
      </c>
      <c r="K301" s="275">
        <f>I301*J301</f>
        <v>231.52</v>
      </c>
    </row>
    <row r="302" spans="2:11">
      <c r="B302" s="272"/>
      <c r="C302" s="272" t="s">
        <v>292</v>
      </c>
      <c r="D302" s="272"/>
      <c r="E302" s="273"/>
      <c r="F302" s="273"/>
      <c r="G302" s="273" t="s">
        <v>291</v>
      </c>
      <c r="H302" s="273">
        <v>1</v>
      </c>
      <c r="I302" s="274">
        <f>H302*$E$298</f>
        <v>8</v>
      </c>
      <c r="J302" s="275">
        <v>23.6</v>
      </c>
      <c r="K302" s="275">
        <f>I302*J302</f>
        <v>188.8</v>
      </c>
    </row>
    <row r="303" spans="2:11">
      <c r="B303" s="272"/>
      <c r="C303" s="272"/>
      <c r="D303" s="272"/>
      <c r="E303" s="273"/>
      <c r="F303" s="273"/>
      <c r="G303" s="273"/>
      <c r="H303" s="273"/>
      <c r="I303" s="274"/>
      <c r="J303" s="275"/>
      <c r="K303" s="260">
        <f>SUM(K301:K302)</f>
        <v>420.32000000000005</v>
      </c>
    </row>
    <row r="304" spans="2:11">
      <c r="B304" s="272"/>
      <c r="C304" s="251" t="s">
        <v>653</v>
      </c>
      <c r="D304" s="272"/>
      <c r="E304" s="273"/>
      <c r="F304" s="273"/>
      <c r="G304" s="273"/>
      <c r="H304" s="273"/>
      <c r="I304" s="274"/>
      <c r="J304" s="275"/>
      <c r="K304" s="272"/>
    </row>
    <row r="305" spans="2:11">
      <c r="B305" s="272"/>
      <c r="C305" s="272" t="s">
        <v>677</v>
      </c>
      <c r="D305" s="272"/>
      <c r="E305" s="273"/>
      <c r="F305" s="273"/>
      <c r="G305" s="273" t="s">
        <v>296</v>
      </c>
      <c r="H305" s="273"/>
      <c r="I305" s="274">
        <v>0.26</v>
      </c>
      <c r="J305" s="275">
        <v>2.64</v>
      </c>
      <c r="K305" s="275">
        <f>I305*J305</f>
        <v>0.68640000000000001</v>
      </c>
    </row>
    <row r="306" spans="2:11">
      <c r="B306" s="272"/>
      <c r="C306" s="272" t="s">
        <v>301</v>
      </c>
      <c r="D306" s="272"/>
      <c r="E306" s="273"/>
      <c r="F306" s="273"/>
      <c r="G306" s="273" t="s">
        <v>296</v>
      </c>
      <c r="H306" s="273"/>
      <c r="I306" s="274">
        <v>0.16</v>
      </c>
      <c r="J306" s="275">
        <v>5.51</v>
      </c>
      <c r="K306" s="275">
        <f>I306*J306</f>
        <v>0.88159999999999994</v>
      </c>
    </row>
    <row r="307" spans="2:11">
      <c r="B307" s="272"/>
      <c r="C307" s="272" t="s">
        <v>669</v>
      </c>
      <c r="D307" s="272"/>
      <c r="E307" s="273"/>
      <c r="F307" s="273"/>
      <c r="G307" s="273" t="s">
        <v>305</v>
      </c>
      <c r="H307" s="273"/>
      <c r="I307" s="274">
        <v>3.35</v>
      </c>
      <c r="J307" s="275">
        <v>5.8</v>
      </c>
      <c r="K307" s="275">
        <f>I307*J307</f>
        <v>19.43</v>
      </c>
    </row>
    <row r="308" spans="2:11">
      <c r="B308" s="272"/>
      <c r="C308" s="272"/>
      <c r="D308" s="272"/>
      <c r="E308" s="273"/>
      <c r="F308" s="273"/>
      <c r="G308" s="273"/>
      <c r="H308" s="273"/>
      <c r="I308" s="274"/>
      <c r="J308" s="275"/>
      <c r="K308" s="260">
        <f>SUM(K305:K307)</f>
        <v>20.998000000000001</v>
      </c>
    </row>
    <row r="309" spans="2:11">
      <c r="B309" s="272"/>
      <c r="C309" s="251" t="s">
        <v>309</v>
      </c>
      <c r="D309" s="272"/>
      <c r="E309" s="273"/>
      <c r="F309" s="273"/>
      <c r="G309" s="273"/>
      <c r="H309" s="273"/>
      <c r="I309" s="274"/>
      <c r="J309" s="272"/>
      <c r="K309" s="272"/>
    </row>
    <row r="310" spans="2:11">
      <c r="B310" s="272"/>
      <c r="C310" s="272" t="s">
        <v>310</v>
      </c>
      <c r="D310" s="272"/>
      <c r="E310" s="272"/>
      <c r="F310" s="272"/>
      <c r="G310" s="272" t="s">
        <v>311</v>
      </c>
      <c r="H310" s="272"/>
      <c r="I310" s="274">
        <v>3</v>
      </c>
      <c r="J310" s="272">
        <f>K303</f>
        <v>420.32000000000005</v>
      </c>
      <c r="K310" s="275">
        <f>I310%*J310</f>
        <v>12.6096</v>
      </c>
    </row>
    <row r="311" spans="2:11">
      <c r="B311" s="277" t="s">
        <v>671</v>
      </c>
      <c r="C311" s="277" t="s">
        <v>671</v>
      </c>
      <c r="D311" s="277" t="s">
        <v>671</v>
      </c>
      <c r="E311" s="277" t="s">
        <v>671</v>
      </c>
      <c r="F311" s="277" t="s">
        <v>671</v>
      </c>
      <c r="G311" s="277" t="s">
        <v>671</v>
      </c>
      <c r="H311" s="277" t="s">
        <v>671</v>
      </c>
      <c r="I311" s="278" t="s">
        <v>671</v>
      </c>
      <c r="J311" s="277" t="s">
        <v>671</v>
      </c>
      <c r="K311" s="261">
        <f>SUM(K310)</f>
        <v>12.6096</v>
      </c>
    </row>
    <row r="313" spans="2:11">
      <c r="B313" s="250" t="s">
        <v>277</v>
      </c>
      <c r="C313" s="31" t="str">
        <f>ESTRUCTURA!A29</f>
        <v>02.03.02.03</v>
      </c>
      <c r="D313" s="250" t="s">
        <v>506</v>
      </c>
      <c r="E313" s="250"/>
      <c r="F313" s="250"/>
      <c r="G313" s="250"/>
      <c r="H313" s="250"/>
      <c r="I313" s="272"/>
      <c r="J313" s="272"/>
      <c r="K313" s="272"/>
    </row>
    <row r="314" spans="2:11">
      <c r="B314" s="250" t="s">
        <v>278</v>
      </c>
      <c r="C314" s="250" t="s">
        <v>678</v>
      </c>
      <c r="D314" s="250" t="s">
        <v>280</v>
      </c>
      <c r="E314" s="262">
        <v>250</v>
      </c>
      <c r="F314" s="262" t="s">
        <v>281</v>
      </c>
      <c r="G314" s="262">
        <f>E314</f>
        <v>250</v>
      </c>
      <c r="H314" s="262" t="s">
        <v>282</v>
      </c>
      <c r="I314" s="250"/>
      <c r="J314" s="250" t="s">
        <v>296</v>
      </c>
      <c r="K314" s="260">
        <f>K319+K323+K327</f>
        <v>5.5639628445000007</v>
      </c>
    </row>
    <row r="315" spans="2:11">
      <c r="B315" s="250" t="s">
        <v>283</v>
      </c>
      <c r="C315" s="250" t="s">
        <v>284</v>
      </c>
      <c r="D315" s="250"/>
      <c r="E315" s="273"/>
      <c r="F315" s="273"/>
      <c r="G315" s="262" t="s">
        <v>122</v>
      </c>
      <c r="H315" s="262" t="s">
        <v>285</v>
      </c>
      <c r="I315" s="250" t="s">
        <v>286</v>
      </c>
      <c r="J315" s="250" t="s">
        <v>287</v>
      </c>
      <c r="K315" s="250" t="s">
        <v>288</v>
      </c>
    </row>
    <row r="316" spans="2:11">
      <c r="B316" s="272"/>
      <c r="C316" s="251" t="s">
        <v>289</v>
      </c>
      <c r="D316" s="272"/>
      <c r="E316" s="273"/>
      <c r="F316" s="273"/>
      <c r="G316" s="273"/>
      <c r="H316" s="273"/>
      <c r="I316" s="272"/>
      <c r="J316" s="272"/>
      <c r="K316" s="272"/>
    </row>
    <row r="317" spans="2:11">
      <c r="B317" s="272"/>
      <c r="C317" s="272" t="s">
        <v>290</v>
      </c>
      <c r="D317" s="272"/>
      <c r="E317" s="273"/>
      <c r="F317" s="273"/>
      <c r="G317" s="273" t="s">
        <v>291</v>
      </c>
      <c r="H317" s="273">
        <v>1</v>
      </c>
      <c r="I317" s="274">
        <f>H317*8/$E$314</f>
        <v>3.2000000000000001E-2</v>
      </c>
      <c r="J317" s="275">
        <v>28.94</v>
      </c>
      <c r="K317" s="275">
        <f>I317*J317</f>
        <v>0.92608000000000001</v>
      </c>
    </row>
    <row r="318" spans="2:11">
      <c r="B318" s="272"/>
      <c r="C318" s="272" t="s">
        <v>679</v>
      </c>
      <c r="D318" s="272"/>
      <c r="E318" s="273"/>
      <c r="F318" s="273"/>
      <c r="G318" s="273" t="s">
        <v>291</v>
      </c>
      <c r="H318" s="273">
        <v>1</v>
      </c>
      <c r="I318" s="274">
        <f>H318*8/$E$314</f>
        <v>3.2000000000000001E-2</v>
      </c>
      <c r="J318" s="275">
        <v>23.6</v>
      </c>
      <c r="K318" s="275">
        <f>I318*J318</f>
        <v>0.75520000000000009</v>
      </c>
    </row>
    <row r="319" spans="2:11">
      <c r="B319" s="272"/>
      <c r="C319" s="272"/>
      <c r="D319" s="272"/>
      <c r="E319" s="273"/>
      <c r="F319" s="273"/>
      <c r="G319" s="273"/>
      <c r="H319" s="273"/>
      <c r="I319" s="274"/>
      <c r="J319" s="275"/>
      <c r="K319" s="260">
        <f>SUM(K317:K318)</f>
        <v>1.6812800000000001</v>
      </c>
    </row>
    <row r="320" spans="2:11">
      <c r="B320" s="272"/>
      <c r="C320" s="251" t="s">
        <v>294</v>
      </c>
      <c r="D320" s="272"/>
      <c r="E320" s="273"/>
      <c r="F320" s="273"/>
      <c r="G320" s="273"/>
      <c r="H320" s="273"/>
      <c r="I320" s="274"/>
      <c r="J320" s="275"/>
      <c r="K320" s="272"/>
    </row>
    <row r="321" spans="2:11">
      <c r="B321" s="272"/>
      <c r="C321" s="272" t="s">
        <v>295</v>
      </c>
      <c r="D321" s="272"/>
      <c r="E321" s="273"/>
      <c r="F321" s="273"/>
      <c r="G321" s="273" t="s">
        <v>296</v>
      </c>
      <c r="H321" s="273"/>
      <c r="I321" s="274">
        <v>0.03</v>
      </c>
      <c r="J321" s="275">
        <v>2.64</v>
      </c>
      <c r="K321" s="275">
        <f>I321*J321</f>
        <v>7.9200000000000007E-2</v>
      </c>
    </row>
    <row r="322" spans="2:11">
      <c r="B322" s="272"/>
      <c r="C322" s="272" t="s">
        <v>680</v>
      </c>
      <c r="D322" s="272"/>
      <c r="E322" s="273"/>
      <c r="F322" s="273"/>
      <c r="G322" s="273" t="s">
        <v>296</v>
      </c>
      <c r="H322" s="273"/>
      <c r="I322" s="274">
        <v>1.05</v>
      </c>
      <c r="J322" s="275">
        <f>1012.71*3.379/1000</f>
        <v>3.4219470900000002</v>
      </c>
      <c r="K322" s="275">
        <f>I322*J322</f>
        <v>3.5930444445000003</v>
      </c>
    </row>
    <row r="323" spans="2:11">
      <c r="B323" s="272"/>
      <c r="C323" s="272"/>
      <c r="D323" s="272"/>
      <c r="E323" s="273"/>
      <c r="F323" s="273"/>
      <c r="G323" s="273"/>
      <c r="H323" s="273"/>
      <c r="I323" s="274"/>
      <c r="J323" s="275"/>
      <c r="K323" s="260">
        <f>SUM(K321:K322)</f>
        <v>3.6722444445000004</v>
      </c>
    </row>
    <row r="324" spans="2:11">
      <c r="B324" s="272"/>
      <c r="C324" s="251" t="s">
        <v>317</v>
      </c>
      <c r="D324" s="272"/>
      <c r="E324" s="273"/>
      <c r="F324" s="273"/>
      <c r="G324" s="273"/>
      <c r="H324" s="273"/>
      <c r="I324" s="274"/>
      <c r="J324" s="275"/>
      <c r="K324" s="272"/>
    </row>
    <row r="325" spans="2:11">
      <c r="B325" s="272"/>
      <c r="C325" s="272" t="s">
        <v>310</v>
      </c>
      <c r="D325" s="272"/>
      <c r="E325" s="273"/>
      <c r="F325" s="273"/>
      <c r="G325" s="273" t="s">
        <v>311</v>
      </c>
      <c r="H325" s="273"/>
      <c r="I325" s="274">
        <v>3</v>
      </c>
      <c r="J325" s="275">
        <f>K319</f>
        <v>1.6812800000000001</v>
      </c>
      <c r="K325" s="275">
        <f>I325%*J325</f>
        <v>5.0438400000000001E-2</v>
      </c>
    </row>
    <row r="326" spans="2:11">
      <c r="B326" s="272"/>
      <c r="C326" s="272" t="s">
        <v>681</v>
      </c>
      <c r="D326" s="272"/>
      <c r="E326" s="273"/>
      <c r="F326" s="273"/>
      <c r="G326" s="273" t="s">
        <v>291</v>
      </c>
      <c r="H326" s="273">
        <v>1</v>
      </c>
      <c r="I326" s="274">
        <f>H326*8/$E$314</f>
        <v>3.2000000000000001E-2</v>
      </c>
      <c r="J326" s="276">
        <v>5</v>
      </c>
      <c r="K326" s="275">
        <f>I326*J326</f>
        <v>0.16</v>
      </c>
    </row>
    <row r="327" spans="2:11">
      <c r="B327" s="277" t="s">
        <v>671</v>
      </c>
      <c r="C327" s="277" t="s">
        <v>671</v>
      </c>
      <c r="D327" s="277" t="s">
        <v>671</v>
      </c>
      <c r="E327" s="277" t="s">
        <v>671</v>
      </c>
      <c r="F327" s="277" t="s">
        <v>671</v>
      </c>
      <c r="G327" s="277" t="s">
        <v>671</v>
      </c>
      <c r="H327" s="277" t="s">
        <v>671</v>
      </c>
      <c r="I327" s="277" t="s">
        <v>671</v>
      </c>
      <c r="J327" s="277" t="s">
        <v>671</v>
      </c>
      <c r="K327" s="261">
        <f>SUM(K325:K326)</f>
        <v>0.2104384</v>
      </c>
    </row>
    <row r="329" spans="2:11">
      <c r="B329" s="31" t="s">
        <v>277</v>
      </c>
      <c r="C329" s="31" t="str">
        <f>ESTRUCTURA!A31</f>
        <v>02.03.03.01</v>
      </c>
      <c r="D329" s="31" t="s">
        <v>510</v>
      </c>
      <c r="E329" s="31"/>
    </row>
    <row r="330" spans="2:11">
      <c r="B330" s="31" t="s">
        <v>278</v>
      </c>
      <c r="C330" s="31" t="s">
        <v>416</v>
      </c>
      <c r="D330" s="32" t="s">
        <v>280</v>
      </c>
      <c r="E330" s="33">
        <v>20</v>
      </c>
      <c r="F330" s="32" t="s">
        <v>281</v>
      </c>
      <c r="G330" s="33">
        <f>E330</f>
        <v>20</v>
      </c>
      <c r="H330" s="31" t="s">
        <v>282</v>
      </c>
      <c r="J330" s="32" t="s">
        <v>203</v>
      </c>
      <c r="K330" s="34">
        <f>K336+K344+K349</f>
        <v>438.22651999999994</v>
      </c>
    </row>
    <row r="331" spans="2:11">
      <c r="B331" s="31" t="s">
        <v>283</v>
      </c>
      <c r="C331" s="31" t="s">
        <v>284</v>
      </c>
      <c r="G331" s="32" t="s">
        <v>122</v>
      </c>
      <c r="H331" s="32" t="s">
        <v>285</v>
      </c>
      <c r="I331" s="32" t="s">
        <v>286</v>
      </c>
      <c r="J331" s="32" t="s">
        <v>287</v>
      </c>
      <c r="K331" s="32" t="s">
        <v>288</v>
      </c>
    </row>
    <row r="332" spans="2:11">
      <c r="C332" s="35" t="s">
        <v>289</v>
      </c>
    </row>
    <row r="333" spans="2:11">
      <c r="C333" t="s">
        <v>290</v>
      </c>
      <c r="G333" s="8" t="s">
        <v>291</v>
      </c>
      <c r="H333" s="9">
        <v>2</v>
      </c>
      <c r="I333" s="10">
        <f>H333*8/$E$330</f>
        <v>0.8</v>
      </c>
      <c r="J333" s="12">
        <v>28.94</v>
      </c>
      <c r="K333" s="12">
        <f>I333*J333</f>
        <v>23.152000000000001</v>
      </c>
    </row>
    <row r="334" spans="2:11">
      <c r="C334" t="s">
        <v>292</v>
      </c>
      <c r="G334" s="8" t="s">
        <v>291</v>
      </c>
      <c r="H334" s="9">
        <v>1</v>
      </c>
      <c r="I334" s="10">
        <f>H334*8/$E$330</f>
        <v>0.4</v>
      </c>
      <c r="J334" s="12">
        <v>23.6</v>
      </c>
      <c r="K334" s="12">
        <f>I334*J334</f>
        <v>9.4400000000000013</v>
      </c>
    </row>
    <row r="335" spans="2:11">
      <c r="C335" t="s">
        <v>293</v>
      </c>
      <c r="G335" s="8" t="s">
        <v>291</v>
      </c>
      <c r="H335" s="9">
        <v>6</v>
      </c>
      <c r="I335" s="10">
        <f>H335*8/$E$330</f>
        <v>2.4</v>
      </c>
      <c r="J335" s="12">
        <v>21.36</v>
      </c>
      <c r="K335" s="12">
        <f>I335*J335</f>
        <v>51.263999999999996</v>
      </c>
    </row>
    <row r="336" spans="2:11">
      <c r="G336" s="8"/>
      <c r="H336" s="9"/>
      <c r="I336" s="10"/>
      <c r="K336" s="34">
        <f>SUM(K333:K335)</f>
        <v>83.855999999999995</v>
      </c>
    </row>
    <row r="337" spans="2:11">
      <c r="C337" s="35" t="s">
        <v>653</v>
      </c>
      <c r="G337" s="8"/>
      <c r="H337" s="9"/>
      <c r="I337" s="10"/>
      <c r="K337" s="12"/>
    </row>
    <row r="338" spans="2:11">
      <c r="C338" t="s">
        <v>672</v>
      </c>
      <c r="G338" s="8" t="s">
        <v>203</v>
      </c>
      <c r="I338" s="10">
        <v>0.53</v>
      </c>
      <c r="J338" s="12">
        <v>55.08</v>
      </c>
      <c r="K338" s="12">
        <f>I338*J338</f>
        <v>29.192399999999999</v>
      </c>
    </row>
    <row r="339" spans="2:11">
      <c r="C339" t="s">
        <v>673</v>
      </c>
      <c r="G339" s="8" t="s">
        <v>203</v>
      </c>
      <c r="I339" s="10">
        <v>0.52</v>
      </c>
      <c r="J339" s="12">
        <v>47</v>
      </c>
      <c r="K339" s="12">
        <f>I339*J339</f>
        <v>24.44</v>
      </c>
    </row>
    <row r="340" spans="2:11">
      <c r="C340" t="s">
        <v>306</v>
      </c>
      <c r="G340" s="8" t="s">
        <v>307</v>
      </c>
      <c r="I340" s="10">
        <v>9.73</v>
      </c>
      <c r="J340" s="12">
        <v>24.52</v>
      </c>
      <c r="K340" s="12">
        <f>I340*J340</f>
        <v>238.5796</v>
      </c>
    </row>
    <row r="341" spans="2:11">
      <c r="C341" t="s">
        <v>655</v>
      </c>
      <c r="G341" s="8" t="s">
        <v>203</v>
      </c>
      <c r="I341" s="10">
        <v>0.186</v>
      </c>
      <c r="J341">
        <v>6.14</v>
      </c>
      <c r="K341" s="12">
        <f>I341*J341</f>
        <v>1.1420399999999999</v>
      </c>
    </row>
    <row r="342" spans="2:11">
      <c r="C342" t="s">
        <v>665</v>
      </c>
      <c r="G342" s="8" t="s">
        <v>439</v>
      </c>
      <c r="I342" s="10">
        <v>0.36</v>
      </c>
      <c r="J342">
        <v>13.93</v>
      </c>
      <c r="K342" s="12">
        <f>I342*J342</f>
        <v>5.0148000000000001</v>
      </c>
    </row>
    <row r="343" spans="2:11">
      <c r="C343" t="s">
        <v>674</v>
      </c>
      <c r="G343" s="8" t="s">
        <v>439</v>
      </c>
      <c r="I343" s="10">
        <v>1.5</v>
      </c>
      <c r="J343" s="17">
        <v>27.88</v>
      </c>
      <c r="K343" s="12">
        <f>I343*J343</f>
        <v>41.82</v>
      </c>
    </row>
    <row r="344" spans="2:11">
      <c r="G344" s="8"/>
      <c r="I344" s="10"/>
      <c r="J344" s="12"/>
      <c r="K344" s="34">
        <f>SUM(K338:K343)</f>
        <v>340.18883999999997</v>
      </c>
    </row>
    <row r="345" spans="2:11">
      <c r="C345" s="35" t="s">
        <v>309</v>
      </c>
    </row>
    <row r="346" spans="2:11">
      <c r="C346" t="s">
        <v>310</v>
      </c>
      <c r="G346" s="8" t="s">
        <v>311</v>
      </c>
      <c r="I346" s="10">
        <v>3</v>
      </c>
      <c r="J346" s="12">
        <f>K336</f>
        <v>83.855999999999995</v>
      </c>
      <c r="K346" s="12">
        <f>I346%*J346</f>
        <v>2.5156799999999997</v>
      </c>
    </row>
    <row r="347" spans="2:11">
      <c r="C347" t="s">
        <v>667</v>
      </c>
      <c r="G347" s="8" t="s">
        <v>337</v>
      </c>
      <c r="H347" s="9">
        <v>1</v>
      </c>
      <c r="I347" s="10">
        <f>H347*8/$E$330</f>
        <v>0.4</v>
      </c>
      <c r="J347" s="12">
        <v>25.63</v>
      </c>
      <c r="K347" s="12">
        <f>I347*J347</f>
        <v>10.252000000000001</v>
      </c>
    </row>
    <row r="348" spans="2:11">
      <c r="C348" t="s">
        <v>675</v>
      </c>
      <c r="G348" s="8" t="s">
        <v>337</v>
      </c>
      <c r="H348" s="9">
        <v>0.5</v>
      </c>
      <c r="I348" s="10">
        <f>H348*8/$E$330</f>
        <v>0.2</v>
      </c>
      <c r="J348" s="12">
        <v>7.07</v>
      </c>
      <c r="K348" s="12">
        <f>I348*J348</f>
        <v>1.4140000000000001</v>
      </c>
    </row>
    <row r="349" spans="2:11">
      <c r="B349" s="14"/>
      <c r="C349" s="14"/>
      <c r="D349" s="14"/>
      <c r="E349" s="14"/>
      <c r="F349" s="14"/>
      <c r="G349" s="14"/>
      <c r="H349" s="14"/>
      <c r="I349" s="14"/>
      <c r="J349" s="14"/>
      <c r="K349" s="36">
        <f>SUM(K346:K348)</f>
        <v>14.18168</v>
      </c>
    </row>
    <row r="350" spans="2:11">
      <c r="K350" s="34"/>
    </row>
    <row r="351" spans="2:11">
      <c r="B351" s="31" t="s">
        <v>277</v>
      </c>
      <c r="C351" s="31" t="str">
        <f>ESTRUCTURA!A32</f>
        <v>02.03.03.02</v>
      </c>
      <c r="D351" s="31" t="s">
        <v>512</v>
      </c>
      <c r="E351" s="31"/>
    </row>
    <row r="352" spans="2:11">
      <c r="B352" s="31" t="s">
        <v>278</v>
      </c>
      <c r="C352" s="31" t="s">
        <v>279</v>
      </c>
      <c r="D352" s="32" t="s">
        <v>280</v>
      </c>
      <c r="E352" s="33">
        <v>20</v>
      </c>
      <c r="F352" s="32" t="s">
        <v>281</v>
      </c>
      <c r="G352" s="33">
        <f>E352</f>
        <v>20</v>
      </c>
      <c r="H352" s="31" t="s">
        <v>282</v>
      </c>
      <c r="J352" s="32" t="s">
        <v>133</v>
      </c>
      <c r="K352" s="34">
        <f>K357+K362+K365</f>
        <v>64.026960000000003</v>
      </c>
    </row>
    <row r="353" spans="2:15">
      <c r="B353" s="31" t="s">
        <v>283</v>
      </c>
      <c r="C353" s="31" t="s">
        <v>284</v>
      </c>
      <c r="G353" s="32" t="s">
        <v>122</v>
      </c>
      <c r="H353" s="32" t="s">
        <v>285</v>
      </c>
      <c r="I353" s="32" t="s">
        <v>286</v>
      </c>
      <c r="J353" s="32" t="s">
        <v>287</v>
      </c>
      <c r="K353" s="32" t="s">
        <v>288</v>
      </c>
    </row>
    <row r="354" spans="2:15">
      <c r="C354" s="35" t="s">
        <v>289</v>
      </c>
    </row>
    <row r="355" spans="2:15">
      <c r="C355" t="s">
        <v>290</v>
      </c>
      <c r="G355" s="8" t="s">
        <v>291</v>
      </c>
      <c r="H355" s="9">
        <v>2</v>
      </c>
      <c r="I355" s="10">
        <f>H355*8/$E$352</f>
        <v>0.8</v>
      </c>
      <c r="J355" s="12">
        <v>28.94</v>
      </c>
      <c r="K355" s="12">
        <f>I355*J355</f>
        <v>23.152000000000001</v>
      </c>
    </row>
    <row r="356" spans="2:15">
      <c r="C356" t="s">
        <v>292</v>
      </c>
      <c r="G356" s="8" t="s">
        <v>291</v>
      </c>
      <c r="H356" s="9">
        <v>2</v>
      </c>
      <c r="I356" s="10">
        <f>H356*8/$E$352</f>
        <v>0.8</v>
      </c>
      <c r="J356" s="12">
        <v>23.6</v>
      </c>
      <c r="K356" s="12">
        <f>I356*J356</f>
        <v>18.880000000000003</v>
      </c>
    </row>
    <row r="357" spans="2:15">
      <c r="G357" s="8"/>
      <c r="H357" s="9"/>
      <c r="I357" s="10"/>
      <c r="K357" s="34">
        <f>SUM(K355:K356)</f>
        <v>42.032000000000004</v>
      </c>
    </row>
    <row r="358" spans="2:15">
      <c r="C358" s="35" t="s">
        <v>653</v>
      </c>
      <c r="G358" s="8"/>
      <c r="H358" s="9"/>
      <c r="I358" s="10"/>
      <c r="K358" s="12"/>
    </row>
    <row r="359" spans="2:15">
      <c r="C359" t="s">
        <v>677</v>
      </c>
      <c r="G359" s="8" t="s">
        <v>296</v>
      </c>
      <c r="I359" s="10">
        <v>0.16</v>
      </c>
      <c r="J359" s="12">
        <v>2.64</v>
      </c>
      <c r="K359" s="12">
        <f>I359*J359</f>
        <v>0.42240000000000005</v>
      </c>
    </row>
    <row r="360" spans="2:15">
      <c r="C360" t="s">
        <v>301</v>
      </c>
      <c r="G360" s="8" t="s">
        <v>296</v>
      </c>
      <c r="I360" s="10">
        <v>0.16</v>
      </c>
      <c r="J360" s="12">
        <v>5.51</v>
      </c>
      <c r="K360" s="12">
        <f>I360*J360</f>
        <v>0.88159999999999994</v>
      </c>
    </row>
    <row r="361" spans="2:15">
      <c r="C361" t="s">
        <v>669</v>
      </c>
      <c r="G361" s="8" t="s">
        <v>305</v>
      </c>
      <c r="I361" s="10">
        <v>3.35</v>
      </c>
      <c r="J361" s="12">
        <v>5.8</v>
      </c>
      <c r="K361" s="12">
        <f>I361*J361</f>
        <v>19.43</v>
      </c>
    </row>
    <row r="362" spans="2:15">
      <c r="G362" s="8"/>
      <c r="I362" s="10"/>
      <c r="J362" s="12"/>
      <c r="K362" s="34">
        <f>SUM(K359:K361)</f>
        <v>20.733999999999998</v>
      </c>
    </row>
    <row r="363" spans="2:15">
      <c r="C363" s="35" t="s">
        <v>309</v>
      </c>
    </row>
    <row r="364" spans="2:15">
      <c r="C364" t="s">
        <v>310</v>
      </c>
      <c r="G364" s="8" t="s">
        <v>311</v>
      </c>
      <c r="I364" s="10">
        <v>3</v>
      </c>
      <c r="J364" s="12">
        <f>K357</f>
        <v>42.032000000000004</v>
      </c>
      <c r="K364" s="12">
        <f>I364%*J364</f>
        <v>1.2609600000000001</v>
      </c>
    </row>
    <row r="365" spans="2:15">
      <c r="B365" s="14"/>
      <c r="C365" s="14"/>
      <c r="D365" s="14"/>
      <c r="E365" s="14"/>
      <c r="F365" s="14"/>
      <c r="G365" s="14"/>
      <c r="H365" s="14"/>
      <c r="I365" s="14"/>
      <c r="J365" s="14"/>
      <c r="K365" s="36">
        <f>SUM(K364)</f>
        <v>1.2609600000000001</v>
      </c>
    </row>
    <row r="366" spans="2:15">
      <c r="K366" s="34"/>
    </row>
    <row r="367" spans="2:15">
      <c r="B367" s="31" t="s">
        <v>277</v>
      </c>
      <c r="C367" s="31" t="str">
        <f>ESTRUCTURA!A33</f>
        <v>02.03.03.03</v>
      </c>
      <c r="D367" s="31" t="s">
        <v>684</v>
      </c>
      <c r="E367" s="31"/>
    </row>
    <row r="368" spans="2:15">
      <c r="B368" s="31" t="s">
        <v>278</v>
      </c>
      <c r="C368" s="31" t="s">
        <v>678</v>
      </c>
      <c r="D368" s="32" t="s">
        <v>280</v>
      </c>
      <c r="E368" s="33">
        <v>250</v>
      </c>
      <c r="F368" s="32" t="s">
        <v>281</v>
      </c>
      <c r="G368" s="33">
        <f>E368</f>
        <v>250</v>
      </c>
      <c r="H368" s="31" t="s">
        <v>282</v>
      </c>
      <c r="J368" s="32" t="s">
        <v>296</v>
      </c>
      <c r="K368" s="34">
        <f>K374+K378+K382</f>
        <v>5.5639628445000007</v>
      </c>
      <c r="O368" s="31"/>
    </row>
    <row r="369" spans="2:15">
      <c r="B369" s="31" t="s">
        <v>283</v>
      </c>
      <c r="C369" s="31" t="s">
        <v>284</v>
      </c>
      <c r="G369" s="32" t="s">
        <v>122</v>
      </c>
      <c r="H369" s="32" t="s">
        <v>285</v>
      </c>
      <c r="I369" s="32" t="s">
        <v>286</v>
      </c>
      <c r="J369" s="32" t="s">
        <v>287</v>
      </c>
      <c r="K369" s="32" t="s">
        <v>288</v>
      </c>
    </row>
    <row r="370" spans="2:15">
      <c r="C370" s="35" t="s">
        <v>289</v>
      </c>
      <c r="H370" s="9"/>
    </row>
    <row r="371" spans="2:15">
      <c r="C371" t="s">
        <v>290</v>
      </c>
      <c r="G371" s="8" t="s">
        <v>291</v>
      </c>
      <c r="H371" s="9">
        <v>1</v>
      </c>
      <c r="I371" s="18">
        <f>H371*8/$E$260</f>
        <v>3.2000000000000001E-2</v>
      </c>
      <c r="J371" s="12">
        <v>28.94</v>
      </c>
      <c r="K371" s="12">
        <f>I371*J371</f>
        <v>0.92608000000000001</v>
      </c>
    </row>
    <row r="372" spans="2:15">
      <c r="C372" t="s">
        <v>679</v>
      </c>
      <c r="G372" s="8" t="s">
        <v>291</v>
      </c>
      <c r="H372" s="9">
        <v>1</v>
      </c>
      <c r="I372" s="18">
        <f>H372*8/$E$260</f>
        <v>3.2000000000000001E-2</v>
      </c>
      <c r="J372" s="12">
        <v>23.6</v>
      </c>
      <c r="K372" s="12">
        <f>I372*J372</f>
        <v>0.75520000000000009</v>
      </c>
      <c r="O372" s="31"/>
    </row>
    <row r="373" spans="2:15">
      <c r="G373" s="8"/>
      <c r="H373" s="9"/>
      <c r="I373" s="18"/>
      <c r="J373" s="12"/>
      <c r="K373" s="12"/>
    </row>
    <row r="374" spans="2:15">
      <c r="G374" s="8"/>
      <c r="H374" s="9"/>
      <c r="K374" s="34">
        <f>SUM(K371:K373)</f>
        <v>1.6812800000000001</v>
      </c>
    </row>
    <row r="375" spans="2:15">
      <c r="C375" s="35" t="s">
        <v>294</v>
      </c>
      <c r="G375" s="8"/>
      <c r="H375" s="9"/>
      <c r="I375" s="18"/>
    </row>
    <row r="376" spans="2:15">
      <c r="C376" t="s">
        <v>295</v>
      </c>
      <c r="G376" s="8" t="s">
        <v>296</v>
      </c>
      <c r="H376" s="9"/>
      <c r="I376" s="18">
        <v>0.03</v>
      </c>
      <c r="J376" s="12">
        <v>2.64</v>
      </c>
      <c r="K376" s="12">
        <f>I376*J376</f>
        <v>7.9200000000000007E-2</v>
      </c>
    </row>
    <row r="377" spans="2:15">
      <c r="C377" t="s">
        <v>680</v>
      </c>
      <c r="G377" s="8" t="s">
        <v>296</v>
      </c>
      <c r="H377" s="9"/>
      <c r="I377" s="18">
        <v>1.05</v>
      </c>
      <c r="J377" s="12">
        <f>1012.71*3.379/1000</f>
        <v>3.4219470900000002</v>
      </c>
      <c r="K377" s="12">
        <f>I377*J377</f>
        <v>3.5930444445000003</v>
      </c>
    </row>
    <row r="378" spans="2:15">
      <c r="G378" s="8"/>
      <c r="H378" s="9"/>
      <c r="K378" s="34">
        <f>SUM(K376:K377)</f>
        <v>3.6722444445000004</v>
      </c>
    </row>
    <row r="379" spans="2:15">
      <c r="C379" s="35" t="s">
        <v>317</v>
      </c>
      <c r="G379" s="8"/>
      <c r="H379" s="9"/>
    </row>
    <row r="380" spans="2:15">
      <c r="C380" t="s">
        <v>310</v>
      </c>
      <c r="G380" s="8" t="s">
        <v>311</v>
      </c>
      <c r="I380" s="10">
        <v>3</v>
      </c>
      <c r="J380" s="12">
        <f>K374</f>
        <v>1.6812800000000001</v>
      </c>
      <c r="K380" s="12">
        <f>I380%*J380</f>
        <v>5.0438400000000001E-2</v>
      </c>
    </row>
    <row r="381" spans="2:15">
      <c r="C381" t="s">
        <v>681</v>
      </c>
      <c r="G381" s="8" t="s">
        <v>291</v>
      </c>
      <c r="H381" s="9">
        <v>1</v>
      </c>
      <c r="I381" s="10">
        <f>H381*8/$E$368</f>
        <v>3.2000000000000001E-2</v>
      </c>
      <c r="J381" s="50">
        <v>5</v>
      </c>
      <c r="K381" s="12">
        <f>I381*J381</f>
        <v>0.16</v>
      </c>
    </row>
    <row r="382" spans="2:15">
      <c r="B382" s="14"/>
      <c r="C382" s="14"/>
      <c r="D382" s="14"/>
      <c r="E382" s="14"/>
      <c r="F382" s="14"/>
      <c r="G382" s="14"/>
      <c r="H382" s="14"/>
      <c r="I382" s="14"/>
      <c r="J382" s="14"/>
      <c r="K382" s="36">
        <f>SUM(K380:K381)</f>
        <v>0.2104384</v>
      </c>
    </row>
    <row r="385" spans="2:11">
      <c r="B385" s="31" t="s">
        <v>277</v>
      </c>
      <c r="C385" s="31" t="str">
        <f>ESTRUCTURA!A35</f>
        <v>02.03.04.01</v>
      </c>
      <c r="D385" s="31" t="s">
        <v>685</v>
      </c>
      <c r="E385" s="31"/>
    </row>
    <row r="386" spans="2:11">
      <c r="B386" s="31" t="s">
        <v>278</v>
      </c>
      <c r="C386" s="31" t="s">
        <v>416</v>
      </c>
      <c r="D386" s="32" t="s">
        <v>280</v>
      </c>
      <c r="E386" s="33">
        <v>15</v>
      </c>
      <c r="F386" s="32" t="s">
        <v>281</v>
      </c>
      <c r="G386" s="33">
        <f>E386</f>
        <v>15</v>
      </c>
      <c r="H386" s="31" t="s">
        <v>282</v>
      </c>
      <c r="J386" s="32" t="s">
        <v>203</v>
      </c>
      <c r="K386" s="34">
        <f>K392+K399+K404</f>
        <v>424.92179999999996</v>
      </c>
    </row>
    <row r="387" spans="2:11">
      <c r="B387" s="31" t="s">
        <v>283</v>
      </c>
      <c r="C387" s="31" t="s">
        <v>284</v>
      </c>
      <c r="G387" s="32" t="s">
        <v>122</v>
      </c>
      <c r="H387" s="32" t="s">
        <v>285</v>
      </c>
      <c r="I387" s="32" t="s">
        <v>286</v>
      </c>
      <c r="J387" s="32" t="s">
        <v>287</v>
      </c>
      <c r="K387" s="32" t="s">
        <v>288</v>
      </c>
    </row>
    <row r="388" spans="2:11">
      <c r="C388" s="35" t="s">
        <v>289</v>
      </c>
    </row>
    <row r="389" spans="2:11">
      <c r="C389" t="s">
        <v>290</v>
      </c>
      <c r="G389" s="8" t="s">
        <v>291</v>
      </c>
      <c r="H389" s="9">
        <v>1</v>
      </c>
      <c r="I389" s="10">
        <f>H389*8/$E$386</f>
        <v>0.53333333333333333</v>
      </c>
      <c r="J389" s="12">
        <v>28.94</v>
      </c>
      <c r="K389" s="12">
        <f>I389*J389</f>
        <v>15.434666666666667</v>
      </c>
    </row>
    <row r="390" spans="2:11">
      <c r="C390" t="s">
        <v>292</v>
      </c>
      <c r="G390" s="8" t="s">
        <v>291</v>
      </c>
      <c r="H390" s="9">
        <v>1</v>
      </c>
      <c r="I390" s="10">
        <f>H390*8/$E$386</f>
        <v>0.53333333333333333</v>
      </c>
      <c r="J390" s="12">
        <v>23.6</v>
      </c>
      <c r="K390" s="12">
        <f>I390*J390</f>
        <v>12.586666666666668</v>
      </c>
    </row>
    <row r="391" spans="2:11">
      <c r="C391" t="s">
        <v>293</v>
      </c>
      <c r="G391" s="8" t="s">
        <v>291</v>
      </c>
      <c r="H391" s="9">
        <v>7</v>
      </c>
      <c r="I391" s="10">
        <f>H391*8/$E$386</f>
        <v>3.7333333333333334</v>
      </c>
      <c r="J391" s="12">
        <v>21.36</v>
      </c>
      <c r="K391" s="12">
        <f>I391*J391</f>
        <v>79.744</v>
      </c>
    </row>
    <row r="392" spans="2:11">
      <c r="G392" s="8"/>
      <c r="H392" s="9"/>
      <c r="I392" s="10"/>
      <c r="K392" s="34">
        <f>SUM(K389:K391)</f>
        <v>107.76533333333333</v>
      </c>
    </row>
    <row r="393" spans="2:11">
      <c r="C393" s="35" t="s">
        <v>653</v>
      </c>
      <c r="G393" s="8"/>
      <c r="H393" s="9"/>
      <c r="I393" s="10"/>
      <c r="K393" s="12"/>
    </row>
    <row r="394" spans="2:11">
      <c r="C394" t="s">
        <v>672</v>
      </c>
      <c r="G394" s="8" t="s">
        <v>203</v>
      </c>
      <c r="I394" s="10">
        <v>0.53</v>
      </c>
      <c r="J394" s="12">
        <v>55.08</v>
      </c>
      <c r="K394" s="12">
        <f>I394*J394</f>
        <v>29.192399999999999</v>
      </c>
    </row>
    <row r="395" spans="2:11">
      <c r="C395" t="s">
        <v>673</v>
      </c>
      <c r="G395" s="8" t="s">
        <v>203</v>
      </c>
      <c r="I395" s="10">
        <v>0.52</v>
      </c>
      <c r="J395" s="12">
        <v>47</v>
      </c>
      <c r="K395" s="12">
        <f>I395*J395</f>
        <v>24.44</v>
      </c>
    </row>
    <row r="396" spans="2:11">
      <c r="C396" t="s">
        <v>306</v>
      </c>
      <c r="G396" s="8" t="s">
        <v>307</v>
      </c>
      <c r="I396" s="10">
        <v>9.73</v>
      </c>
      <c r="J396" s="12">
        <v>24.52</v>
      </c>
      <c r="K396" s="12">
        <f>I396*J396</f>
        <v>238.5796</v>
      </c>
    </row>
    <row r="397" spans="2:11">
      <c r="C397" t="s">
        <v>655</v>
      </c>
      <c r="G397" s="8" t="s">
        <v>203</v>
      </c>
      <c r="I397" s="10">
        <v>0.186</v>
      </c>
      <c r="J397">
        <v>6.14</v>
      </c>
      <c r="K397" s="12">
        <f>I397*J397</f>
        <v>1.1420399999999999</v>
      </c>
    </row>
    <row r="398" spans="2:11">
      <c r="C398" t="s">
        <v>665</v>
      </c>
      <c r="G398" s="8" t="s">
        <v>439</v>
      </c>
      <c r="I398" s="10">
        <v>0.36</v>
      </c>
      <c r="J398">
        <v>13.93</v>
      </c>
      <c r="K398" s="12">
        <f>I398*J398</f>
        <v>5.0148000000000001</v>
      </c>
    </row>
    <row r="399" spans="2:11">
      <c r="G399" s="8"/>
      <c r="I399" s="10"/>
      <c r="J399" s="12"/>
      <c r="K399" s="34">
        <f>SUM(K394:K398)</f>
        <v>298.36883999999998</v>
      </c>
    </row>
    <row r="400" spans="2:11">
      <c r="C400" s="35" t="s">
        <v>309</v>
      </c>
    </row>
    <row r="401" spans="2:11">
      <c r="C401" t="s">
        <v>310</v>
      </c>
      <c r="G401" s="8" t="s">
        <v>311</v>
      </c>
      <c r="I401" s="10">
        <v>3</v>
      </c>
      <c r="J401" s="12">
        <f>K392</f>
        <v>107.76533333333333</v>
      </c>
      <c r="K401" s="12">
        <f>I401%*J401</f>
        <v>3.2329599999999998</v>
      </c>
    </row>
    <row r="402" spans="2:11">
      <c r="C402" t="s">
        <v>667</v>
      </c>
      <c r="G402" s="8" t="s">
        <v>337</v>
      </c>
      <c r="H402" s="9">
        <v>1</v>
      </c>
      <c r="I402" s="10">
        <f>H402*8/$E$386</f>
        <v>0.53333333333333333</v>
      </c>
      <c r="J402" s="12">
        <v>25.63</v>
      </c>
      <c r="K402" s="12">
        <f>I402*J402</f>
        <v>13.669333333333332</v>
      </c>
    </row>
    <row r="403" spans="2:11">
      <c r="C403" t="s">
        <v>675</v>
      </c>
      <c r="G403" s="8" t="s">
        <v>337</v>
      </c>
      <c r="H403" s="9">
        <v>0.5</v>
      </c>
      <c r="I403" s="10">
        <f>H403*8/$E$386</f>
        <v>0.26666666666666666</v>
      </c>
      <c r="J403" s="12">
        <v>7.07</v>
      </c>
      <c r="K403" s="12">
        <f>I403*J403</f>
        <v>1.8853333333333333</v>
      </c>
    </row>
    <row r="404" spans="2:11">
      <c r="B404" s="14"/>
      <c r="C404" s="14"/>
      <c r="D404" s="14"/>
      <c r="E404" s="14"/>
      <c r="F404" s="14"/>
      <c r="G404" s="14"/>
      <c r="H404" s="14"/>
      <c r="I404" s="14"/>
      <c r="J404" s="14"/>
      <c r="K404" s="36">
        <f>SUM(K401:K403)</f>
        <v>18.787626666666664</v>
      </c>
    </row>
    <row r="406" spans="2:11">
      <c r="B406" s="31" t="s">
        <v>277</v>
      </c>
      <c r="C406" s="31" t="str">
        <f>ESTRUCTURA!A36</f>
        <v>02.03.04.02</v>
      </c>
      <c r="D406" s="31" t="s">
        <v>686</v>
      </c>
      <c r="E406" s="31"/>
    </row>
    <row r="407" spans="2:11">
      <c r="B407" s="31" t="s">
        <v>278</v>
      </c>
      <c r="C407" s="31" t="s">
        <v>279</v>
      </c>
      <c r="D407" s="32" t="s">
        <v>280</v>
      </c>
      <c r="E407" s="33">
        <v>20</v>
      </c>
      <c r="F407" s="32" t="s">
        <v>281</v>
      </c>
      <c r="G407" s="33">
        <f>E407</f>
        <v>20</v>
      </c>
      <c r="H407" s="31" t="s">
        <v>282</v>
      </c>
      <c r="J407" s="32" t="s">
        <v>133</v>
      </c>
      <c r="K407" s="34">
        <f>K412+K417+K420</f>
        <v>42.644480000000001</v>
      </c>
    </row>
    <row r="408" spans="2:11">
      <c r="B408" s="31" t="s">
        <v>283</v>
      </c>
      <c r="C408" s="31" t="s">
        <v>284</v>
      </c>
      <c r="G408" s="32" t="s">
        <v>122</v>
      </c>
      <c r="H408" s="32" t="s">
        <v>285</v>
      </c>
      <c r="I408" s="32" t="s">
        <v>286</v>
      </c>
      <c r="J408" s="32" t="s">
        <v>287</v>
      </c>
      <c r="K408" s="32" t="s">
        <v>288</v>
      </c>
    </row>
    <row r="409" spans="2:11">
      <c r="C409" s="35" t="s">
        <v>289</v>
      </c>
    </row>
    <row r="410" spans="2:11">
      <c r="C410" t="s">
        <v>290</v>
      </c>
      <c r="G410" s="8" t="s">
        <v>291</v>
      </c>
      <c r="H410" s="9">
        <v>1</v>
      </c>
      <c r="I410" s="10">
        <f>H410*8/$E$407</f>
        <v>0.4</v>
      </c>
      <c r="J410" s="12">
        <v>28.94</v>
      </c>
      <c r="K410" s="12">
        <f>I410*J410</f>
        <v>11.576000000000001</v>
      </c>
    </row>
    <row r="411" spans="2:11">
      <c r="C411" t="s">
        <v>292</v>
      </c>
      <c r="G411" s="8" t="s">
        <v>291</v>
      </c>
      <c r="H411" s="9">
        <v>1</v>
      </c>
      <c r="I411" s="10">
        <f>H411*8/$E$407</f>
        <v>0.4</v>
      </c>
      <c r="J411" s="12">
        <v>23.6</v>
      </c>
      <c r="K411" s="12">
        <f>I411*J411</f>
        <v>9.4400000000000013</v>
      </c>
    </row>
    <row r="412" spans="2:11">
      <c r="G412" s="8"/>
      <c r="H412" s="9"/>
      <c r="I412" s="10"/>
      <c r="K412" s="34">
        <f>SUM(K410:K411)</f>
        <v>21.016000000000002</v>
      </c>
    </row>
    <row r="413" spans="2:11">
      <c r="C413" s="35" t="s">
        <v>653</v>
      </c>
      <c r="G413" s="8"/>
      <c r="H413" s="9"/>
      <c r="I413" s="10"/>
      <c r="K413" s="12"/>
    </row>
    <row r="414" spans="2:11">
      <c r="C414" t="s">
        <v>677</v>
      </c>
      <c r="G414" s="8" t="s">
        <v>296</v>
      </c>
      <c r="I414" s="10">
        <v>0.26</v>
      </c>
      <c r="J414" s="12">
        <v>2.64</v>
      </c>
      <c r="K414" s="12">
        <f>I414*J414</f>
        <v>0.68640000000000001</v>
      </c>
    </row>
    <row r="415" spans="2:11">
      <c r="C415" t="s">
        <v>301</v>
      </c>
      <c r="G415" s="8" t="s">
        <v>296</v>
      </c>
      <c r="I415" s="10">
        <v>0.16</v>
      </c>
      <c r="J415" s="12">
        <v>5.51</v>
      </c>
      <c r="K415" s="12">
        <f>I415*J415</f>
        <v>0.88159999999999994</v>
      </c>
    </row>
    <row r="416" spans="2:11">
      <c r="C416" t="s">
        <v>669</v>
      </c>
      <c r="G416" s="8" t="s">
        <v>305</v>
      </c>
      <c r="I416" s="10">
        <v>3.35</v>
      </c>
      <c r="J416" s="12">
        <v>5.8</v>
      </c>
      <c r="K416" s="12">
        <f>I416*J416</f>
        <v>19.43</v>
      </c>
    </row>
    <row r="417" spans="2:11">
      <c r="G417" s="8"/>
      <c r="I417" s="10"/>
      <c r="J417" s="12"/>
      <c r="K417" s="34">
        <f>SUM(K414:K416)</f>
        <v>20.998000000000001</v>
      </c>
    </row>
    <row r="418" spans="2:11">
      <c r="C418" s="35" t="s">
        <v>309</v>
      </c>
    </row>
    <row r="419" spans="2:11">
      <c r="C419" t="s">
        <v>310</v>
      </c>
      <c r="G419" s="8" t="s">
        <v>311</v>
      </c>
      <c r="I419" s="10">
        <v>3</v>
      </c>
      <c r="J419" s="12">
        <f>K412</f>
        <v>21.016000000000002</v>
      </c>
      <c r="K419" s="12">
        <f>I419%*J419</f>
        <v>0.63048000000000004</v>
      </c>
    </row>
    <row r="420" spans="2:11">
      <c r="B420" s="14"/>
      <c r="C420" s="14"/>
      <c r="D420" s="14"/>
      <c r="E420" s="14"/>
      <c r="F420" s="14"/>
      <c r="G420" s="14"/>
      <c r="H420" s="14"/>
      <c r="I420" s="14"/>
      <c r="J420" s="14"/>
      <c r="K420" s="36">
        <f>SUM(K419)</f>
        <v>0.63048000000000004</v>
      </c>
    </row>
    <row r="422" spans="2:11">
      <c r="B422" s="31" t="s">
        <v>277</v>
      </c>
      <c r="C422" s="31" t="str">
        <f>ESTRUCTURA!A37</f>
        <v>02.03.04.03</v>
      </c>
      <c r="D422" s="31" t="s">
        <v>687</v>
      </c>
      <c r="E422" s="31"/>
    </row>
    <row r="423" spans="2:11">
      <c r="B423" s="31" t="s">
        <v>278</v>
      </c>
      <c r="C423" s="31" t="s">
        <v>678</v>
      </c>
      <c r="D423" s="32" t="s">
        <v>280</v>
      </c>
      <c r="E423" s="33">
        <v>250</v>
      </c>
      <c r="F423" s="32" t="s">
        <v>281</v>
      </c>
      <c r="G423" s="33">
        <f>E423</f>
        <v>250</v>
      </c>
      <c r="H423" s="31" t="s">
        <v>282</v>
      </c>
      <c r="J423" s="32" t="s">
        <v>296</v>
      </c>
      <c r="K423" s="34">
        <f>K428+K432+K436</f>
        <v>5.5639628445000007</v>
      </c>
    </row>
    <row r="424" spans="2:11">
      <c r="B424" s="31" t="s">
        <v>283</v>
      </c>
      <c r="C424" s="31" t="s">
        <v>284</v>
      </c>
      <c r="G424" s="32" t="s">
        <v>122</v>
      </c>
      <c r="H424" s="32" t="s">
        <v>285</v>
      </c>
      <c r="I424" s="32" t="s">
        <v>286</v>
      </c>
      <c r="J424" s="32" t="s">
        <v>287</v>
      </c>
      <c r="K424" s="32" t="s">
        <v>288</v>
      </c>
    </row>
    <row r="425" spans="2:11">
      <c r="C425" s="35" t="s">
        <v>289</v>
      </c>
      <c r="H425" s="9"/>
    </row>
    <row r="426" spans="2:11">
      <c r="C426" t="s">
        <v>290</v>
      </c>
      <c r="G426" s="8" t="s">
        <v>291</v>
      </c>
      <c r="H426" s="9">
        <v>1</v>
      </c>
      <c r="I426" s="10">
        <f>H426*8/$E$423</f>
        <v>3.2000000000000001E-2</v>
      </c>
      <c r="J426" s="12">
        <v>28.94</v>
      </c>
      <c r="K426" s="12">
        <f>I426*J426</f>
        <v>0.92608000000000001</v>
      </c>
    </row>
    <row r="427" spans="2:11">
      <c r="C427" t="s">
        <v>679</v>
      </c>
      <c r="G427" s="8" t="s">
        <v>291</v>
      </c>
      <c r="H427" s="9">
        <v>1</v>
      </c>
      <c r="I427" s="10">
        <f>H427*8/$E$423</f>
        <v>3.2000000000000001E-2</v>
      </c>
      <c r="J427" s="12">
        <v>23.6</v>
      </c>
      <c r="K427" s="12">
        <f>I427*J427</f>
        <v>0.75520000000000009</v>
      </c>
    </row>
    <row r="428" spans="2:11">
      <c r="G428" s="8"/>
      <c r="H428" s="9"/>
      <c r="K428" s="34">
        <f>SUM(K426:K427)</f>
        <v>1.6812800000000001</v>
      </c>
    </row>
    <row r="429" spans="2:11">
      <c r="C429" s="35" t="s">
        <v>294</v>
      </c>
      <c r="G429" s="8"/>
      <c r="H429" s="9"/>
      <c r="I429" s="18"/>
    </row>
    <row r="430" spans="2:11">
      <c r="C430" t="s">
        <v>295</v>
      </c>
      <c r="G430" s="8" t="s">
        <v>296</v>
      </c>
      <c r="H430" s="9"/>
      <c r="I430" s="18">
        <v>0.03</v>
      </c>
      <c r="J430" s="12">
        <v>2.64</v>
      </c>
      <c r="K430" s="12">
        <f>I430*J430</f>
        <v>7.9200000000000007E-2</v>
      </c>
    </row>
    <row r="431" spans="2:11">
      <c r="C431" t="s">
        <v>680</v>
      </c>
      <c r="G431" s="8" t="s">
        <v>296</v>
      </c>
      <c r="H431" s="9"/>
      <c r="I431" s="18">
        <v>1.05</v>
      </c>
      <c r="J431" s="12">
        <f>1012.71*3.379/1000</f>
        <v>3.4219470900000002</v>
      </c>
      <c r="K431" s="12">
        <f>I431*J431</f>
        <v>3.5930444445000003</v>
      </c>
    </row>
    <row r="432" spans="2:11">
      <c r="G432" s="8"/>
      <c r="H432" s="9"/>
      <c r="K432" s="34">
        <f>SUM(K430:K431)</f>
        <v>3.6722444445000004</v>
      </c>
    </row>
    <row r="433" spans="2:11">
      <c r="C433" s="35" t="s">
        <v>317</v>
      </c>
      <c r="G433" s="8"/>
      <c r="H433" s="9"/>
    </row>
    <row r="434" spans="2:11">
      <c r="C434" t="s">
        <v>310</v>
      </c>
      <c r="G434" s="8" t="s">
        <v>311</v>
      </c>
      <c r="I434" s="10">
        <v>3</v>
      </c>
      <c r="J434" s="12">
        <f>K428</f>
        <v>1.6812800000000001</v>
      </c>
      <c r="K434" s="12">
        <f>I434%*J434</f>
        <v>5.0438400000000001E-2</v>
      </c>
    </row>
    <row r="435" spans="2:11">
      <c r="C435" t="s">
        <v>681</v>
      </c>
      <c r="G435" s="8" t="s">
        <v>291</v>
      </c>
      <c r="H435" s="9">
        <v>1</v>
      </c>
      <c r="I435" s="10">
        <f>H435*8/$E$423</f>
        <v>3.2000000000000001E-2</v>
      </c>
      <c r="J435" s="50">
        <v>5</v>
      </c>
      <c r="K435" s="12">
        <f>I435*J435</f>
        <v>0.16</v>
      </c>
    </row>
    <row r="436" spans="2:11">
      <c r="B436" s="14"/>
      <c r="C436" s="14"/>
      <c r="D436" s="14"/>
      <c r="E436" s="14"/>
      <c r="F436" s="14"/>
      <c r="G436" s="14"/>
      <c r="H436" s="14"/>
      <c r="I436" s="14"/>
      <c r="J436" s="14"/>
      <c r="K436" s="36">
        <f>SUM(K434:K435)</f>
        <v>0.2104384</v>
      </c>
    </row>
    <row r="438" spans="2:11">
      <c r="B438" s="31" t="s">
        <v>277</v>
      </c>
      <c r="C438" s="31" t="str">
        <f>ESTRUCTURA!A39</f>
        <v>02.03.05.01</v>
      </c>
      <c r="D438" s="31" t="s">
        <v>526</v>
      </c>
      <c r="E438" s="31"/>
    </row>
    <row r="439" spans="2:11">
      <c r="B439" s="31" t="s">
        <v>278</v>
      </c>
      <c r="C439" s="31" t="s">
        <v>416</v>
      </c>
      <c r="D439" s="32" t="s">
        <v>280</v>
      </c>
      <c r="E439" s="33">
        <v>15</v>
      </c>
      <c r="F439" s="32" t="s">
        <v>281</v>
      </c>
      <c r="G439" s="33">
        <f>E439</f>
        <v>15</v>
      </c>
      <c r="H439" s="31" t="s">
        <v>282</v>
      </c>
      <c r="J439" s="32" t="s">
        <v>203</v>
      </c>
      <c r="K439" s="34">
        <f>K445+K452+K457</f>
        <v>402.68478666666664</v>
      </c>
    </row>
    <row r="440" spans="2:11">
      <c r="B440" s="31" t="s">
        <v>283</v>
      </c>
      <c r="C440" s="31" t="s">
        <v>284</v>
      </c>
      <c r="G440" s="32" t="s">
        <v>122</v>
      </c>
      <c r="H440" s="32" t="s">
        <v>285</v>
      </c>
      <c r="I440" s="32" t="s">
        <v>286</v>
      </c>
      <c r="J440" s="32" t="s">
        <v>287</v>
      </c>
      <c r="K440" s="32" t="s">
        <v>288</v>
      </c>
    </row>
    <row r="441" spans="2:11">
      <c r="C441" s="35" t="s">
        <v>289</v>
      </c>
    </row>
    <row r="442" spans="2:11">
      <c r="C442" t="s">
        <v>290</v>
      </c>
      <c r="G442" s="8" t="s">
        <v>291</v>
      </c>
      <c r="H442" s="9">
        <v>1</v>
      </c>
      <c r="I442" s="10">
        <f>H442*8/$E$439</f>
        <v>0.53333333333333333</v>
      </c>
      <c r="J442" s="12">
        <v>28.94</v>
      </c>
      <c r="K442" s="12">
        <f>I442*J442</f>
        <v>15.434666666666667</v>
      </c>
    </row>
    <row r="443" spans="2:11">
      <c r="C443" t="s">
        <v>292</v>
      </c>
      <c r="G443" s="8" t="s">
        <v>291</v>
      </c>
      <c r="H443" s="9">
        <v>2</v>
      </c>
      <c r="I443" s="10">
        <f>H443*8/$E$439</f>
        <v>1.0666666666666667</v>
      </c>
      <c r="J443" s="12">
        <v>23.6</v>
      </c>
      <c r="K443" s="12">
        <f>I443*J443</f>
        <v>25.173333333333336</v>
      </c>
    </row>
    <row r="444" spans="2:11">
      <c r="C444" t="s">
        <v>293</v>
      </c>
      <c r="G444" s="8" t="s">
        <v>291</v>
      </c>
      <c r="H444" s="9">
        <v>4</v>
      </c>
      <c r="I444" s="10">
        <f>H444*8/$E$439</f>
        <v>2.1333333333333333</v>
      </c>
      <c r="J444" s="12">
        <v>21.36</v>
      </c>
      <c r="K444" s="12">
        <f>I444*J444</f>
        <v>45.567999999999998</v>
      </c>
    </row>
    <row r="445" spans="2:11">
      <c r="G445" s="8"/>
      <c r="H445" s="9"/>
      <c r="I445" s="10"/>
      <c r="K445" s="34">
        <f>SUM(K442:K444)</f>
        <v>86.176000000000002</v>
      </c>
    </row>
    <row r="446" spans="2:11">
      <c r="C446" s="35" t="s">
        <v>653</v>
      </c>
      <c r="G446" s="8"/>
      <c r="H446" s="9"/>
      <c r="I446" s="10"/>
      <c r="K446" s="12"/>
    </row>
    <row r="447" spans="2:11">
      <c r="C447" t="s">
        <v>672</v>
      </c>
      <c r="G447" s="8" t="s">
        <v>203</v>
      </c>
      <c r="I447" s="10">
        <v>0.53</v>
      </c>
      <c r="J447" s="12">
        <v>55.08</v>
      </c>
      <c r="K447" s="12">
        <f>I447*J447</f>
        <v>29.192399999999999</v>
      </c>
    </row>
    <row r="448" spans="2:11">
      <c r="C448" t="s">
        <v>673</v>
      </c>
      <c r="G448" s="8" t="s">
        <v>203</v>
      </c>
      <c r="I448" s="10">
        <v>0.52</v>
      </c>
      <c r="J448" s="12">
        <v>47</v>
      </c>
      <c r="K448" s="12">
        <f>I448*J448</f>
        <v>24.44</v>
      </c>
    </row>
    <row r="449" spans="2:11">
      <c r="C449" t="s">
        <v>306</v>
      </c>
      <c r="G449" s="8" t="s">
        <v>307</v>
      </c>
      <c r="I449" s="10">
        <v>9.73</v>
      </c>
      <c r="J449" s="12">
        <v>24.52</v>
      </c>
      <c r="K449" s="12">
        <f>I449*J449</f>
        <v>238.5796</v>
      </c>
    </row>
    <row r="450" spans="2:11">
      <c r="C450" t="s">
        <v>655</v>
      </c>
      <c r="G450" s="8" t="s">
        <v>203</v>
      </c>
      <c r="I450" s="10">
        <v>0.186</v>
      </c>
      <c r="J450">
        <v>6.14</v>
      </c>
      <c r="K450" s="12">
        <f>I450*J450</f>
        <v>1.1420399999999999</v>
      </c>
    </row>
    <row r="451" spans="2:11">
      <c r="C451" t="s">
        <v>665</v>
      </c>
      <c r="G451" s="8" t="s">
        <v>439</v>
      </c>
      <c r="I451" s="10">
        <v>0.36</v>
      </c>
      <c r="J451">
        <v>13.93</v>
      </c>
      <c r="K451" s="12">
        <f>I451*J451</f>
        <v>5.0148000000000001</v>
      </c>
    </row>
    <row r="452" spans="2:11">
      <c r="G452" s="8"/>
      <c r="I452" s="10"/>
      <c r="J452" s="12"/>
      <c r="K452" s="34">
        <f>SUM(K447:K451)</f>
        <v>298.36883999999998</v>
      </c>
    </row>
    <row r="453" spans="2:11">
      <c r="C453" s="35" t="s">
        <v>309</v>
      </c>
    </row>
    <row r="454" spans="2:11">
      <c r="C454" t="s">
        <v>310</v>
      </c>
      <c r="G454" s="8" t="s">
        <v>311</v>
      </c>
      <c r="I454" s="10">
        <v>3</v>
      </c>
      <c r="J454" s="12">
        <f>K445</f>
        <v>86.176000000000002</v>
      </c>
      <c r="K454" s="12">
        <f>I454%*J454</f>
        <v>2.58528</v>
      </c>
    </row>
    <row r="455" spans="2:11">
      <c r="C455" t="s">
        <v>667</v>
      </c>
      <c r="G455" s="8" t="s">
        <v>337</v>
      </c>
      <c r="H455" s="9">
        <v>1</v>
      </c>
      <c r="I455" s="10">
        <f>H455*8/$E$439</f>
        <v>0.53333333333333333</v>
      </c>
      <c r="J455" s="12">
        <v>25.63</v>
      </c>
      <c r="K455" s="12">
        <f>I455*J455</f>
        <v>13.669333333333332</v>
      </c>
    </row>
    <row r="456" spans="2:11">
      <c r="C456" t="s">
        <v>675</v>
      </c>
      <c r="G456" s="8" t="s">
        <v>337</v>
      </c>
      <c r="H456" s="9">
        <v>0.5</v>
      </c>
      <c r="I456" s="10">
        <f>H456*8/$E$439</f>
        <v>0.26666666666666666</v>
      </c>
      <c r="J456" s="12">
        <v>7.07</v>
      </c>
      <c r="K456" s="12">
        <f>I456*J456</f>
        <v>1.8853333333333333</v>
      </c>
    </row>
    <row r="457" spans="2:11">
      <c r="B457" s="14"/>
      <c r="C457" s="14"/>
      <c r="D457" s="14"/>
      <c r="E457" s="14"/>
      <c r="F457" s="14"/>
      <c r="G457" s="14"/>
      <c r="H457" s="14"/>
      <c r="I457" s="14"/>
      <c r="J457" s="14"/>
      <c r="K457" s="36">
        <f>SUM(K454:K456)</f>
        <v>18.139946666666663</v>
      </c>
    </row>
    <row r="459" spans="2:11">
      <c r="B459" s="31" t="s">
        <v>277</v>
      </c>
      <c r="C459" s="31" t="str">
        <f>ESTRUCTURA!A40</f>
        <v>02.03.05.02</v>
      </c>
      <c r="D459" s="31" t="s">
        <v>528</v>
      </c>
      <c r="E459" s="31"/>
    </row>
    <row r="460" spans="2:11">
      <c r="B460" s="31" t="s">
        <v>278</v>
      </c>
      <c r="C460" s="31" t="s">
        <v>279</v>
      </c>
      <c r="D460" s="32" t="s">
        <v>280</v>
      </c>
      <c r="E460" s="33">
        <v>35</v>
      </c>
      <c r="F460" s="32" t="s">
        <v>281</v>
      </c>
      <c r="G460" s="33">
        <f>E460</f>
        <v>35</v>
      </c>
      <c r="H460" s="31" t="s">
        <v>282</v>
      </c>
      <c r="J460" s="32" t="s">
        <v>133</v>
      </c>
      <c r="K460" s="34">
        <f>K466+K471+K474</f>
        <v>47.011574285714282</v>
      </c>
    </row>
    <row r="461" spans="2:11">
      <c r="B461" s="31" t="s">
        <v>283</v>
      </c>
      <c r="C461" s="31" t="s">
        <v>284</v>
      </c>
      <c r="G461" s="32" t="s">
        <v>122</v>
      </c>
      <c r="H461" s="32" t="s">
        <v>285</v>
      </c>
      <c r="I461" s="32" t="s">
        <v>286</v>
      </c>
      <c r="J461" s="32" t="s">
        <v>287</v>
      </c>
      <c r="K461" s="32" t="s">
        <v>288</v>
      </c>
    </row>
    <row r="462" spans="2:11">
      <c r="C462" s="35" t="s">
        <v>289</v>
      </c>
    </row>
    <row r="463" spans="2:11">
      <c r="C463" t="s">
        <v>290</v>
      </c>
      <c r="G463" s="8" t="s">
        <v>291</v>
      </c>
      <c r="H463" s="9">
        <v>2</v>
      </c>
      <c r="I463" s="10">
        <f>H463*8/$E$460</f>
        <v>0.45714285714285713</v>
      </c>
      <c r="J463" s="12">
        <v>28.94</v>
      </c>
      <c r="K463" s="12">
        <f>I463*J463</f>
        <v>13.229714285714286</v>
      </c>
    </row>
    <row r="464" spans="2:11">
      <c r="C464" t="s">
        <v>292</v>
      </c>
      <c r="G464" s="8" t="s">
        <v>291</v>
      </c>
      <c r="H464" s="9">
        <v>1</v>
      </c>
      <c r="I464" s="10">
        <f>H464*8/$E$460</f>
        <v>0.22857142857142856</v>
      </c>
      <c r="J464" s="12">
        <v>23.6</v>
      </c>
      <c r="K464" s="12">
        <f>I464*J464</f>
        <v>5.3942857142857141</v>
      </c>
    </row>
    <row r="465" spans="2:11">
      <c r="C465" t="s">
        <v>293</v>
      </c>
      <c r="G465" s="8" t="s">
        <v>291</v>
      </c>
      <c r="H465" s="9">
        <v>1</v>
      </c>
      <c r="I465" s="10">
        <f>H465*8/$E$460</f>
        <v>0.22857142857142856</v>
      </c>
      <c r="J465" s="12">
        <v>21.36</v>
      </c>
      <c r="K465" s="12">
        <f>I465*J465</f>
        <v>4.8822857142857137</v>
      </c>
    </row>
    <row r="466" spans="2:11">
      <c r="G466" s="8"/>
      <c r="H466" s="9"/>
      <c r="I466" s="10"/>
      <c r="K466" s="34">
        <f>SUM(K463:K465)</f>
        <v>23.506285714285713</v>
      </c>
    </row>
    <row r="467" spans="2:11">
      <c r="C467" s="35" t="s">
        <v>653</v>
      </c>
      <c r="G467" s="8"/>
      <c r="H467" s="9"/>
      <c r="I467" s="10"/>
      <c r="K467" s="12"/>
    </row>
    <row r="468" spans="2:11">
      <c r="C468" t="s">
        <v>688</v>
      </c>
      <c r="G468" s="8" t="s">
        <v>296</v>
      </c>
      <c r="I468" s="10">
        <v>0.3</v>
      </c>
      <c r="J468" s="12">
        <v>2.64</v>
      </c>
      <c r="K468" s="12">
        <f>I468*J468</f>
        <v>0.79200000000000004</v>
      </c>
    </row>
    <row r="469" spans="2:11">
      <c r="C469" t="s">
        <v>301</v>
      </c>
      <c r="G469" s="8" t="s">
        <v>296</v>
      </c>
      <c r="I469" s="10">
        <v>0.31</v>
      </c>
      <c r="J469" s="12">
        <v>5.51</v>
      </c>
      <c r="K469" s="12">
        <f>I469*J469</f>
        <v>1.7081</v>
      </c>
    </row>
    <row r="470" spans="2:11">
      <c r="C470" t="s">
        <v>669</v>
      </c>
      <c r="G470" s="8" t="s">
        <v>305</v>
      </c>
      <c r="I470" s="10">
        <v>3.5</v>
      </c>
      <c r="J470" s="12">
        <v>5.8</v>
      </c>
      <c r="K470" s="12">
        <f>I470*J470</f>
        <v>20.3</v>
      </c>
    </row>
    <row r="471" spans="2:11">
      <c r="G471" s="8"/>
      <c r="I471" s="10"/>
      <c r="J471" s="12"/>
      <c r="K471" s="34">
        <f>SUM(K468:K470)</f>
        <v>22.8001</v>
      </c>
    </row>
    <row r="472" spans="2:11">
      <c r="C472" s="35" t="s">
        <v>309</v>
      </c>
    </row>
    <row r="473" spans="2:11">
      <c r="C473" t="s">
        <v>310</v>
      </c>
      <c r="G473" s="8" t="s">
        <v>311</v>
      </c>
      <c r="I473" s="10">
        <v>3</v>
      </c>
      <c r="J473" s="12">
        <f>K466</f>
        <v>23.506285714285713</v>
      </c>
      <c r="K473" s="12">
        <f>I473%*J473</f>
        <v>0.70518857142857139</v>
      </c>
    </row>
    <row r="474" spans="2:11">
      <c r="B474" s="14"/>
      <c r="C474" s="14"/>
      <c r="D474" s="14"/>
      <c r="E474" s="14"/>
      <c r="F474" s="14"/>
      <c r="G474" s="14"/>
      <c r="H474" s="14"/>
      <c r="I474" s="14"/>
      <c r="J474" s="14"/>
      <c r="K474" s="36">
        <f>SUM(K473)</f>
        <v>0.70518857142857139</v>
      </c>
    </row>
    <row r="476" spans="2:11">
      <c r="B476" s="31" t="s">
        <v>277</v>
      </c>
      <c r="C476" s="31" t="str">
        <f>ESTRUCTURA!A41</f>
        <v>02.03.05.03</v>
      </c>
      <c r="D476" s="31" t="s">
        <v>530</v>
      </c>
      <c r="E476" s="31"/>
    </row>
    <row r="477" spans="2:11">
      <c r="B477" s="31" t="s">
        <v>278</v>
      </c>
      <c r="C477" s="31" t="s">
        <v>279</v>
      </c>
      <c r="D477" s="32" t="s">
        <v>280</v>
      </c>
      <c r="E477" s="33">
        <v>250</v>
      </c>
      <c r="F477" s="32" t="s">
        <v>281</v>
      </c>
      <c r="G477" s="33">
        <f>E477</f>
        <v>250</v>
      </c>
      <c r="H477" s="31" t="s">
        <v>282</v>
      </c>
      <c r="J477" s="32" t="s">
        <v>133</v>
      </c>
      <c r="K477" s="34">
        <f>K482+K486+K490</f>
        <v>5.5639628445000007</v>
      </c>
    </row>
    <row r="478" spans="2:11">
      <c r="B478" s="31" t="s">
        <v>283</v>
      </c>
      <c r="C478" s="31" t="s">
        <v>284</v>
      </c>
      <c r="G478" s="32" t="s">
        <v>122</v>
      </c>
      <c r="H478" s="32" t="s">
        <v>285</v>
      </c>
      <c r="I478" s="32" t="s">
        <v>286</v>
      </c>
      <c r="J478" s="32" t="s">
        <v>287</v>
      </c>
      <c r="K478" s="32" t="s">
        <v>288</v>
      </c>
    </row>
    <row r="479" spans="2:11">
      <c r="C479" s="35" t="s">
        <v>289</v>
      </c>
    </row>
    <row r="480" spans="2:11">
      <c r="C480" t="s">
        <v>290</v>
      </c>
      <c r="G480" s="8" t="s">
        <v>291</v>
      </c>
      <c r="H480" s="9">
        <v>1</v>
      </c>
      <c r="I480" s="18">
        <f>H480*8/$E$477</f>
        <v>3.2000000000000001E-2</v>
      </c>
      <c r="J480" s="12">
        <v>28.94</v>
      </c>
      <c r="K480" s="12">
        <f>I480*J480</f>
        <v>0.92608000000000001</v>
      </c>
    </row>
    <row r="481" spans="2:11">
      <c r="C481" t="s">
        <v>679</v>
      </c>
      <c r="G481" s="8" t="s">
        <v>291</v>
      </c>
      <c r="H481" s="9">
        <v>1</v>
      </c>
      <c r="I481" s="18">
        <f>H481*8/$E$477</f>
        <v>3.2000000000000001E-2</v>
      </c>
      <c r="J481" s="12">
        <v>23.6</v>
      </c>
      <c r="K481" s="12">
        <f>I481*J481</f>
        <v>0.75520000000000009</v>
      </c>
    </row>
    <row r="482" spans="2:11">
      <c r="G482" s="8"/>
      <c r="H482" s="9"/>
      <c r="K482" s="34">
        <f>SUM(K480:K481)</f>
        <v>1.6812800000000001</v>
      </c>
    </row>
    <row r="483" spans="2:11">
      <c r="C483" s="35" t="s">
        <v>294</v>
      </c>
      <c r="G483" s="8"/>
      <c r="H483" s="9"/>
      <c r="I483" s="18"/>
    </row>
    <row r="484" spans="2:11">
      <c r="C484" t="s">
        <v>295</v>
      </c>
      <c r="G484" s="8" t="s">
        <v>296</v>
      </c>
      <c r="H484" s="9"/>
      <c r="I484" s="18">
        <v>0.03</v>
      </c>
      <c r="J484" s="12">
        <v>2.64</v>
      </c>
      <c r="K484" s="12">
        <f>I484*J484</f>
        <v>7.9200000000000007E-2</v>
      </c>
    </row>
    <row r="485" spans="2:11">
      <c r="C485" t="s">
        <v>680</v>
      </c>
      <c r="G485" s="8" t="s">
        <v>296</v>
      </c>
      <c r="H485" s="9"/>
      <c r="I485" s="18">
        <v>1.05</v>
      </c>
      <c r="J485" s="12">
        <f>1012.71*3.379/1000</f>
        <v>3.4219470900000002</v>
      </c>
      <c r="K485" s="12">
        <f>I485*J485</f>
        <v>3.5930444445000003</v>
      </c>
    </row>
    <row r="486" spans="2:11">
      <c r="G486" s="8"/>
      <c r="H486" s="9"/>
      <c r="K486" s="34">
        <f>SUM(K484:K485)</f>
        <v>3.6722444445000004</v>
      </c>
    </row>
    <row r="487" spans="2:11">
      <c r="C487" s="35" t="s">
        <v>317</v>
      </c>
      <c r="G487" s="8"/>
      <c r="H487" s="9"/>
    </row>
    <row r="488" spans="2:11">
      <c r="C488" t="s">
        <v>310</v>
      </c>
      <c r="G488" s="8" t="s">
        <v>311</v>
      </c>
      <c r="I488" s="10">
        <v>3</v>
      </c>
      <c r="J488" s="12">
        <f>K482</f>
        <v>1.6812800000000001</v>
      </c>
      <c r="K488" s="12">
        <f>I488%*J488</f>
        <v>5.0438400000000001E-2</v>
      </c>
    </row>
    <row r="489" spans="2:11">
      <c r="C489" t="s">
        <v>681</v>
      </c>
      <c r="G489" s="8" t="s">
        <v>291</v>
      </c>
      <c r="H489" s="9">
        <v>1</v>
      </c>
      <c r="I489" s="18">
        <f>H489*8/$E$477</f>
        <v>3.2000000000000001E-2</v>
      </c>
      <c r="J489" s="50">
        <v>5</v>
      </c>
      <c r="K489" s="12">
        <f>I489*J489</f>
        <v>0.16</v>
      </c>
    </row>
    <row r="490" spans="2:11">
      <c r="B490" s="14"/>
      <c r="C490" s="14"/>
      <c r="D490" s="14"/>
      <c r="E490" s="14"/>
      <c r="F490" s="14"/>
      <c r="G490" s="14"/>
      <c r="H490" s="14"/>
      <c r="I490" s="14"/>
      <c r="J490" s="14"/>
      <c r="K490" s="36">
        <f>SUM(K488:K489)</f>
        <v>0.2104384</v>
      </c>
    </row>
    <row r="491" spans="2:11">
      <c r="K491" s="34"/>
    </row>
    <row r="492" spans="2:11">
      <c r="B492" s="31" t="s">
        <v>277</v>
      </c>
      <c r="C492" s="31" t="str">
        <f>ESTRUCTURA!A43</f>
        <v>02.03.06.01</v>
      </c>
      <c r="D492" s="31" t="s">
        <v>689</v>
      </c>
      <c r="E492" s="31"/>
    </row>
    <row r="493" spans="2:11">
      <c r="B493" s="31" t="s">
        <v>278</v>
      </c>
      <c r="C493" s="31" t="s">
        <v>416</v>
      </c>
      <c r="D493" s="32" t="s">
        <v>280</v>
      </c>
      <c r="E493" s="33">
        <v>15</v>
      </c>
      <c r="F493" s="32" t="s">
        <v>281</v>
      </c>
      <c r="G493" s="33">
        <f>E493</f>
        <v>15</v>
      </c>
      <c r="H493" s="31" t="s">
        <v>282</v>
      </c>
      <c r="J493" s="32" t="s">
        <v>203</v>
      </c>
      <c r="K493" s="34">
        <f>K499+K506+K511</f>
        <v>359.08362666666665</v>
      </c>
    </row>
    <row r="494" spans="2:11">
      <c r="B494" s="31" t="s">
        <v>283</v>
      </c>
      <c r="C494" s="31" t="s">
        <v>284</v>
      </c>
      <c r="G494" s="32" t="s">
        <v>122</v>
      </c>
      <c r="H494" s="32" t="s">
        <v>285</v>
      </c>
      <c r="I494" s="32" t="s">
        <v>286</v>
      </c>
      <c r="J494" s="32" t="s">
        <v>287</v>
      </c>
      <c r="K494" s="32" t="s">
        <v>288</v>
      </c>
    </row>
    <row r="495" spans="2:11">
      <c r="C495" s="35" t="s">
        <v>289</v>
      </c>
    </row>
    <row r="496" spans="2:11">
      <c r="C496" t="s">
        <v>290</v>
      </c>
      <c r="G496" s="8" t="s">
        <v>291</v>
      </c>
      <c r="H496" s="9">
        <v>1</v>
      </c>
      <c r="I496" s="10">
        <f>H496*8/$E$493</f>
        <v>0.53333333333333333</v>
      </c>
      <c r="J496" s="12">
        <v>28.94</v>
      </c>
      <c r="K496" s="12">
        <f>I496*J496</f>
        <v>15.434666666666667</v>
      </c>
    </row>
    <row r="497" spans="2:11">
      <c r="C497" t="s">
        <v>292</v>
      </c>
      <c r="G497" s="8" t="s">
        <v>291</v>
      </c>
      <c r="H497" s="9">
        <v>2</v>
      </c>
      <c r="I497" s="10">
        <f>H497*8/$E$493</f>
        <v>1.0666666666666667</v>
      </c>
      <c r="J497" s="12">
        <v>23.6</v>
      </c>
      <c r="K497" s="12">
        <f>I497*J497</f>
        <v>25.173333333333336</v>
      </c>
    </row>
    <row r="498" spans="2:11">
      <c r="C498" t="s">
        <v>293</v>
      </c>
      <c r="G498" s="8" t="s">
        <v>291</v>
      </c>
      <c r="H498" s="9">
        <v>4</v>
      </c>
      <c r="I498" s="10">
        <f>H498*8/$E$493</f>
        <v>2.1333333333333333</v>
      </c>
      <c r="J498" s="12">
        <v>21.36</v>
      </c>
      <c r="K498" s="12">
        <f>I498*J498</f>
        <v>45.567999999999998</v>
      </c>
    </row>
    <row r="499" spans="2:11">
      <c r="G499" s="8"/>
      <c r="H499" s="9"/>
      <c r="I499" s="10"/>
      <c r="K499" s="34">
        <f>SUM(K496:K498)</f>
        <v>86.176000000000002</v>
      </c>
    </row>
    <row r="500" spans="2:11">
      <c r="C500" s="35" t="s">
        <v>653</v>
      </c>
      <c r="G500" s="8"/>
      <c r="H500" s="9"/>
      <c r="I500" s="10"/>
      <c r="K500" s="12"/>
    </row>
    <row r="501" spans="2:11">
      <c r="C501" t="s">
        <v>672</v>
      </c>
      <c r="G501" s="8" t="s">
        <v>203</v>
      </c>
      <c r="I501" s="10">
        <v>0.51</v>
      </c>
      <c r="J501" s="12">
        <v>55.08</v>
      </c>
      <c r="K501" s="12">
        <f>I501*J501</f>
        <v>28.090799999999998</v>
      </c>
    </row>
    <row r="502" spans="2:11">
      <c r="C502" t="s">
        <v>673</v>
      </c>
      <c r="G502" s="8" t="s">
        <v>203</v>
      </c>
      <c r="I502" s="10">
        <v>0.49</v>
      </c>
      <c r="J502" s="12">
        <v>47</v>
      </c>
      <c r="K502" s="12">
        <f>I502*J502</f>
        <v>23.03</v>
      </c>
    </row>
    <row r="503" spans="2:11">
      <c r="C503" t="s">
        <v>306</v>
      </c>
      <c r="G503" s="8" t="s">
        <v>307</v>
      </c>
      <c r="I503" s="10">
        <v>8.02</v>
      </c>
      <c r="J503" s="12">
        <v>24.52</v>
      </c>
      <c r="K503" s="12">
        <f>I503*J503</f>
        <v>196.65039999999999</v>
      </c>
    </row>
    <row r="504" spans="2:11">
      <c r="C504" t="s">
        <v>655</v>
      </c>
      <c r="G504" s="8" t="s">
        <v>203</v>
      </c>
      <c r="I504" s="10">
        <v>0.23200000000000001</v>
      </c>
      <c r="J504">
        <v>6.14</v>
      </c>
      <c r="K504" s="12">
        <f>I504*J504</f>
        <v>1.42448</v>
      </c>
    </row>
    <row r="505" spans="2:11">
      <c r="C505" t="s">
        <v>665</v>
      </c>
      <c r="G505" s="8" t="s">
        <v>439</v>
      </c>
      <c r="I505" s="10">
        <v>0.4</v>
      </c>
      <c r="J505">
        <v>13.93</v>
      </c>
      <c r="K505" s="12">
        <f>I505*J505</f>
        <v>5.5720000000000001</v>
      </c>
    </row>
    <row r="506" spans="2:11">
      <c r="G506" s="8"/>
      <c r="I506" s="10"/>
      <c r="J506" s="12"/>
      <c r="K506" s="34">
        <f>SUM(K501:K505)</f>
        <v>254.76767999999998</v>
      </c>
    </row>
    <row r="507" spans="2:11">
      <c r="C507" s="35" t="s">
        <v>309</v>
      </c>
    </row>
    <row r="508" spans="2:11">
      <c r="C508" t="s">
        <v>310</v>
      </c>
      <c r="G508" s="8" t="s">
        <v>311</v>
      </c>
      <c r="I508" s="10">
        <v>3</v>
      </c>
      <c r="J508" s="12">
        <f>K499</f>
        <v>86.176000000000002</v>
      </c>
      <c r="K508" s="12">
        <f>I508%*J508</f>
        <v>2.58528</v>
      </c>
    </row>
    <row r="509" spans="2:11">
      <c r="C509" t="s">
        <v>667</v>
      </c>
      <c r="G509" s="8" t="s">
        <v>337</v>
      </c>
      <c r="H509" s="9">
        <v>1</v>
      </c>
      <c r="I509" s="10">
        <f>H509*8/$E$493</f>
        <v>0.53333333333333333</v>
      </c>
      <c r="J509" s="12">
        <v>25.63</v>
      </c>
      <c r="K509" s="12">
        <f>I509*J509</f>
        <v>13.669333333333332</v>
      </c>
    </row>
    <row r="510" spans="2:11">
      <c r="C510" t="s">
        <v>675</v>
      </c>
      <c r="G510" s="8" t="s">
        <v>337</v>
      </c>
      <c r="H510" s="9">
        <v>0.5</v>
      </c>
      <c r="I510" s="10">
        <f>H510*8/$E$493</f>
        <v>0.26666666666666666</v>
      </c>
      <c r="J510" s="12">
        <v>7.07</v>
      </c>
      <c r="K510" s="12">
        <f>I510*J510</f>
        <v>1.8853333333333333</v>
      </c>
    </row>
    <row r="511" spans="2:11">
      <c r="B511" s="14"/>
      <c r="C511" s="14"/>
      <c r="D511" s="14"/>
      <c r="E511" s="14"/>
      <c r="F511" s="14"/>
      <c r="G511" s="14"/>
      <c r="H511" s="14"/>
      <c r="I511" s="14"/>
      <c r="J511" s="14"/>
      <c r="K511" s="36">
        <f>SUM(K508:K510)</f>
        <v>18.139946666666663</v>
      </c>
    </row>
    <row r="513" spans="2:11">
      <c r="B513" s="31" t="s">
        <v>277</v>
      </c>
      <c r="C513" s="31" t="str">
        <f>ESTRUCTURA!A44</f>
        <v>02.03.06.02</v>
      </c>
      <c r="D513" s="31" t="s">
        <v>536</v>
      </c>
      <c r="E513" s="31"/>
    </row>
    <row r="514" spans="2:11">
      <c r="B514" s="31" t="s">
        <v>278</v>
      </c>
      <c r="C514" s="31" t="s">
        <v>279</v>
      </c>
      <c r="D514" s="32" t="s">
        <v>280</v>
      </c>
      <c r="E514" s="33">
        <v>35</v>
      </c>
      <c r="F514" s="32" t="s">
        <v>281</v>
      </c>
      <c r="G514" s="33">
        <f>E514</f>
        <v>35</v>
      </c>
      <c r="H514" s="31" t="s">
        <v>282</v>
      </c>
      <c r="J514" s="32" t="s">
        <v>133</v>
      </c>
      <c r="K514" s="34">
        <f>K520+K525+K528</f>
        <v>47.011574285714282</v>
      </c>
    </row>
    <row r="515" spans="2:11">
      <c r="B515" s="31" t="s">
        <v>283</v>
      </c>
      <c r="C515" s="31" t="s">
        <v>284</v>
      </c>
      <c r="G515" s="32" t="s">
        <v>122</v>
      </c>
      <c r="H515" s="32" t="s">
        <v>285</v>
      </c>
      <c r="I515" s="32" t="s">
        <v>286</v>
      </c>
      <c r="J515" s="32" t="s">
        <v>287</v>
      </c>
      <c r="K515" s="32" t="s">
        <v>288</v>
      </c>
    </row>
    <row r="516" spans="2:11">
      <c r="C516" s="35" t="s">
        <v>289</v>
      </c>
    </row>
    <row r="517" spans="2:11">
      <c r="C517" t="s">
        <v>290</v>
      </c>
      <c r="G517" s="8" t="s">
        <v>291</v>
      </c>
      <c r="H517" s="9">
        <v>2</v>
      </c>
      <c r="I517" s="10">
        <f>H517*8/$E$514</f>
        <v>0.45714285714285713</v>
      </c>
      <c r="J517" s="12">
        <v>28.94</v>
      </c>
      <c r="K517" s="12">
        <f>I517*J517</f>
        <v>13.229714285714286</v>
      </c>
    </row>
    <row r="518" spans="2:11">
      <c r="C518" t="s">
        <v>292</v>
      </c>
      <c r="G518" s="8" t="s">
        <v>291</v>
      </c>
      <c r="H518" s="9">
        <v>1</v>
      </c>
      <c r="I518" s="10">
        <f>H518*8/$E$514</f>
        <v>0.22857142857142856</v>
      </c>
      <c r="J518" s="12">
        <v>23.6</v>
      </c>
      <c r="K518" s="12">
        <f>I518*J518</f>
        <v>5.3942857142857141</v>
      </c>
    </row>
    <row r="519" spans="2:11">
      <c r="C519" t="s">
        <v>293</v>
      </c>
      <c r="G519" s="8" t="s">
        <v>291</v>
      </c>
      <c r="H519" s="9">
        <v>1</v>
      </c>
      <c r="I519" s="10">
        <f>H519*8/$E$514</f>
        <v>0.22857142857142856</v>
      </c>
      <c r="J519" s="12">
        <v>21.36</v>
      </c>
      <c r="K519" s="12">
        <f>I519*J519</f>
        <v>4.8822857142857137</v>
      </c>
    </row>
    <row r="520" spans="2:11">
      <c r="G520" s="8"/>
      <c r="H520" s="9"/>
      <c r="I520" s="10"/>
      <c r="K520" s="34">
        <f>SUM(K517:K519)</f>
        <v>23.506285714285713</v>
      </c>
    </row>
    <row r="521" spans="2:11">
      <c r="C521" s="35" t="s">
        <v>653</v>
      </c>
      <c r="G521" s="8"/>
      <c r="H521" s="9"/>
      <c r="I521" s="10"/>
      <c r="K521" s="12"/>
    </row>
    <row r="522" spans="2:11">
      <c r="C522" t="s">
        <v>688</v>
      </c>
      <c r="G522" s="8" t="s">
        <v>296</v>
      </c>
      <c r="I522" s="10">
        <v>0.3</v>
      </c>
      <c r="J522" s="12">
        <v>2.64</v>
      </c>
      <c r="K522" s="12">
        <f>I522*J522</f>
        <v>0.79200000000000004</v>
      </c>
    </row>
    <row r="523" spans="2:11">
      <c r="C523" t="s">
        <v>301</v>
      </c>
      <c r="G523" s="8" t="s">
        <v>296</v>
      </c>
      <c r="I523" s="10">
        <v>0.31</v>
      </c>
      <c r="J523" s="12">
        <v>5.51</v>
      </c>
      <c r="K523" s="12">
        <f>I523*J523</f>
        <v>1.7081</v>
      </c>
    </row>
    <row r="524" spans="2:11">
      <c r="C524" t="s">
        <v>669</v>
      </c>
      <c r="G524" s="8" t="s">
        <v>305</v>
      </c>
      <c r="I524" s="10">
        <v>3.5</v>
      </c>
      <c r="J524" s="12">
        <v>5.8</v>
      </c>
      <c r="K524" s="12">
        <f>I524*J524</f>
        <v>20.3</v>
      </c>
    </row>
    <row r="525" spans="2:11">
      <c r="G525" s="8"/>
      <c r="I525" s="10"/>
      <c r="J525" s="12"/>
      <c r="K525" s="34">
        <f>SUM(K522:K524)</f>
        <v>22.8001</v>
      </c>
    </row>
    <row r="526" spans="2:11">
      <c r="C526" s="35" t="s">
        <v>309</v>
      </c>
    </row>
    <row r="527" spans="2:11">
      <c r="C527" t="s">
        <v>310</v>
      </c>
      <c r="G527" s="8" t="s">
        <v>311</v>
      </c>
      <c r="I527" s="10">
        <v>3</v>
      </c>
      <c r="J527" s="12">
        <f>K520</f>
        <v>23.506285714285713</v>
      </c>
      <c r="K527" s="12">
        <f>I527%*J527</f>
        <v>0.70518857142857139</v>
      </c>
    </row>
    <row r="528" spans="2:11">
      <c r="B528" s="14"/>
      <c r="C528" s="14"/>
      <c r="D528" s="14"/>
      <c r="E528" s="14"/>
      <c r="F528" s="14"/>
      <c r="G528" s="14"/>
      <c r="H528" s="14"/>
      <c r="I528" s="14"/>
      <c r="J528" s="14"/>
      <c r="K528" s="36">
        <f>SUM(K527)</f>
        <v>0.70518857142857139</v>
      </c>
    </row>
    <row r="530" spans="2:11">
      <c r="B530" s="31" t="s">
        <v>277</v>
      </c>
      <c r="C530" s="31" t="str">
        <f>ESTRUCTURA!A45</f>
        <v>02.03.06.03</v>
      </c>
      <c r="D530" s="31" t="s">
        <v>538</v>
      </c>
      <c r="E530" s="31"/>
    </row>
    <row r="531" spans="2:11">
      <c r="B531" s="31" t="s">
        <v>278</v>
      </c>
      <c r="C531" s="31" t="s">
        <v>279</v>
      </c>
      <c r="D531" s="32" t="s">
        <v>280</v>
      </c>
      <c r="E531" s="33">
        <v>250</v>
      </c>
      <c r="F531" s="32" t="s">
        <v>281</v>
      </c>
      <c r="G531" s="33">
        <f>E531</f>
        <v>250</v>
      </c>
      <c r="H531" s="31" t="s">
        <v>282</v>
      </c>
      <c r="J531" s="32" t="s">
        <v>133</v>
      </c>
      <c r="K531" s="34">
        <f>K536+K540+K544</f>
        <v>5.5639628445000007</v>
      </c>
    </row>
    <row r="532" spans="2:11">
      <c r="B532" s="31" t="s">
        <v>283</v>
      </c>
      <c r="C532" s="31" t="s">
        <v>284</v>
      </c>
      <c r="G532" s="32" t="s">
        <v>122</v>
      </c>
      <c r="H532" s="32" t="s">
        <v>285</v>
      </c>
      <c r="I532" s="32" t="s">
        <v>286</v>
      </c>
      <c r="J532" s="32" t="s">
        <v>287</v>
      </c>
      <c r="K532" s="32" t="s">
        <v>288</v>
      </c>
    </row>
    <row r="533" spans="2:11">
      <c r="C533" s="35" t="s">
        <v>289</v>
      </c>
    </row>
    <row r="534" spans="2:11">
      <c r="C534" t="s">
        <v>290</v>
      </c>
      <c r="G534" s="8" t="s">
        <v>291</v>
      </c>
      <c r="H534" s="9">
        <v>1</v>
      </c>
      <c r="I534" s="10">
        <f>H534*8/$E$531</f>
        <v>3.2000000000000001E-2</v>
      </c>
      <c r="J534" s="12">
        <v>28.94</v>
      </c>
      <c r="K534" s="12">
        <f>I534*J534</f>
        <v>0.92608000000000001</v>
      </c>
    </row>
    <row r="535" spans="2:11">
      <c r="C535" t="s">
        <v>679</v>
      </c>
      <c r="G535" s="8" t="s">
        <v>291</v>
      </c>
      <c r="H535" s="9">
        <v>1</v>
      </c>
      <c r="I535" s="10">
        <f>H535*8/$E$531</f>
        <v>3.2000000000000001E-2</v>
      </c>
      <c r="J535" s="12">
        <v>23.6</v>
      </c>
      <c r="K535" s="12">
        <f>I535*J535</f>
        <v>0.75520000000000009</v>
      </c>
    </row>
    <row r="536" spans="2:11">
      <c r="G536" s="8"/>
      <c r="H536" s="9"/>
      <c r="K536" s="34">
        <f>SUM(K534:K535)</f>
        <v>1.6812800000000001</v>
      </c>
    </row>
    <row r="537" spans="2:11">
      <c r="C537" s="35" t="s">
        <v>294</v>
      </c>
      <c r="G537" s="8"/>
      <c r="H537" s="9"/>
      <c r="I537" s="18"/>
    </row>
    <row r="538" spans="2:11">
      <c r="C538" t="s">
        <v>295</v>
      </c>
      <c r="G538" s="8" t="s">
        <v>296</v>
      </c>
      <c r="H538" s="9"/>
      <c r="I538" s="18">
        <v>0.03</v>
      </c>
      <c r="J538" s="12">
        <v>2.64</v>
      </c>
      <c r="K538" s="12">
        <f>I538*J538</f>
        <v>7.9200000000000007E-2</v>
      </c>
    </row>
    <row r="539" spans="2:11">
      <c r="C539" t="s">
        <v>680</v>
      </c>
      <c r="G539" s="8" t="s">
        <v>296</v>
      </c>
      <c r="H539" s="9"/>
      <c r="I539" s="18">
        <v>1.05</v>
      </c>
      <c r="J539" s="12">
        <f>1012.71*3.379/1000</f>
        <v>3.4219470900000002</v>
      </c>
      <c r="K539" s="12">
        <f>I539*J539</f>
        <v>3.5930444445000003</v>
      </c>
    </row>
    <row r="540" spans="2:11">
      <c r="G540" s="8"/>
      <c r="H540" s="9"/>
      <c r="K540" s="34">
        <f>SUM(K538:K539)</f>
        <v>3.6722444445000004</v>
      </c>
    </row>
    <row r="541" spans="2:11">
      <c r="C541" s="35" t="s">
        <v>317</v>
      </c>
      <c r="G541" s="8"/>
      <c r="H541" s="9"/>
    </row>
    <row r="542" spans="2:11">
      <c r="C542" t="s">
        <v>310</v>
      </c>
      <c r="G542" s="8" t="s">
        <v>311</v>
      </c>
      <c r="I542" s="10">
        <v>3</v>
      </c>
      <c r="J542" s="12">
        <f>K536</f>
        <v>1.6812800000000001</v>
      </c>
      <c r="K542" s="12">
        <f>I542%*J542</f>
        <v>5.0438400000000001E-2</v>
      </c>
    </row>
    <row r="543" spans="2:11">
      <c r="C543" t="s">
        <v>681</v>
      </c>
      <c r="G543" s="8" t="s">
        <v>291</v>
      </c>
      <c r="H543" s="9">
        <v>1</v>
      </c>
      <c r="I543" s="10">
        <f>H543*8/$E$531</f>
        <v>3.2000000000000001E-2</v>
      </c>
      <c r="J543" s="50">
        <v>5</v>
      </c>
      <c r="K543" s="12">
        <f>I543*J543</f>
        <v>0.16</v>
      </c>
    </row>
    <row r="544" spans="2:11">
      <c r="B544" s="14"/>
      <c r="C544" s="14"/>
      <c r="D544" s="14"/>
      <c r="E544" s="14"/>
      <c r="F544" s="14"/>
      <c r="G544" s="14"/>
      <c r="H544" s="14"/>
      <c r="I544" s="14"/>
      <c r="J544" s="14"/>
      <c r="K544" s="36">
        <f>SUM(K542:K543)</f>
        <v>0.2104384</v>
      </c>
    </row>
    <row r="546" spans="2:14">
      <c r="B546" s="31" t="s">
        <v>277</v>
      </c>
      <c r="C546" s="31" t="str">
        <f>ESTRUCTURA!A47</f>
        <v>02.03.07.01</v>
      </c>
      <c r="D546" s="31" t="s">
        <v>542</v>
      </c>
      <c r="E546" s="31"/>
      <c r="N546" s="31"/>
    </row>
    <row r="547" spans="2:14">
      <c r="B547" s="31" t="s">
        <v>278</v>
      </c>
      <c r="C547" s="31" t="s">
        <v>416</v>
      </c>
      <c r="D547" s="32" t="s">
        <v>280</v>
      </c>
      <c r="E547" s="33">
        <v>22</v>
      </c>
      <c r="F547" s="32" t="s">
        <v>281</v>
      </c>
      <c r="G547" s="33">
        <f>E547</f>
        <v>22</v>
      </c>
      <c r="H547" s="31" t="s">
        <v>282</v>
      </c>
      <c r="J547" s="32" t="s">
        <v>203</v>
      </c>
      <c r="K547" s="34">
        <f>K553+K560+K566</f>
        <v>392.5379309090909</v>
      </c>
    </row>
    <row r="548" spans="2:14">
      <c r="B548" s="31" t="s">
        <v>283</v>
      </c>
      <c r="C548" s="31" t="s">
        <v>284</v>
      </c>
      <c r="G548" s="32" t="s">
        <v>122</v>
      </c>
      <c r="H548" s="32" t="s">
        <v>285</v>
      </c>
      <c r="I548" s="32" t="s">
        <v>286</v>
      </c>
      <c r="J548" s="32" t="s">
        <v>287</v>
      </c>
      <c r="K548" s="32" t="s">
        <v>288</v>
      </c>
    </row>
    <row r="549" spans="2:14">
      <c r="C549" s="35" t="s">
        <v>289</v>
      </c>
    </row>
    <row r="550" spans="2:14">
      <c r="C550" t="s">
        <v>290</v>
      </c>
      <c r="G550" s="8" t="s">
        <v>291</v>
      </c>
      <c r="H550" s="9">
        <v>2</v>
      </c>
      <c r="I550" s="10">
        <f>H550*8/$E$547</f>
        <v>0.72727272727272729</v>
      </c>
      <c r="J550" s="12">
        <v>28.94</v>
      </c>
      <c r="K550" s="12">
        <f>I550*J550</f>
        <v>21.04727272727273</v>
      </c>
      <c r="N550" s="31"/>
    </row>
    <row r="551" spans="2:14">
      <c r="C551" t="s">
        <v>292</v>
      </c>
      <c r="G551" s="8" t="s">
        <v>291</v>
      </c>
      <c r="H551" s="9">
        <v>1</v>
      </c>
      <c r="I551" s="10">
        <f>H551*8/$E$547</f>
        <v>0.36363636363636365</v>
      </c>
      <c r="J551" s="12">
        <v>23.6</v>
      </c>
      <c r="K551" s="12">
        <f>I551*J551</f>
        <v>8.581818181818182</v>
      </c>
      <c r="N551" s="31"/>
    </row>
    <row r="552" spans="2:14">
      <c r="C552" t="s">
        <v>293</v>
      </c>
      <c r="G552" s="8" t="s">
        <v>291</v>
      </c>
      <c r="H552" s="9">
        <v>6</v>
      </c>
      <c r="I552" s="10">
        <f>H552*8/$E$547</f>
        <v>2.1818181818181817</v>
      </c>
      <c r="J552" s="12">
        <v>21.36</v>
      </c>
      <c r="K552" s="12">
        <f>I552*J552</f>
        <v>46.603636363636362</v>
      </c>
      <c r="N552" s="31"/>
    </row>
    <row r="553" spans="2:14">
      <c r="G553" s="8"/>
      <c r="H553" s="9"/>
      <c r="I553" s="10"/>
      <c r="K553" s="34">
        <f>SUM(K550:K552)</f>
        <v>76.232727272727274</v>
      </c>
      <c r="N553" s="31"/>
    </row>
    <row r="554" spans="2:14">
      <c r="C554" s="35" t="s">
        <v>653</v>
      </c>
      <c r="G554" s="8"/>
      <c r="H554" s="9"/>
      <c r="I554" s="10"/>
      <c r="K554" s="12"/>
      <c r="N554" s="31"/>
    </row>
    <row r="555" spans="2:14">
      <c r="C555" t="s">
        <v>672</v>
      </c>
      <c r="G555" s="8" t="s">
        <v>203</v>
      </c>
      <c r="I555" s="10">
        <v>0.53</v>
      </c>
      <c r="J555" s="12">
        <v>55.08</v>
      </c>
      <c r="K555" s="12">
        <f>I555*J555</f>
        <v>29.192399999999999</v>
      </c>
      <c r="N555" s="31"/>
    </row>
    <row r="556" spans="2:14">
      <c r="C556" t="s">
        <v>673</v>
      </c>
      <c r="G556" s="8" t="s">
        <v>203</v>
      </c>
      <c r="I556" s="10">
        <v>0.52</v>
      </c>
      <c r="J556" s="12">
        <v>47</v>
      </c>
      <c r="K556" s="12">
        <f>I556*J556</f>
        <v>24.44</v>
      </c>
      <c r="N556" s="31"/>
    </row>
    <row r="557" spans="2:14">
      <c r="C557" t="s">
        <v>306</v>
      </c>
      <c r="G557" s="8" t="s">
        <v>307</v>
      </c>
      <c r="I557" s="10">
        <v>9.73</v>
      </c>
      <c r="J557" s="12">
        <v>24.52</v>
      </c>
      <c r="K557" s="12">
        <f>I557*J557</f>
        <v>238.5796</v>
      </c>
      <c r="N557" s="31"/>
    </row>
    <row r="558" spans="2:14">
      <c r="C558" t="s">
        <v>655</v>
      </c>
      <c r="G558" s="8" t="s">
        <v>203</v>
      </c>
      <c r="I558" s="10">
        <v>0.186</v>
      </c>
      <c r="J558">
        <v>6.14</v>
      </c>
      <c r="K558" s="12">
        <f>I558*J558</f>
        <v>1.1420399999999999</v>
      </c>
      <c r="N558" s="31"/>
    </row>
    <row r="559" spans="2:14">
      <c r="C559" t="s">
        <v>665</v>
      </c>
      <c r="G559" s="8" t="s">
        <v>439</v>
      </c>
      <c r="I559" s="10">
        <v>0.2</v>
      </c>
      <c r="J559">
        <v>13.93</v>
      </c>
      <c r="K559" s="12">
        <f>I559*J559</f>
        <v>2.786</v>
      </c>
      <c r="N559" s="31"/>
    </row>
    <row r="560" spans="2:14">
      <c r="G560" s="8"/>
      <c r="I560" s="10"/>
      <c r="J560" s="12"/>
      <c r="K560" s="34">
        <f>SUM(K555:K559)</f>
        <v>296.14004</v>
      </c>
      <c r="N560" s="31"/>
    </row>
    <row r="561" spans="2:14">
      <c r="C561" s="35" t="s">
        <v>309</v>
      </c>
      <c r="N561" s="31"/>
    </row>
    <row r="562" spans="2:14">
      <c r="C562" t="s">
        <v>310</v>
      </c>
      <c r="G562" s="8" t="s">
        <v>311</v>
      </c>
      <c r="I562" s="10">
        <v>3</v>
      </c>
      <c r="J562" s="12">
        <f>K553</f>
        <v>76.232727272727274</v>
      </c>
      <c r="K562" s="12">
        <f>I562%*J562</f>
        <v>2.2869818181818182</v>
      </c>
    </row>
    <row r="563" spans="2:14">
      <c r="C563" t="s">
        <v>667</v>
      </c>
      <c r="G563" s="8" t="s">
        <v>337</v>
      </c>
      <c r="H563" s="9">
        <v>1</v>
      </c>
      <c r="I563" s="10">
        <f>H563*8/$E$547</f>
        <v>0.36363636363636365</v>
      </c>
      <c r="J563" s="12">
        <v>25.63</v>
      </c>
      <c r="K563" s="12">
        <f>I563*J563</f>
        <v>9.32</v>
      </c>
    </row>
    <row r="564" spans="2:14">
      <c r="C564" t="s">
        <v>690</v>
      </c>
      <c r="G564" s="8" t="s">
        <v>337</v>
      </c>
      <c r="H564" s="9">
        <v>1</v>
      </c>
      <c r="I564" s="10">
        <f>H564*8/$E$547</f>
        <v>0.36363636363636365</v>
      </c>
      <c r="J564" s="50">
        <v>20</v>
      </c>
      <c r="K564" s="12">
        <f>I564*J564</f>
        <v>7.2727272727272734</v>
      </c>
    </row>
    <row r="565" spans="2:14">
      <c r="C565" t="s">
        <v>675</v>
      </c>
      <c r="G565" s="8" t="s">
        <v>337</v>
      </c>
      <c r="H565" s="9">
        <v>0.5</v>
      </c>
      <c r="I565" s="10">
        <f>H565*8/$E$547</f>
        <v>0.18181818181818182</v>
      </c>
      <c r="J565">
        <v>7.07</v>
      </c>
      <c r="K565" s="12">
        <f>I565*J565</f>
        <v>1.2854545454545456</v>
      </c>
    </row>
    <row r="566" spans="2:14">
      <c r="B566" s="14"/>
      <c r="C566" s="14"/>
      <c r="D566" s="14"/>
      <c r="E566" s="14"/>
      <c r="F566" s="14"/>
      <c r="G566" s="14"/>
      <c r="H566" s="14"/>
      <c r="I566" s="14"/>
      <c r="J566" s="14"/>
      <c r="K566" s="36">
        <f>SUM(K562:K565)</f>
        <v>20.165163636363637</v>
      </c>
    </row>
    <row r="568" spans="2:14">
      <c r="B568" s="31" t="s">
        <v>277</v>
      </c>
      <c r="C568" s="31" t="str">
        <f>ESTRUCTURA!A48</f>
        <v>02.03.07.02</v>
      </c>
      <c r="D568" s="31" t="s">
        <v>544</v>
      </c>
      <c r="E568" s="31"/>
    </row>
    <row r="569" spans="2:14">
      <c r="B569" s="31" t="s">
        <v>278</v>
      </c>
      <c r="C569" s="31" t="s">
        <v>279</v>
      </c>
      <c r="D569" s="32" t="s">
        <v>280</v>
      </c>
      <c r="E569" s="33">
        <v>35</v>
      </c>
      <c r="F569" s="32" t="s">
        <v>281</v>
      </c>
      <c r="G569" s="33">
        <f>E569</f>
        <v>35</v>
      </c>
      <c r="H569" s="31" t="s">
        <v>282</v>
      </c>
      <c r="J569" s="32" t="s">
        <v>133</v>
      </c>
      <c r="K569" s="34">
        <f>K574+K579+K582</f>
        <v>50.790514285714288</v>
      </c>
    </row>
    <row r="570" spans="2:14">
      <c r="B570" s="31" t="s">
        <v>283</v>
      </c>
      <c r="C570" s="31" t="s">
        <v>284</v>
      </c>
      <c r="G570" s="32" t="s">
        <v>122</v>
      </c>
      <c r="H570" s="32" t="s">
        <v>285</v>
      </c>
      <c r="I570" s="32" t="s">
        <v>286</v>
      </c>
      <c r="J570" s="32" t="s">
        <v>287</v>
      </c>
      <c r="K570" s="32" t="s">
        <v>288</v>
      </c>
    </row>
    <row r="571" spans="2:14">
      <c r="C571" s="35" t="s">
        <v>289</v>
      </c>
    </row>
    <row r="572" spans="2:14">
      <c r="C572" t="s">
        <v>290</v>
      </c>
      <c r="G572" s="8" t="s">
        <v>291</v>
      </c>
      <c r="H572" s="9">
        <v>2</v>
      </c>
      <c r="I572" s="10">
        <f>H572*8/$E$569</f>
        <v>0.45714285714285713</v>
      </c>
      <c r="J572" s="12">
        <v>28.94</v>
      </c>
      <c r="K572" s="12">
        <f>I572*J572</f>
        <v>13.229714285714286</v>
      </c>
    </row>
    <row r="573" spans="2:14">
      <c r="C573" t="s">
        <v>293</v>
      </c>
      <c r="G573" s="8" t="s">
        <v>291</v>
      </c>
      <c r="H573" s="9">
        <v>2</v>
      </c>
      <c r="I573" s="10">
        <f>H573*8/$E$569</f>
        <v>0.45714285714285713</v>
      </c>
      <c r="J573" s="12">
        <v>21.36</v>
      </c>
      <c r="K573" s="12">
        <f>I573*J573</f>
        <v>9.7645714285714273</v>
      </c>
    </row>
    <row r="574" spans="2:14">
      <c r="G574" s="8"/>
      <c r="H574" s="9"/>
      <c r="I574" s="10"/>
      <c r="J574" s="12"/>
      <c r="K574" s="34">
        <f>SUM(K572:K573)</f>
        <v>22.994285714285713</v>
      </c>
    </row>
    <row r="575" spans="2:14">
      <c r="C575" s="35" t="s">
        <v>653</v>
      </c>
      <c r="G575" s="8"/>
      <c r="H575" s="9"/>
      <c r="I575" s="10"/>
      <c r="K575" s="12"/>
    </row>
    <row r="576" spans="2:14">
      <c r="C576" t="s">
        <v>688</v>
      </c>
      <c r="G576" s="8" t="s">
        <v>296</v>
      </c>
      <c r="I576" s="10">
        <v>0.1</v>
      </c>
      <c r="J576" s="12">
        <v>2.64</v>
      </c>
      <c r="K576" s="12">
        <f>I576*J576</f>
        <v>0.26400000000000001</v>
      </c>
    </row>
    <row r="577" spans="2:11">
      <c r="C577" t="s">
        <v>301</v>
      </c>
      <c r="G577" s="8" t="s">
        <v>296</v>
      </c>
      <c r="I577" s="10">
        <v>0.24</v>
      </c>
      <c r="J577" s="12">
        <v>5.51</v>
      </c>
      <c r="K577" s="12">
        <f>I577*J577</f>
        <v>1.3223999999999998</v>
      </c>
    </row>
    <row r="578" spans="2:11">
      <c r="C578" t="s">
        <v>669</v>
      </c>
      <c r="G578" s="8" t="s">
        <v>305</v>
      </c>
      <c r="I578" s="10">
        <v>4.4000000000000004</v>
      </c>
      <c r="J578" s="12">
        <v>5.8</v>
      </c>
      <c r="K578" s="12">
        <f>I578*J578</f>
        <v>25.52</v>
      </c>
    </row>
    <row r="579" spans="2:11">
      <c r="G579" s="8"/>
      <c r="I579" s="10"/>
      <c r="J579" s="12"/>
      <c r="K579" s="34">
        <f>SUM(K576:K578)</f>
        <v>27.106400000000001</v>
      </c>
    </row>
    <row r="580" spans="2:11">
      <c r="C580" s="35" t="s">
        <v>309</v>
      </c>
    </row>
    <row r="581" spans="2:11">
      <c r="C581" t="s">
        <v>310</v>
      </c>
      <c r="G581" s="8" t="s">
        <v>311</v>
      </c>
      <c r="I581" s="10">
        <v>3</v>
      </c>
      <c r="J581" s="12">
        <f>K574</f>
        <v>22.994285714285713</v>
      </c>
      <c r="K581" s="12">
        <f>I581%*J581</f>
        <v>0.68982857142857135</v>
      </c>
    </row>
    <row r="582" spans="2:11">
      <c r="B582" s="14"/>
      <c r="C582" s="14"/>
      <c r="D582" s="14"/>
      <c r="E582" s="14"/>
      <c r="F582" s="14"/>
      <c r="G582" s="14"/>
      <c r="H582" s="14"/>
      <c r="I582" s="14"/>
      <c r="J582" s="14"/>
      <c r="K582" s="36">
        <f>SUM(K581)</f>
        <v>0.68982857142857135</v>
      </c>
    </row>
    <row r="584" spans="2:11">
      <c r="B584" s="31" t="s">
        <v>277</v>
      </c>
      <c r="C584" s="31" t="str">
        <f>ESTRUCTURA!A49</f>
        <v>02.03.07.03</v>
      </c>
      <c r="D584" s="31" t="s">
        <v>691</v>
      </c>
      <c r="E584" s="31"/>
    </row>
    <row r="585" spans="2:11">
      <c r="B585" s="31" t="s">
        <v>278</v>
      </c>
      <c r="C585" s="31" t="s">
        <v>678</v>
      </c>
      <c r="D585" s="32" t="s">
        <v>280</v>
      </c>
      <c r="E585" s="33">
        <v>250</v>
      </c>
      <c r="F585" s="32" t="s">
        <v>281</v>
      </c>
      <c r="G585" s="33">
        <f>E585</f>
        <v>250</v>
      </c>
      <c r="H585" s="31" t="s">
        <v>282</v>
      </c>
      <c r="J585" s="32" t="s">
        <v>296</v>
      </c>
      <c r="K585" s="34">
        <f>K590+K594+K598</f>
        <v>5.5639628445000007</v>
      </c>
    </row>
    <row r="586" spans="2:11">
      <c r="B586" s="31" t="s">
        <v>283</v>
      </c>
      <c r="C586" s="31" t="s">
        <v>284</v>
      </c>
      <c r="G586" s="32" t="s">
        <v>122</v>
      </c>
      <c r="H586" s="32" t="s">
        <v>285</v>
      </c>
      <c r="I586" s="32" t="s">
        <v>286</v>
      </c>
      <c r="J586" s="32" t="s">
        <v>287</v>
      </c>
      <c r="K586" s="32" t="s">
        <v>288</v>
      </c>
    </row>
    <row r="587" spans="2:11">
      <c r="C587" s="35" t="s">
        <v>289</v>
      </c>
    </row>
    <row r="588" spans="2:11">
      <c r="C588" t="s">
        <v>290</v>
      </c>
      <c r="G588" s="8" t="s">
        <v>291</v>
      </c>
      <c r="H588" s="9">
        <v>1</v>
      </c>
      <c r="I588" s="18">
        <f>H588*8/$E$585</f>
        <v>3.2000000000000001E-2</v>
      </c>
      <c r="J588" s="12">
        <v>28.94</v>
      </c>
      <c r="K588" s="12">
        <f>I588*J588</f>
        <v>0.92608000000000001</v>
      </c>
    </row>
    <row r="589" spans="2:11">
      <c r="C589" t="s">
        <v>679</v>
      </c>
      <c r="G589" s="8" t="s">
        <v>291</v>
      </c>
      <c r="H589" s="9">
        <v>1</v>
      </c>
      <c r="I589" s="18">
        <f>H589*8/$E$585</f>
        <v>3.2000000000000001E-2</v>
      </c>
      <c r="J589" s="12">
        <v>23.6</v>
      </c>
      <c r="K589" s="12">
        <f>I589*J589</f>
        <v>0.75520000000000009</v>
      </c>
    </row>
    <row r="590" spans="2:11">
      <c r="G590" s="8"/>
      <c r="H590" s="9"/>
      <c r="K590" s="34">
        <f>SUM(K588:K589)</f>
        <v>1.6812800000000001</v>
      </c>
    </row>
    <row r="591" spans="2:11">
      <c r="C591" s="35" t="s">
        <v>294</v>
      </c>
      <c r="G591" s="8"/>
      <c r="H591" s="9"/>
      <c r="I591" s="18"/>
    </row>
    <row r="592" spans="2:11">
      <c r="C592" t="s">
        <v>295</v>
      </c>
      <c r="G592" s="8" t="s">
        <v>296</v>
      </c>
      <c r="H592" s="9"/>
      <c r="I592" s="18">
        <v>0.03</v>
      </c>
      <c r="J592" s="12">
        <v>2.64</v>
      </c>
      <c r="K592" s="12">
        <f>I592*J592</f>
        <v>7.9200000000000007E-2</v>
      </c>
    </row>
    <row r="593" spans="2:11">
      <c r="C593" t="s">
        <v>680</v>
      </c>
      <c r="G593" s="8" t="s">
        <v>296</v>
      </c>
      <c r="H593" s="9"/>
      <c r="I593" s="18">
        <v>1.05</v>
      </c>
      <c r="J593" s="12">
        <f>1012.71*3.379/1000</f>
        <v>3.4219470900000002</v>
      </c>
      <c r="K593" s="12">
        <f>I593*J593</f>
        <v>3.5930444445000003</v>
      </c>
    </row>
    <row r="594" spans="2:11">
      <c r="G594" s="8"/>
      <c r="H594" s="9"/>
      <c r="K594" s="34">
        <f>SUM(K592:K593)</f>
        <v>3.6722444445000004</v>
      </c>
    </row>
    <row r="595" spans="2:11">
      <c r="C595" s="35" t="s">
        <v>317</v>
      </c>
      <c r="G595" s="8"/>
      <c r="H595" s="9"/>
    </row>
    <row r="596" spans="2:11">
      <c r="C596" t="s">
        <v>310</v>
      </c>
      <c r="G596" s="8" t="s">
        <v>311</v>
      </c>
      <c r="I596" s="10">
        <v>3</v>
      </c>
      <c r="J596" s="12">
        <f>K590</f>
        <v>1.6812800000000001</v>
      </c>
      <c r="K596" s="12">
        <f>I596%*J596</f>
        <v>5.0438400000000001E-2</v>
      </c>
    </row>
    <row r="597" spans="2:11">
      <c r="C597" t="s">
        <v>681</v>
      </c>
      <c r="G597" s="8" t="s">
        <v>291</v>
      </c>
      <c r="H597" s="9">
        <v>1</v>
      </c>
      <c r="I597" s="18">
        <f>H597*8/$E$585</f>
        <v>3.2000000000000001E-2</v>
      </c>
      <c r="J597" s="50">
        <v>5</v>
      </c>
      <c r="K597" s="12">
        <f>I597*J597</f>
        <v>0.16</v>
      </c>
    </row>
    <row r="598" spans="2:11">
      <c r="B598" s="14"/>
      <c r="C598" s="14"/>
      <c r="D598" s="14"/>
      <c r="E598" s="14"/>
      <c r="F598" s="14"/>
      <c r="G598" s="14"/>
      <c r="H598" s="14"/>
      <c r="I598" s="14"/>
      <c r="J598" s="14"/>
      <c r="K598" s="36">
        <f>SUM(K596:K597)</f>
        <v>0.2104384</v>
      </c>
    </row>
    <row r="599" spans="2:11">
      <c r="K599" s="34"/>
    </row>
    <row r="600" spans="2:11">
      <c r="B600" s="31" t="s">
        <v>277</v>
      </c>
      <c r="C600" s="31" t="str">
        <f>ESTRUCTURA!A51</f>
        <v>02.03.08.01</v>
      </c>
      <c r="D600" s="31" t="s">
        <v>692</v>
      </c>
      <c r="E600" s="31"/>
    </row>
    <row r="601" spans="2:11">
      <c r="B601" s="31" t="s">
        <v>278</v>
      </c>
      <c r="C601" s="31" t="s">
        <v>416</v>
      </c>
      <c r="D601" s="32" t="s">
        <v>280</v>
      </c>
      <c r="E601" s="33">
        <v>25</v>
      </c>
      <c r="F601" s="32" t="s">
        <v>281</v>
      </c>
      <c r="G601" s="33">
        <f>E601</f>
        <v>25</v>
      </c>
      <c r="H601" s="31" t="s">
        <v>282</v>
      </c>
      <c r="J601" s="32" t="s">
        <v>203</v>
      </c>
      <c r="K601" s="34">
        <f>K607+K614+K620</f>
        <v>349.618832</v>
      </c>
    </row>
    <row r="602" spans="2:11">
      <c r="B602" s="31" t="s">
        <v>283</v>
      </c>
      <c r="C602" s="31" t="s">
        <v>284</v>
      </c>
      <c r="G602" s="32" t="s">
        <v>122</v>
      </c>
      <c r="H602" s="32" t="s">
        <v>285</v>
      </c>
      <c r="I602" s="32" t="s">
        <v>286</v>
      </c>
      <c r="J602" s="32" t="s">
        <v>287</v>
      </c>
      <c r="K602" s="32" t="s">
        <v>288</v>
      </c>
    </row>
    <row r="603" spans="2:11">
      <c r="C603" s="35" t="s">
        <v>289</v>
      </c>
    </row>
    <row r="604" spans="2:11">
      <c r="C604" t="s">
        <v>290</v>
      </c>
      <c r="G604" s="8" t="s">
        <v>291</v>
      </c>
      <c r="H604" s="9">
        <v>2</v>
      </c>
      <c r="I604" s="18">
        <f>H604*8/$E$601</f>
        <v>0.64</v>
      </c>
      <c r="J604" s="12">
        <v>28.94</v>
      </c>
      <c r="K604" s="12">
        <f>I604*J604</f>
        <v>18.521600000000003</v>
      </c>
    </row>
    <row r="605" spans="2:11">
      <c r="C605" t="s">
        <v>292</v>
      </c>
      <c r="G605" s="8" t="s">
        <v>291</v>
      </c>
      <c r="H605" s="9">
        <v>1</v>
      </c>
      <c r="I605" s="18">
        <f>H605*8/$E$601</f>
        <v>0.32</v>
      </c>
      <c r="J605" s="12">
        <v>23.6</v>
      </c>
      <c r="K605" s="12">
        <f>I605*J605</f>
        <v>7.5520000000000005</v>
      </c>
    </row>
    <row r="606" spans="2:11">
      <c r="C606" t="s">
        <v>293</v>
      </c>
      <c r="G606" s="8" t="s">
        <v>291</v>
      </c>
      <c r="H606" s="9">
        <v>4</v>
      </c>
      <c r="I606" s="18">
        <f>H606*8/$E$601</f>
        <v>1.28</v>
      </c>
      <c r="J606" s="12">
        <v>21.36</v>
      </c>
      <c r="K606" s="12">
        <f>I606*J606</f>
        <v>27.340800000000002</v>
      </c>
    </row>
    <row r="607" spans="2:11">
      <c r="G607" s="8"/>
      <c r="H607" s="9"/>
      <c r="I607" s="10"/>
      <c r="K607" s="34">
        <f>SUM(K604:K606)</f>
        <v>53.414400000000001</v>
      </c>
    </row>
    <row r="608" spans="2:11">
      <c r="C608" s="35" t="s">
        <v>653</v>
      </c>
      <c r="G608" s="8"/>
      <c r="H608" s="9"/>
      <c r="I608" s="10"/>
      <c r="K608" s="12"/>
    </row>
    <row r="609" spans="2:11">
      <c r="C609" t="s">
        <v>672</v>
      </c>
      <c r="G609" s="8" t="s">
        <v>203</v>
      </c>
      <c r="I609" s="10">
        <v>0.85</v>
      </c>
      <c r="J609" s="12">
        <v>55.08</v>
      </c>
      <c r="K609" s="12">
        <f>I609*J609</f>
        <v>46.817999999999998</v>
      </c>
    </row>
    <row r="610" spans="2:11">
      <c r="C610" t="s">
        <v>673</v>
      </c>
      <c r="G610" s="8" t="s">
        <v>203</v>
      </c>
      <c r="I610" s="10">
        <v>0.42</v>
      </c>
      <c r="J610" s="12">
        <v>47</v>
      </c>
      <c r="K610" s="12">
        <f>I610*J610</f>
        <v>19.739999999999998</v>
      </c>
    </row>
    <row r="611" spans="2:11">
      <c r="C611" t="s">
        <v>306</v>
      </c>
      <c r="G611" s="8" t="s">
        <v>307</v>
      </c>
      <c r="I611" s="10">
        <v>8.5</v>
      </c>
      <c r="J611" s="12">
        <v>24.52</v>
      </c>
      <c r="K611" s="12">
        <f>I611*J611</f>
        <v>208.42</v>
      </c>
    </row>
    <row r="612" spans="2:11">
      <c r="C612" t="s">
        <v>655</v>
      </c>
      <c r="G612" s="8" t="s">
        <v>203</v>
      </c>
      <c r="I612" s="10">
        <v>0.18</v>
      </c>
      <c r="J612">
        <v>6.14</v>
      </c>
      <c r="K612" s="12">
        <f>I612*J612</f>
        <v>1.1052</v>
      </c>
    </row>
    <row r="613" spans="2:11">
      <c r="C613" t="s">
        <v>665</v>
      </c>
      <c r="G613" s="8" t="s">
        <v>439</v>
      </c>
      <c r="I613" s="10">
        <v>0.2</v>
      </c>
      <c r="J613">
        <v>13.93</v>
      </c>
      <c r="K613" s="12">
        <f>I613*J613</f>
        <v>2.786</v>
      </c>
    </row>
    <row r="614" spans="2:11">
      <c r="G614" s="8"/>
      <c r="I614" s="10"/>
      <c r="J614" s="12"/>
      <c r="K614" s="34">
        <f>SUM(K609:K613)</f>
        <v>278.86919999999998</v>
      </c>
    </row>
    <row r="615" spans="2:11">
      <c r="C615" s="35" t="s">
        <v>309</v>
      </c>
    </row>
    <row r="616" spans="2:11">
      <c r="C616" t="s">
        <v>310</v>
      </c>
      <c r="G616" s="8" t="s">
        <v>311</v>
      </c>
      <c r="I616" s="10">
        <v>3</v>
      </c>
      <c r="J616" s="12">
        <f>K607</f>
        <v>53.414400000000001</v>
      </c>
      <c r="K616" s="12">
        <f>I616%*J616</f>
        <v>1.6024319999999999</v>
      </c>
    </row>
    <row r="617" spans="2:11">
      <c r="C617" t="s">
        <v>667</v>
      </c>
      <c r="G617" s="8" t="s">
        <v>337</v>
      </c>
      <c r="H617" s="9">
        <v>1</v>
      </c>
      <c r="I617" s="18">
        <f>H617*8/$E$601</f>
        <v>0.32</v>
      </c>
      <c r="J617" s="12">
        <v>25.63</v>
      </c>
      <c r="K617" s="12">
        <f>I617*J617</f>
        <v>8.2015999999999991</v>
      </c>
    </row>
    <row r="618" spans="2:11">
      <c r="C618" t="s">
        <v>690</v>
      </c>
      <c r="G618" s="8" t="s">
        <v>337</v>
      </c>
      <c r="H618" s="9">
        <v>1</v>
      </c>
      <c r="I618" s="18">
        <f>H618*8/$E$601</f>
        <v>0.32</v>
      </c>
      <c r="J618" s="50">
        <v>20</v>
      </c>
      <c r="K618" s="12">
        <f>I618*J618</f>
        <v>6.4</v>
      </c>
    </row>
    <row r="619" spans="2:11">
      <c r="C619" t="s">
        <v>675</v>
      </c>
      <c r="G619" s="8" t="s">
        <v>337</v>
      </c>
      <c r="H619" s="9">
        <v>0.5</v>
      </c>
      <c r="I619" s="18">
        <f>H619*8/$E$601</f>
        <v>0.16</v>
      </c>
      <c r="J619">
        <v>7.07</v>
      </c>
      <c r="K619" s="12">
        <f>I619*J619</f>
        <v>1.1312</v>
      </c>
    </row>
    <row r="620" spans="2:11">
      <c r="B620" s="14"/>
      <c r="C620" s="14"/>
      <c r="D620" s="14"/>
      <c r="E620" s="14"/>
      <c r="F620" s="14"/>
      <c r="G620" s="14"/>
      <c r="H620" s="14"/>
      <c r="I620" s="14"/>
      <c r="J620" s="14"/>
      <c r="K620" s="36">
        <f>SUM(K616:K619)</f>
        <v>17.335231999999998</v>
      </c>
    </row>
    <row r="622" spans="2:11">
      <c r="B622" s="31" t="s">
        <v>277</v>
      </c>
      <c r="C622" s="31" t="str">
        <f>ESTRUCTURA!A52</f>
        <v>02.03.08.02</v>
      </c>
      <c r="D622" s="31" t="s">
        <v>552</v>
      </c>
      <c r="E622" s="31"/>
    </row>
    <row r="623" spans="2:11">
      <c r="B623" s="31" t="s">
        <v>278</v>
      </c>
      <c r="C623" s="31" t="s">
        <v>279</v>
      </c>
      <c r="D623" s="32" t="s">
        <v>280</v>
      </c>
      <c r="E623" s="33">
        <v>35</v>
      </c>
      <c r="F623" s="32" t="s">
        <v>281</v>
      </c>
      <c r="G623" s="33">
        <f>E623</f>
        <v>35</v>
      </c>
      <c r="H623" s="31" t="s">
        <v>282</v>
      </c>
      <c r="J623" s="32" t="s">
        <v>133</v>
      </c>
      <c r="K623" s="34">
        <f>K628+K633+K636</f>
        <v>50.790514285714288</v>
      </c>
    </row>
    <row r="624" spans="2:11">
      <c r="B624" s="31" t="s">
        <v>283</v>
      </c>
      <c r="C624" s="31" t="s">
        <v>284</v>
      </c>
      <c r="G624" s="32" t="s">
        <v>122</v>
      </c>
      <c r="H624" s="32" t="s">
        <v>285</v>
      </c>
      <c r="I624" s="32" t="s">
        <v>286</v>
      </c>
      <c r="J624" s="32" t="s">
        <v>287</v>
      </c>
      <c r="K624" s="32" t="s">
        <v>288</v>
      </c>
    </row>
    <row r="625" spans="2:11">
      <c r="C625" s="35" t="s">
        <v>289</v>
      </c>
    </row>
    <row r="626" spans="2:11">
      <c r="C626" t="s">
        <v>290</v>
      </c>
      <c r="G626" s="8" t="s">
        <v>291</v>
      </c>
      <c r="H626" s="9">
        <v>2</v>
      </c>
      <c r="I626" s="18">
        <f>H626*8/$E$623</f>
        <v>0.45714285714285713</v>
      </c>
      <c r="J626" s="12">
        <v>28.94</v>
      </c>
      <c r="K626" s="12">
        <f>I626*J626</f>
        <v>13.229714285714286</v>
      </c>
    </row>
    <row r="627" spans="2:11">
      <c r="C627" t="s">
        <v>293</v>
      </c>
      <c r="G627" s="8" t="s">
        <v>291</v>
      </c>
      <c r="H627" s="9">
        <v>2</v>
      </c>
      <c r="I627" s="18">
        <f>H627*8/$E$623</f>
        <v>0.45714285714285713</v>
      </c>
      <c r="J627" s="12">
        <v>21.36</v>
      </c>
      <c r="K627" s="12">
        <f>I627*J627</f>
        <v>9.7645714285714273</v>
      </c>
    </row>
    <row r="628" spans="2:11">
      <c r="G628" s="8"/>
      <c r="H628" s="9"/>
      <c r="I628" s="10"/>
      <c r="J628" s="12"/>
      <c r="K628" s="34">
        <f>SUM(K626:K627)</f>
        <v>22.994285714285713</v>
      </c>
    </row>
    <row r="629" spans="2:11">
      <c r="C629" s="35" t="s">
        <v>653</v>
      </c>
      <c r="G629" s="8"/>
      <c r="H629" s="9"/>
      <c r="I629" s="10"/>
      <c r="K629" s="12"/>
    </row>
    <row r="630" spans="2:11">
      <c r="C630" t="s">
        <v>688</v>
      </c>
      <c r="G630" s="8" t="s">
        <v>296</v>
      </c>
      <c r="I630" s="10">
        <v>0.1</v>
      </c>
      <c r="J630" s="12">
        <v>2.64</v>
      </c>
      <c r="K630" s="12">
        <f>I630*J630</f>
        <v>0.26400000000000001</v>
      </c>
    </row>
    <row r="631" spans="2:11">
      <c r="C631" t="s">
        <v>301</v>
      </c>
      <c r="G631" s="8" t="s">
        <v>296</v>
      </c>
      <c r="I631" s="10">
        <v>0.24</v>
      </c>
      <c r="J631" s="12">
        <v>5.51</v>
      </c>
      <c r="K631" s="12">
        <f>I631*J631</f>
        <v>1.3223999999999998</v>
      </c>
    </row>
    <row r="632" spans="2:11">
      <c r="C632" t="s">
        <v>669</v>
      </c>
      <c r="G632" s="8" t="s">
        <v>305</v>
      </c>
      <c r="I632" s="10">
        <v>4.4000000000000004</v>
      </c>
      <c r="J632" s="12">
        <v>5.8</v>
      </c>
      <c r="K632" s="12">
        <f>I632*J632</f>
        <v>25.52</v>
      </c>
    </row>
    <row r="633" spans="2:11">
      <c r="G633" s="8"/>
      <c r="I633" s="10"/>
      <c r="J633" s="12"/>
      <c r="K633" s="34">
        <f>SUM(K630:K632)</f>
        <v>27.106400000000001</v>
      </c>
    </row>
    <row r="634" spans="2:11">
      <c r="C634" s="35" t="s">
        <v>309</v>
      </c>
    </row>
    <row r="635" spans="2:11">
      <c r="C635" t="s">
        <v>310</v>
      </c>
      <c r="G635" s="8" t="s">
        <v>311</v>
      </c>
      <c r="I635" s="10">
        <v>3</v>
      </c>
      <c r="J635" s="12">
        <f>K628</f>
        <v>22.994285714285713</v>
      </c>
      <c r="K635" s="12">
        <f>I635%*J635</f>
        <v>0.68982857142857135</v>
      </c>
    </row>
    <row r="636" spans="2:11">
      <c r="B636" s="14"/>
      <c r="C636" s="14"/>
      <c r="D636" s="14"/>
      <c r="E636" s="14"/>
      <c r="F636" s="14"/>
      <c r="G636" s="14"/>
      <c r="H636" s="14"/>
      <c r="I636" s="14"/>
      <c r="J636" s="14"/>
      <c r="K636" s="36">
        <f>SUM(K635)</f>
        <v>0.68982857142857135</v>
      </c>
    </row>
    <row r="638" spans="2:11">
      <c r="B638" s="31" t="s">
        <v>277</v>
      </c>
      <c r="C638" s="31" t="str">
        <f>ESTRUCTURA!A53</f>
        <v>02.03.08.03</v>
      </c>
      <c r="D638" s="31" t="s">
        <v>693</v>
      </c>
      <c r="E638" s="31"/>
    </row>
    <row r="639" spans="2:11">
      <c r="B639" s="31" t="s">
        <v>278</v>
      </c>
      <c r="C639" s="31" t="s">
        <v>678</v>
      </c>
      <c r="D639" s="32" t="s">
        <v>280</v>
      </c>
      <c r="E639" s="33">
        <v>250</v>
      </c>
      <c r="F639" s="32" t="s">
        <v>281</v>
      </c>
      <c r="G639" s="33">
        <f>E639</f>
        <v>250</v>
      </c>
      <c r="H639" s="31" t="s">
        <v>282</v>
      </c>
      <c r="J639" s="32" t="s">
        <v>296</v>
      </c>
      <c r="K639" s="34">
        <f>K644+K648+K652</f>
        <v>5.5639628445000007</v>
      </c>
    </row>
    <row r="640" spans="2:11">
      <c r="B640" s="31" t="s">
        <v>283</v>
      </c>
      <c r="C640" s="31" t="s">
        <v>284</v>
      </c>
      <c r="G640" s="32" t="s">
        <v>122</v>
      </c>
      <c r="H640" s="32" t="s">
        <v>285</v>
      </c>
      <c r="I640" s="32" t="s">
        <v>286</v>
      </c>
      <c r="J640" s="32" t="s">
        <v>287</v>
      </c>
      <c r="K640" s="32" t="s">
        <v>288</v>
      </c>
    </row>
    <row r="641" spans="2:11">
      <c r="C641" s="35" t="s">
        <v>289</v>
      </c>
    </row>
    <row r="642" spans="2:11">
      <c r="C642" t="s">
        <v>290</v>
      </c>
      <c r="G642" s="8" t="s">
        <v>291</v>
      </c>
      <c r="H642" s="9">
        <v>1</v>
      </c>
      <c r="I642" s="18">
        <f>H642*8/$E$639</f>
        <v>3.2000000000000001E-2</v>
      </c>
      <c r="J642" s="12">
        <v>28.94</v>
      </c>
      <c r="K642" s="12">
        <f>I642*J642</f>
        <v>0.92608000000000001</v>
      </c>
    </row>
    <row r="643" spans="2:11">
      <c r="C643" t="s">
        <v>679</v>
      </c>
      <c r="G643" s="8" t="s">
        <v>291</v>
      </c>
      <c r="H643" s="9">
        <v>1</v>
      </c>
      <c r="I643" s="18">
        <f>H643*8/$E$639</f>
        <v>3.2000000000000001E-2</v>
      </c>
      <c r="J643" s="12">
        <v>23.6</v>
      </c>
      <c r="K643" s="12">
        <f>I643*J643</f>
        <v>0.75520000000000009</v>
      </c>
    </row>
    <row r="644" spans="2:11">
      <c r="G644" s="8"/>
      <c r="H644" s="9"/>
      <c r="K644" s="34">
        <f>SUM(K642:K643)</f>
        <v>1.6812800000000001</v>
      </c>
    </row>
    <row r="645" spans="2:11">
      <c r="C645" s="35" t="s">
        <v>294</v>
      </c>
      <c r="G645" s="8"/>
      <c r="H645" s="9"/>
      <c r="I645" s="18"/>
    </row>
    <row r="646" spans="2:11">
      <c r="C646" t="s">
        <v>295</v>
      </c>
      <c r="G646" s="8" t="s">
        <v>296</v>
      </c>
      <c r="H646" s="9"/>
      <c r="I646" s="18">
        <v>0.03</v>
      </c>
      <c r="J646" s="12">
        <v>2.64</v>
      </c>
      <c r="K646" s="12">
        <f>I646*J646</f>
        <v>7.9200000000000007E-2</v>
      </c>
    </row>
    <row r="647" spans="2:11">
      <c r="C647" t="s">
        <v>680</v>
      </c>
      <c r="G647" s="8" t="s">
        <v>296</v>
      </c>
      <c r="H647" s="9"/>
      <c r="I647" s="18">
        <v>1.05</v>
      </c>
      <c r="J647" s="12">
        <f>1012.71*3.379/1000</f>
        <v>3.4219470900000002</v>
      </c>
      <c r="K647" s="12">
        <f>I647*J647</f>
        <v>3.5930444445000003</v>
      </c>
    </row>
    <row r="648" spans="2:11">
      <c r="G648" s="8"/>
      <c r="H648" s="9"/>
      <c r="K648" s="34">
        <f>SUM(K646:K647)</f>
        <v>3.6722444445000004</v>
      </c>
    </row>
    <row r="649" spans="2:11">
      <c r="C649" s="35" t="s">
        <v>317</v>
      </c>
      <c r="G649" s="8"/>
      <c r="H649" s="9"/>
    </row>
    <row r="650" spans="2:11">
      <c r="C650" t="s">
        <v>310</v>
      </c>
      <c r="G650" s="8" t="s">
        <v>311</v>
      </c>
      <c r="I650" s="10">
        <v>3</v>
      </c>
      <c r="J650" s="12">
        <f>K644</f>
        <v>1.6812800000000001</v>
      </c>
      <c r="K650" s="12">
        <f>I650%*J650</f>
        <v>5.0438400000000001E-2</v>
      </c>
    </row>
    <row r="651" spans="2:11">
      <c r="C651" t="s">
        <v>681</v>
      </c>
      <c r="G651" s="8" t="s">
        <v>291</v>
      </c>
      <c r="H651" s="9">
        <v>1</v>
      </c>
      <c r="I651" s="18">
        <f>H651*8/$E$639</f>
        <v>3.2000000000000001E-2</v>
      </c>
      <c r="J651" s="50">
        <v>5</v>
      </c>
      <c r="K651" s="12">
        <f>I651*J651</f>
        <v>0.16</v>
      </c>
    </row>
    <row r="652" spans="2:11">
      <c r="B652" s="14"/>
      <c r="C652" s="14"/>
      <c r="D652" s="14"/>
      <c r="E652" s="14"/>
      <c r="F652" s="14"/>
      <c r="G652" s="14"/>
      <c r="H652" s="14"/>
      <c r="I652" s="14"/>
      <c r="J652" s="14"/>
      <c r="K652" s="36">
        <f>SUM(K650:K651)</f>
        <v>0.2104384</v>
      </c>
    </row>
    <row r="653" spans="2:11">
      <c r="D653" s="31"/>
      <c r="K653" s="34"/>
    </row>
    <row r="654" spans="2:11">
      <c r="B654" s="2" t="s">
        <v>277</v>
      </c>
      <c r="C654" s="2" t="str">
        <f>ESTRUCTURA!A55</f>
        <v>02.03.09.01</v>
      </c>
      <c r="D654" s="31" t="s">
        <v>694</v>
      </c>
      <c r="E654" s="2"/>
    </row>
    <row r="655" spans="2:11">
      <c r="B655" s="2" t="s">
        <v>278</v>
      </c>
      <c r="C655" s="2" t="s">
        <v>416</v>
      </c>
      <c r="D655" s="4" t="s">
        <v>280</v>
      </c>
      <c r="E655" s="5">
        <v>25</v>
      </c>
      <c r="F655" s="4" t="s">
        <v>281</v>
      </c>
      <c r="G655" s="5">
        <f>E655</f>
        <v>25</v>
      </c>
      <c r="H655" s="2" t="s">
        <v>282</v>
      </c>
      <c r="J655" s="4" t="s">
        <v>203</v>
      </c>
      <c r="K655" s="6">
        <f>K663+K672+K677</f>
        <v>396.88173599999999</v>
      </c>
    </row>
    <row r="656" spans="2:11">
      <c r="B656" s="2" t="s">
        <v>283</v>
      </c>
      <c r="C656" s="2" t="s">
        <v>284</v>
      </c>
      <c r="G656" s="4" t="s">
        <v>122</v>
      </c>
      <c r="H656" s="4" t="s">
        <v>285</v>
      </c>
      <c r="I656" s="4" t="s">
        <v>286</v>
      </c>
      <c r="J656" s="4" t="s">
        <v>287</v>
      </c>
      <c r="K656" s="4" t="s">
        <v>288</v>
      </c>
    </row>
    <row r="657" spans="3:11">
      <c r="C657" s="7" t="s">
        <v>289</v>
      </c>
    </row>
    <row r="658" spans="3:11">
      <c r="C658" t="s">
        <v>650</v>
      </c>
      <c r="G658" s="8" t="s">
        <v>291</v>
      </c>
      <c r="H658" s="9">
        <v>0.2</v>
      </c>
      <c r="I658" s="10">
        <f>H658*8/$E$655</f>
        <v>6.4000000000000001E-2</v>
      </c>
      <c r="J658" s="54">
        <v>34.729999999999997</v>
      </c>
      <c r="K658" s="12">
        <f>I658*J658</f>
        <v>2.2227199999999998</v>
      </c>
    </row>
    <row r="659" spans="3:11">
      <c r="C659" t="s">
        <v>290</v>
      </c>
      <c r="G659" s="8" t="s">
        <v>291</v>
      </c>
      <c r="H659" s="9">
        <v>2</v>
      </c>
      <c r="I659" s="10">
        <f>H659*8/$E$655</f>
        <v>0.64</v>
      </c>
      <c r="J659" s="54">
        <v>28.94</v>
      </c>
      <c r="K659" s="12">
        <f>I659*J659</f>
        <v>18.521600000000003</v>
      </c>
    </row>
    <row r="660" spans="3:11">
      <c r="C660" t="s">
        <v>679</v>
      </c>
      <c r="G660" s="8" t="s">
        <v>291</v>
      </c>
      <c r="H660" s="9">
        <v>1</v>
      </c>
      <c r="I660" s="10">
        <f>H660*8/$E$655</f>
        <v>0.32</v>
      </c>
      <c r="J660">
        <v>23.6</v>
      </c>
      <c r="K660" s="12">
        <f>I660*J660</f>
        <v>7.5520000000000005</v>
      </c>
    </row>
    <row r="661" spans="3:11">
      <c r="C661" t="s">
        <v>293</v>
      </c>
      <c r="G661" s="8" t="s">
        <v>291</v>
      </c>
      <c r="H661" s="9">
        <v>7</v>
      </c>
      <c r="I661" s="10">
        <f>H661*8/$E$655</f>
        <v>2.2400000000000002</v>
      </c>
      <c r="J661">
        <v>21.36</v>
      </c>
      <c r="K661" s="12">
        <f>I661*J661</f>
        <v>47.846400000000003</v>
      </c>
    </row>
    <row r="662" spans="3:11">
      <c r="C662" t="s">
        <v>663</v>
      </c>
      <c r="G662" s="8" t="s">
        <v>291</v>
      </c>
      <c r="H662" s="9">
        <v>1</v>
      </c>
      <c r="I662" s="10">
        <f>H662*8/$E$655</f>
        <v>0.32</v>
      </c>
      <c r="J662">
        <v>29.94</v>
      </c>
      <c r="K662" s="12">
        <f>I662*J662</f>
        <v>9.5808</v>
      </c>
    </row>
    <row r="663" spans="3:11">
      <c r="G663" s="8"/>
      <c r="K663" s="6">
        <f>SUM(K658:K662)</f>
        <v>85.723519999999994</v>
      </c>
    </row>
    <row r="664" spans="3:11">
      <c r="C664" s="7" t="s">
        <v>653</v>
      </c>
    </row>
    <row r="665" spans="3:11">
      <c r="C665" t="s">
        <v>695</v>
      </c>
      <c r="G665" s="8" t="s">
        <v>439</v>
      </c>
      <c r="I665" s="10">
        <v>0.01</v>
      </c>
      <c r="J665" s="12">
        <v>38.22</v>
      </c>
      <c r="K665" s="12">
        <f>I665*J665</f>
        <v>0.38219999999999998</v>
      </c>
    </row>
    <row r="666" spans="3:11">
      <c r="C666" t="s">
        <v>696</v>
      </c>
      <c r="G666" s="8" t="s">
        <v>697</v>
      </c>
      <c r="I666" s="10">
        <v>8.0000000000000002E-3</v>
      </c>
      <c r="J666" s="12">
        <v>12.63</v>
      </c>
      <c r="K666" s="12">
        <f>I666*J666</f>
        <v>0.10104</v>
      </c>
    </row>
    <row r="667" spans="3:11">
      <c r="C667" t="s">
        <v>698</v>
      </c>
      <c r="G667" s="8" t="s">
        <v>439</v>
      </c>
      <c r="I667" s="10">
        <v>0.12</v>
      </c>
      <c r="J667" s="12">
        <v>13.93</v>
      </c>
      <c r="K667" s="12">
        <f>I667*J667</f>
        <v>1.6716</v>
      </c>
    </row>
    <row r="668" spans="3:11">
      <c r="C668" t="s">
        <v>699</v>
      </c>
      <c r="G668" s="8" t="s">
        <v>203</v>
      </c>
      <c r="I668" s="10">
        <v>0.8</v>
      </c>
      <c r="J668" s="12">
        <v>55.08</v>
      </c>
      <c r="K668" s="12">
        <f>I668*J668</f>
        <v>44.064</v>
      </c>
    </row>
    <row r="669" spans="3:11">
      <c r="C669" t="s">
        <v>700</v>
      </c>
      <c r="G669" s="8" t="s">
        <v>203</v>
      </c>
      <c r="I669" s="10">
        <v>0.5</v>
      </c>
      <c r="J669" s="12">
        <v>47</v>
      </c>
      <c r="K669" s="12">
        <f>I669*J669</f>
        <v>23.5</v>
      </c>
    </row>
    <row r="670" spans="3:11">
      <c r="C670" t="s">
        <v>664</v>
      </c>
      <c r="G670" s="8" t="s">
        <v>203</v>
      </c>
      <c r="I670" s="10">
        <v>0.18</v>
      </c>
      <c r="J670" s="12">
        <v>6.14</v>
      </c>
      <c r="K670" s="12">
        <f>I670*J670</f>
        <v>1.1052</v>
      </c>
    </row>
    <row r="671" spans="3:11">
      <c r="C671" t="s">
        <v>701</v>
      </c>
      <c r="G671" s="8" t="s">
        <v>307</v>
      </c>
      <c r="I671" s="10">
        <v>9.1999999999999993</v>
      </c>
      <c r="J671" s="12">
        <v>24.52</v>
      </c>
      <c r="K671" s="12">
        <f>I671*J671</f>
        <v>225.58399999999997</v>
      </c>
    </row>
    <row r="672" spans="3:11">
      <c r="G672" s="8"/>
      <c r="I672" s="10"/>
      <c r="J672" s="12"/>
      <c r="K672" s="6">
        <f>SUM(K665:K671)</f>
        <v>296.40803999999997</v>
      </c>
    </row>
    <row r="673" spans="2:11">
      <c r="C673" s="7" t="s">
        <v>309</v>
      </c>
    </row>
    <row r="674" spans="2:11">
      <c r="C674" t="s">
        <v>702</v>
      </c>
      <c r="G674" s="8" t="s">
        <v>337</v>
      </c>
      <c r="H674" s="9">
        <v>1</v>
      </c>
      <c r="I674" s="10">
        <f>H674*8/$E$655</f>
        <v>0.32</v>
      </c>
      <c r="J674" s="12">
        <v>25.63</v>
      </c>
      <c r="K674" s="12">
        <f>I674*J674</f>
        <v>8.2015999999999991</v>
      </c>
    </row>
    <row r="675" spans="2:11">
      <c r="C675" t="s">
        <v>703</v>
      </c>
      <c r="G675" s="8" t="s">
        <v>337</v>
      </c>
      <c r="H675" s="9">
        <v>1</v>
      </c>
      <c r="I675" s="10">
        <f>H675*8/$E$655</f>
        <v>0.32</v>
      </c>
      <c r="J675" s="12">
        <v>7.07</v>
      </c>
      <c r="K675" s="12">
        <f>I675*J675</f>
        <v>2.2624</v>
      </c>
    </row>
    <row r="676" spans="2:11">
      <c r="C676" t="s">
        <v>310</v>
      </c>
      <c r="G676" s="8" t="s">
        <v>311</v>
      </c>
      <c r="I676" s="10">
        <v>5</v>
      </c>
      <c r="J676" s="12">
        <f>K663</f>
        <v>85.723519999999994</v>
      </c>
      <c r="K676" s="12">
        <f>I676%*J676</f>
        <v>4.2861760000000002</v>
      </c>
    </row>
    <row r="677" spans="2:11">
      <c r="B677" s="14"/>
      <c r="C677" s="14"/>
      <c r="D677" s="14"/>
      <c r="E677" s="14"/>
      <c r="F677" s="14"/>
      <c r="G677" s="14"/>
      <c r="H677" s="14"/>
      <c r="I677" s="14"/>
      <c r="J677" s="15"/>
      <c r="K677" s="16">
        <f>SUM(K674:K676)</f>
        <v>14.750176</v>
      </c>
    </row>
    <row r="679" spans="2:11">
      <c r="B679" s="2" t="s">
        <v>277</v>
      </c>
      <c r="C679" s="2" t="str">
        <f>ESTRUCTURA!A56</f>
        <v>02.03.09.02</v>
      </c>
      <c r="D679" s="2" t="s">
        <v>704</v>
      </c>
      <c r="E679" s="2"/>
    </row>
    <row r="680" spans="2:11">
      <c r="B680" s="2" t="s">
        <v>278</v>
      </c>
      <c r="C680" s="2" t="s">
        <v>279</v>
      </c>
      <c r="D680" s="4" t="s">
        <v>280</v>
      </c>
      <c r="E680" s="5">
        <v>35</v>
      </c>
      <c r="F680" s="4" t="s">
        <v>281</v>
      </c>
      <c r="G680" s="5">
        <f>E680</f>
        <v>35</v>
      </c>
      <c r="H680" s="2" t="s">
        <v>282</v>
      </c>
      <c r="J680" s="4" t="s">
        <v>133</v>
      </c>
      <c r="K680" s="6">
        <f>K686+K691+K694</f>
        <v>43.476599999999998</v>
      </c>
    </row>
    <row r="681" spans="2:11">
      <c r="B681" s="2" t="s">
        <v>283</v>
      </c>
      <c r="C681" s="2" t="s">
        <v>284</v>
      </c>
      <c r="G681" s="4" t="s">
        <v>122</v>
      </c>
      <c r="H681" s="4" t="s">
        <v>285</v>
      </c>
      <c r="I681" s="4" t="s">
        <v>286</v>
      </c>
      <c r="J681" s="4" t="s">
        <v>287</v>
      </c>
      <c r="K681" s="4" t="s">
        <v>288</v>
      </c>
    </row>
    <row r="682" spans="2:11">
      <c r="C682" s="7" t="s">
        <v>289</v>
      </c>
    </row>
    <row r="683" spans="2:11">
      <c r="C683" t="s">
        <v>290</v>
      </c>
      <c r="G683" s="8" t="s">
        <v>291</v>
      </c>
      <c r="H683" s="9">
        <v>2</v>
      </c>
      <c r="I683" s="10">
        <f>H683*8/$E$680</f>
        <v>0.45714285714285713</v>
      </c>
      <c r="J683" s="12">
        <v>28.94</v>
      </c>
      <c r="K683" s="12">
        <f>I683*J683</f>
        <v>13.229714285714286</v>
      </c>
    </row>
    <row r="684" spans="2:11">
      <c r="C684" t="s">
        <v>679</v>
      </c>
      <c r="G684" s="8" t="s">
        <v>291</v>
      </c>
      <c r="H684" s="9">
        <v>1</v>
      </c>
      <c r="I684" s="10">
        <f>H684*8/$E$680</f>
        <v>0.22857142857142856</v>
      </c>
      <c r="J684">
        <v>23.6</v>
      </c>
      <c r="K684" s="12">
        <f>I684*J684</f>
        <v>5.3942857142857141</v>
      </c>
    </row>
    <row r="685" spans="2:11">
      <c r="C685" t="s">
        <v>293</v>
      </c>
      <c r="G685" s="8" t="s">
        <v>291</v>
      </c>
      <c r="H685" s="9">
        <v>1</v>
      </c>
      <c r="I685" s="10">
        <f>H685*8/$E$680</f>
        <v>0.22857142857142856</v>
      </c>
      <c r="J685">
        <v>21.36</v>
      </c>
      <c r="K685" s="12">
        <f>I685*J685</f>
        <v>4.8822857142857137</v>
      </c>
    </row>
    <row r="686" spans="2:11">
      <c r="G686" s="8"/>
      <c r="K686" s="6">
        <f>SUM(K683:K685)</f>
        <v>23.506285714285713</v>
      </c>
    </row>
    <row r="687" spans="2:11">
      <c r="C687" s="7" t="s">
        <v>653</v>
      </c>
    </row>
    <row r="688" spans="2:11">
      <c r="C688" t="s">
        <v>688</v>
      </c>
      <c r="G688" s="8" t="s">
        <v>296</v>
      </c>
      <c r="I688" s="10">
        <v>0.1</v>
      </c>
      <c r="J688" s="12">
        <v>2.64</v>
      </c>
      <c r="K688" s="12">
        <f>I688*J688</f>
        <v>0.26400000000000001</v>
      </c>
    </row>
    <row r="689" spans="2:11">
      <c r="C689" t="s">
        <v>301</v>
      </c>
      <c r="G689" s="8" t="s">
        <v>296</v>
      </c>
      <c r="I689" s="10">
        <v>0.1</v>
      </c>
      <c r="J689" s="12">
        <v>5.51</v>
      </c>
      <c r="K689" s="12">
        <f>I689*J689</f>
        <v>0.55100000000000005</v>
      </c>
    </row>
    <row r="690" spans="2:11">
      <c r="C690" t="s">
        <v>669</v>
      </c>
      <c r="G690" s="8" t="s">
        <v>296</v>
      </c>
      <c r="I690" s="10">
        <v>3.1</v>
      </c>
      <c r="J690" s="12">
        <v>5.8</v>
      </c>
      <c r="K690" s="12">
        <f>I690*J690</f>
        <v>17.98</v>
      </c>
    </row>
    <row r="691" spans="2:11">
      <c r="K691" s="6">
        <f>SUM(K688:K690)</f>
        <v>18.795000000000002</v>
      </c>
    </row>
    <row r="692" spans="2:11">
      <c r="C692" s="7" t="s">
        <v>309</v>
      </c>
    </row>
    <row r="693" spans="2:11">
      <c r="C693" t="s">
        <v>310</v>
      </c>
      <c r="G693" s="8" t="s">
        <v>311</v>
      </c>
      <c r="I693" s="10">
        <v>5</v>
      </c>
      <c r="J693" s="12">
        <f>K686</f>
        <v>23.506285714285713</v>
      </c>
      <c r="K693" s="12">
        <f>I693%*J693</f>
        <v>1.1753142857142858</v>
      </c>
    </row>
    <row r="694" spans="2:11">
      <c r="B694" s="14"/>
      <c r="C694" s="14"/>
      <c r="D694" s="14"/>
      <c r="E694" s="14"/>
      <c r="F694" s="14"/>
      <c r="G694" s="14"/>
      <c r="H694" s="14"/>
      <c r="I694" s="14"/>
      <c r="J694" s="14"/>
      <c r="K694" s="16">
        <f>SUM(K693)</f>
        <v>1.1753142857142858</v>
      </c>
    </row>
    <row r="696" spans="2:11">
      <c r="B696" s="31" t="s">
        <v>277</v>
      </c>
      <c r="C696" s="2" t="str">
        <f>ESTRUCTURA!A57</f>
        <v>02.03.09.03</v>
      </c>
      <c r="D696" s="31" t="s">
        <v>562</v>
      </c>
    </row>
    <row r="697" spans="2:11">
      <c r="B697" s="31" t="s">
        <v>278</v>
      </c>
      <c r="C697" s="31" t="s">
        <v>705</v>
      </c>
      <c r="D697" s="32" t="s">
        <v>280</v>
      </c>
      <c r="E697" s="33">
        <v>250</v>
      </c>
      <c r="F697" s="32" t="s">
        <v>281</v>
      </c>
      <c r="G697" s="33">
        <f>E697</f>
        <v>250</v>
      </c>
      <c r="H697" s="31" t="s">
        <v>282</v>
      </c>
      <c r="J697" s="32" t="s">
        <v>706</v>
      </c>
      <c r="K697" s="34">
        <f>K703+K707+K710</f>
        <v>5.4833634845000008</v>
      </c>
    </row>
    <row r="698" spans="2:11">
      <c r="B698" s="31" t="s">
        <v>283</v>
      </c>
      <c r="C698" s="31" t="s">
        <v>284</v>
      </c>
      <c r="G698" s="32" t="s">
        <v>122</v>
      </c>
      <c r="H698" s="32" t="s">
        <v>285</v>
      </c>
      <c r="I698" s="32" t="s">
        <v>286</v>
      </c>
      <c r="J698" s="32" t="s">
        <v>287</v>
      </c>
      <c r="K698" s="32" t="s">
        <v>288</v>
      </c>
    </row>
    <row r="699" spans="2:11">
      <c r="C699" s="35" t="s">
        <v>289</v>
      </c>
      <c r="H699" s="9"/>
    </row>
    <row r="700" spans="2:11">
      <c r="C700" t="s">
        <v>290</v>
      </c>
      <c r="G700" s="8" t="s">
        <v>291</v>
      </c>
      <c r="H700" s="9">
        <v>1</v>
      </c>
      <c r="I700" s="18">
        <f>H700*8/$E$697</f>
        <v>3.2000000000000001E-2</v>
      </c>
      <c r="J700" s="54">
        <v>29.99</v>
      </c>
      <c r="K700" s="12">
        <f>I700*J700</f>
        <v>0.95967999999999998</v>
      </c>
    </row>
    <row r="701" spans="2:11">
      <c r="C701" t="s">
        <v>679</v>
      </c>
      <c r="G701" s="8" t="s">
        <v>291</v>
      </c>
      <c r="H701" s="9">
        <v>1</v>
      </c>
      <c r="I701" s="18">
        <f>H701*8/$E$697</f>
        <v>3.2000000000000001E-2</v>
      </c>
      <c r="J701">
        <v>21.36</v>
      </c>
      <c r="K701" s="12">
        <f>I701*J701</f>
        <v>0.68352000000000002</v>
      </c>
    </row>
    <row r="702" spans="2:11">
      <c r="C702" t="s">
        <v>650</v>
      </c>
      <c r="G702" s="8" t="s">
        <v>291</v>
      </c>
      <c r="H702" s="9">
        <v>0.1</v>
      </c>
      <c r="I702" s="18">
        <f>H702*8/$E$697</f>
        <v>3.2000000000000002E-3</v>
      </c>
      <c r="J702" s="54">
        <v>35.99</v>
      </c>
      <c r="K702" s="12">
        <f>I702*J702</f>
        <v>0.11516800000000001</v>
      </c>
    </row>
    <row r="703" spans="2:11">
      <c r="G703" s="8"/>
      <c r="H703" s="9"/>
      <c r="K703" s="34">
        <f>SUM(K700:K702)</f>
        <v>1.7583679999999999</v>
      </c>
    </row>
    <row r="704" spans="2:11">
      <c r="C704" s="35" t="s">
        <v>294</v>
      </c>
      <c r="G704" s="8"/>
      <c r="H704" s="9"/>
      <c r="I704" s="18"/>
    </row>
    <row r="705" spans="2:11">
      <c r="C705" t="s">
        <v>295</v>
      </c>
      <c r="G705" s="8" t="s">
        <v>296</v>
      </c>
      <c r="H705" s="9"/>
      <c r="I705" s="18">
        <v>0.03</v>
      </c>
      <c r="J705" s="12">
        <v>2.64</v>
      </c>
      <c r="K705" s="12">
        <f>I705*J705</f>
        <v>7.9200000000000007E-2</v>
      </c>
    </row>
    <row r="706" spans="2:11">
      <c r="C706" t="s">
        <v>680</v>
      </c>
      <c r="G706" s="8" t="s">
        <v>296</v>
      </c>
      <c r="H706" s="9"/>
      <c r="I706" s="18">
        <v>1.05</v>
      </c>
      <c r="J706" s="12">
        <f>1012.71*3.379/1000</f>
        <v>3.4219470900000002</v>
      </c>
      <c r="K706" s="12">
        <f>I706*J706</f>
        <v>3.5930444445000003</v>
      </c>
    </row>
    <row r="707" spans="2:11">
      <c r="G707" s="8"/>
      <c r="H707" s="9"/>
      <c r="K707" s="34">
        <f>SUM(K705:K706)</f>
        <v>3.6722444445000004</v>
      </c>
    </row>
    <row r="708" spans="2:11">
      <c r="C708" s="35" t="s">
        <v>317</v>
      </c>
      <c r="G708" s="8"/>
      <c r="H708" s="9"/>
    </row>
    <row r="709" spans="2:11">
      <c r="C709" t="s">
        <v>310</v>
      </c>
      <c r="G709" s="8" t="s">
        <v>311</v>
      </c>
      <c r="I709" s="10">
        <v>3</v>
      </c>
      <c r="J709" s="12">
        <f>K703</f>
        <v>1.7583679999999999</v>
      </c>
      <c r="K709" s="12">
        <f>I709%*J709</f>
        <v>5.2751039999999999E-2</v>
      </c>
    </row>
    <row r="710" spans="2:11">
      <c r="B710" s="14"/>
      <c r="C710" s="14"/>
      <c r="D710" s="14"/>
      <c r="E710" s="14"/>
      <c r="F710" s="14"/>
      <c r="G710" s="14"/>
      <c r="H710" s="14"/>
      <c r="I710" s="14"/>
      <c r="J710" s="14"/>
      <c r="K710" s="36">
        <f>SUM(K709:K709)</f>
        <v>5.2751039999999999E-2</v>
      </c>
    </row>
    <row r="712" spans="2:11">
      <c r="B712" s="31" t="s">
        <v>277</v>
      </c>
      <c r="C712" s="2" t="str">
        <f>ESTRUCTURA!A58</f>
        <v>02.03.09.04</v>
      </c>
      <c r="D712" s="31" t="s">
        <v>564</v>
      </c>
    </row>
    <row r="713" spans="2:11">
      <c r="B713" s="31" t="s">
        <v>278</v>
      </c>
      <c r="C713" s="31" t="s">
        <v>707</v>
      </c>
      <c r="D713" s="32" t="s">
        <v>280</v>
      </c>
      <c r="E713" s="33">
        <v>1600</v>
      </c>
      <c r="F713" s="32" t="s">
        <v>281</v>
      </c>
      <c r="G713" s="33">
        <f>E713</f>
        <v>1600</v>
      </c>
      <c r="H713" s="31" t="s">
        <v>282</v>
      </c>
      <c r="J713" s="32" t="s">
        <v>149</v>
      </c>
      <c r="K713" s="34">
        <f>K719+K723+K726</f>
        <v>2.715605</v>
      </c>
    </row>
    <row r="714" spans="2:11">
      <c r="B714" s="31" t="s">
        <v>283</v>
      </c>
      <c r="C714" s="31" t="s">
        <v>284</v>
      </c>
      <c r="G714" s="32" t="s">
        <v>122</v>
      </c>
      <c r="H714" s="32" t="s">
        <v>285</v>
      </c>
      <c r="I714" s="32" t="s">
        <v>286</v>
      </c>
      <c r="J714" s="32" t="s">
        <v>287</v>
      </c>
      <c r="K714" s="32" t="s">
        <v>288</v>
      </c>
    </row>
    <row r="715" spans="2:11">
      <c r="C715" s="35" t="s">
        <v>289</v>
      </c>
      <c r="H715" s="9"/>
    </row>
    <row r="716" spans="2:11">
      <c r="C716" t="s">
        <v>290</v>
      </c>
      <c r="G716" s="8" t="s">
        <v>291</v>
      </c>
      <c r="H716" s="9">
        <v>1</v>
      </c>
      <c r="I716" s="10">
        <f>H716*8/$E$713</f>
        <v>5.0000000000000001E-3</v>
      </c>
      <c r="J716">
        <v>28.94</v>
      </c>
      <c r="K716" s="12">
        <f>I716*J716</f>
        <v>0.14470000000000002</v>
      </c>
    </row>
    <row r="717" spans="2:11">
      <c r="C717" t="s">
        <v>679</v>
      </c>
      <c r="G717" s="8" t="s">
        <v>291</v>
      </c>
      <c r="H717" s="9">
        <v>1</v>
      </c>
      <c r="I717" s="10">
        <f>H717*8/$E$713</f>
        <v>5.0000000000000001E-3</v>
      </c>
      <c r="J717">
        <v>23.6</v>
      </c>
      <c r="K717" s="12">
        <f>I717*J717</f>
        <v>0.11800000000000001</v>
      </c>
    </row>
    <row r="718" spans="2:11">
      <c r="C718" t="s">
        <v>293</v>
      </c>
      <c r="G718" s="8" t="s">
        <v>291</v>
      </c>
      <c r="H718" s="9">
        <v>6</v>
      </c>
      <c r="I718" s="10">
        <f>H718*8/$E$713</f>
        <v>0.03</v>
      </c>
      <c r="J718">
        <v>21.36</v>
      </c>
      <c r="K718" s="12">
        <f>I718*J718</f>
        <v>0.64079999999999993</v>
      </c>
    </row>
    <row r="719" spans="2:11">
      <c r="G719" s="8"/>
      <c r="H719" s="9"/>
      <c r="K719" s="34">
        <f>SUM(K716:K718)</f>
        <v>0.90349999999999997</v>
      </c>
    </row>
    <row r="720" spans="2:11">
      <c r="C720" s="35" t="s">
        <v>294</v>
      </c>
      <c r="G720" s="8"/>
      <c r="H720" s="9"/>
      <c r="I720" s="18"/>
    </row>
    <row r="721" spans="2:11">
      <c r="C721" t="s">
        <v>708</v>
      </c>
      <c r="G721" s="8" t="s">
        <v>149</v>
      </c>
      <c r="H721" s="9"/>
      <c r="I721" s="18">
        <v>1.05</v>
      </c>
      <c r="J721" s="12">
        <v>1.7</v>
      </c>
      <c r="K721" s="12">
        <f>I721*J721</f>
        <v>1.7849999999999999</v>
      </c>
    </row>
    <row r="722" spans="2:11">
      <c r="G722" s="8"/>
      <c r="H722" s="9"/>
      <c r="I722" s="18"/>
      <c r="J722" s="12"/>
      <c r="K722" s="12"/>
    </row>
    <row r="723" spans="2:11">
      <c r="G723" s="8"/>
      <c r="H723" s="9"/>
      <c r="K723" s="34">
        <f>SUM(K721:K722)</f>
        <v>1.7849999999999999</v>
      </c>
    </row>
    <row r="724" spans="2:11">
      <c r="C724" s="35" t="s">
        <v>317</v>
      </c>
      <c r="G724" s="8"/>
      <c r="H724" s="9"/>
    </row>
    <row r="725" spans="2:11">
      <c r="C725" t="s">
        <v>310</v>
      </c>
      <c r="G725" s="8" t="s">
        <v>311</v>
      </c>
      <c r="I725" s="10">
        <v>3</v>
      </c>
      <c r="J725" s="12">
        <f>K719</f>
        <v>0.90349999999999997</v>
      </c>
      <c r="K725" s="12">
        <f>I725%*J725</f>
        <v>2.7104999999999997E-2</v>
      </c>
    </row>
    <row r="726" spans="2:11">
      <c r="B726" s="14"/>
      <c r="C726" s="14"/>
      <c r="D726" s="14"/>
      <c r="E726" s="14"/>
      <c r="F726" s="14"/>
      <c r="G726" s="14"/>
      <c r="H726" s="14"/>
      <c r="I726" s="14"/>
      <c r="J726" s="14"/>
      <c r="K726" s="36">
        <f>SUM(K725:K725)</f>
        <v>2.7104999999999997E-2</v>
      </c>
    </row>
    <row r="728" spans="2:11">
      <c r="B728" s="2" t="s">
        <v>277</v>
      </c>
      <c r="C728" s="2" t="str">
        <f>ESTRUCTURA!A60</f>
        <v>02.03.10.01</v>
      </c>
      <c r="D728" s="2" t="s">
        <v>569</v>
      </c>
      <c r="E728" s="2"/>
    </row>
    <row r="729" spans="2:11">
      <c r="B729" s="2" t="s">
        <v>278</v>
      </c>
      <c r="C729" s="2" t="s">
        <v>416</v>
      </c>
      <c r="D729" s="4" t="s">
        <v>280</v>
      </c>
      <c r="E729" s="5">
        <v>20</v>
      </c>
      <c r="F729" s="4" t="s">
        <v>281</v>
      </c>
      <c r="G729" s="5">
        <f>E729</f>
        <v>20</v>
      </c>
      <c r="H729" s="2" t="s">
        <v>282</v>
      </c>
      <c r="J729" s="4" t="s">
        <v>203</v>
      </c>
      <c r="K729" s="6">
        <f>K738+K745+K751</f>
        <v>471.73033999999996</v>
      </c>
    </row>
    <row r="730" spans="2:11">
      <c r="B730" s="2" t="s">
        <v>283</v>
      </c>
      <c r="C730" s="2" t="s">
        <v>284</v>
      </c>
      <c r="G730" s="4" t="s">
        <v>122</v>
      </c>
      <c r="H730" s="4" t="s">
        <v>285</v>
      </c>
      <c r="I730" s="4" t="s">
        <v>286</v>
      </c>
      <c r="J730" s="4" t="s">
        <v>287</v>
      </c>
      <c r="K730" s="4" t="s">
        <v>288</v>
      </c>
    </row>
    <row r="731" spans="2:11">
      <c r="C731" s="7" t="s">
        <v>289</v>
      </c>
    </row>
    <row r="732" spans="2:11">
      <c r="G732" s="8"/>
      <c r="H732" s="9"/>
      <c r="I732" s="10"/>
      <c r="J732" s="54"/>
      <c r="K732" s="12"/>
    </row>
    <row r="733" spans="2:11">
      <c r="C733" t="s">
        <v>650</v>
      </c>
      <c r="G733" s="8" t="s">
        <v>291</v>
      </c>
      <c r="H733" s="9">
        <v>0.2</v>
      </c>
      <c r="I733" s="10">
        <f>H733*8/$E$729</f>
        <v>0.08</v>
      </c>
      <c r="J733">
        <v>34.729999999999997</v>
      </c>
      <c r="K733" s="12">
        <f>I733*J733</f>
        <v>2.7784</v>
      </c>
    </row>
    <row r="734" spans="2:11">
      <c r="C734" t="s">
        <v>290</v>
      </c>
      <c r="G734" s="8" t="s">
        <v>291</v>
      </c>
      <c r="H734" s="9">
        <v>2</v>
      </c>
      <c r="I734" s="10">
        <f>H734*8/$E$729</f>
        <v>0.8</v>
      </c>
      <c r="J734">
        <v>28.94</v>
      </c>
      <c r="K734" s="12">
        <f>I734*J734</f>
        <v>23.152000000000001</v>
      </c>
    </row>
    <row r="735" spans="2:11">
      <c r="C735" t="s">
        <v>679</v>
      </c>
      <c r="G735" s="8" t="s">
        <v>291</v>
      </c>
      <c r="H735" s="9">
        <v>2</v>
      </c>
      <c r="I735" s="10">
        <f>H735*8/$E$729</f>
        <v>0.8</v>
      </c>
      <c r="J735">
        <v>23.6</v>
      </c>
      <c r="K735" s="12">
        <f>I735*J735</f>
        <v>18.880000000000003</v>
      </c>
    </row>
    <row r="736" spans="2:11">
      <c r="C736" t="s">
        <v>293</v>
      </c>
      <c r="G736" s="8" t="s">
        <v>291</v>
      </c>
      <c r="H736" s="9">
        <v>12</v>
      </c>
      <c r="I736" s="10">
        <f>H736*8/$E$729</f>
        <v>4.8</v>
      </c>
      <c r="J736">
        <v>21.36</v>
      </c>
      <c r="K736" s="12">
        <f>I736*J736</f>
        <v>102.52799999999999</v>
      </c>
    </row>
    <row r="737" spans="2:11">
      <c r="C737" t="s">
        <v>663</v>
      </c>
      <c r="G737" s="8" t="s">
        <v>291</v>
      </c>
      <c r="H737" s="9">
        <v>2</v>
      </c>
      <c r="I737" s="10">
        <f>H737*8/$E$729</f>
        <v>0.8</v>
      </c>
      <c r="J737">
        <v>29.94</v>
      </c>
      <c r="K737" s="12">
        <f>I737*J737</f>
        <v>23.952000000000002</v>
      </c>
    </row>
    <row r="738" spans="2:11">
      <c r="G738" s="8"/>
      <c r="K738" s="6">
        <f>SUM(K732:K736)</f>
        <v>147.33839999999998</v>
      </c>
    </row>
    <row r="739" spans="2:11">
      <c r="C739" s="7" t="s">
        <v>653</v>
      </c>
    </row>
    <row r="740" spans="2:11">
      <c r="C740" t="s">
        <v>698</v>
      </c>
      <c r="G740" s="8" t="s">
        <v>439</v>
      </c>
      <c r="I740" s="10">
        <v>0.186</v>
      </c>
      <c r="J740" s="12">
        <v>13.93</v>
      </c>
      <c r="K740" s="12">
        <f>I740*J740</f>
        <v>2.5909800000000001</v>
      </c>
    </row>
    <row r="741" spans="2:11">
      <c r="C741" t="s">
        <v>699</v>
      </c>
      <c r="G741" s="8" t="s">
        <v>203</v>
      </c>
      <c r="I741" s="10">
        <v>0.53</v>
      </c>
      <c r="J741" s="12">
        <v>55.08</v>
      </c>
      <c r="K741" s="12">
        <f>I741*J741</f>
        <v>29.192399999999999</v>
      </c>
    </row>
    <row r="742" spans="2:11">
      <c r="C742" t="s">
        <v>700</v>
      </c>
      <c r="G742" s="8" t="s">
        <v>203</v>
      </c>
      <c r="I742" s="10">
        <v>0.52</v>
      </c>
      <c r="J742" s="12">
        <v>47</v>
      </c>
      <c r="K742" s="12">
        <f>I742*J742</f>
        <v>24.44</v>
      </c>
    </row>
    <row r="743" spans="2:11">
      <c r="C743" t="s">
        <v>664</v>
      </c>
      <c r="G743" s="8" t="s">
        <v>203</v>
      </c>
      <c r="I743" s="10">
        <v>0.186</v>
      </c>
      <c r="J743" s="12">
        <v>6.14</v>
      </c>
      <c r="K743" s="12">
        <f>I743*J743</f>
        <v>1.1420399999999999</v>
      </c>
    </row>
    <row r="744" spans="2:11">
      <c r="C744" t="s">
        <v>701</v>
      </c>
      <c r="G744" s="8" t="s">
        <v>307</v>
      </c>
      <c r="I744" s="10">
        <v>9.73</v>
      </c>
      <c r="J744" s="12">
        <v>24.52</v>
      </c>
      <c r="K744" s="12">
        <f>I744*J744</f>
        <v>238.5796</v>
      </c>
    </row>
    <row r="745" spans="2:11">
      <c r="G745" s="8"/>
      <c r="I745" s="10"/>
      <c r="J745" s="12"/>
      <c r="K745" s="6">
        <f>SUM(K740:K744)</f>
        <v>295.94502</v>
      </c>
    </row>
    <row r="746" spans="2:11">
      <c r="C746" s="7" t="s">
        <v>309</v>
      </c>
    </row>
    <row r="747" spans="2:11">
      <c r="C747" t="s">
        <v>702</v>
      </c>
      <c r="G747" s="8" t="s">
        <v>337</v>
      </c>
      <c r="H747" s="9">
        <v>1</v>
      </c>
      <c r="I747" s="10">
        <f>H747*8/$E$729</f>
        <v>0.4</v>
      </c>
      <c r="J747" s="12">
        <v>25.63</v>
      </c>
      <c r="K747" s="12">
        <f>I747*J747</f>
        <v>10.252000000000001</v>
      </c>
    </row>
    <row r="748" spans="2:11">
      <c r="C748" t="s">
        <v>703</v>
      </c>
      <c r="G748" s="8" t="s">
        <v>337</v>
      </c>
      <c r="H748" s="9">
        <v>1</v>
      </c>
      <c r="I748" s="10">
        <f>H748*8/$E$729</f>
        <v>0.4</v>
      </c>
      <c r="J748" s="12">
        <v>7.07</v>
      </c>
      <c r="K748" s="12">
        <f>I748*J748</f>
        <v>2.8280000000000003</v>
      </c>
    </row>
    <row r="749" spans="2:11">
      <c r="C749" t="s">
        <v>709</v>
      </c>
      <c r="G749" s="8" t="s">
        <v>337</v>
      </c>
      <c r="H749" s="9">
        <v>1</v>
      </c>
      <c r="I749" s="10">
        <f>H749*8/$E$729</f>
        <v>0.4</v>
      </c>
      <c r="J749" s="12">
        <v>20</v>
      </c>
      <c r="K749" s="12">
        <f>I749*J749</f>
        <v>8</v>
      </c>
    </row>
    <row r="750" spans="2:11">
      <c r="C750" t="s">
        <v>310</v>
      </c>
      <c r="G750" s="8" t="s">
        <v>311</v>
      </c>
      <c r="I750" s="10">
        <v>5</v>
      </c>
      <c r="J750" s="12">
        <f>K738</f>
        <v>147.33839999999998</v>
      </c>
      <c r="K750" s="12">
        <f>I750%*J750</f>
        <v>7.3669199999999995</v>
      </c>
    </row>
    <row r="751" spans="2:11">
      <c r="B751" s="14"/>
      <c r="C751" s="14"/>
      <c r="D751" s="14"/>
      <c r="E751" s="14"/>
      <c r="F751" s="14"/>
      <c r="G751" s="14"/>
      <c r="H751" s="14"/>
      <c r="I751" s="14"/>
      <c r="J751" s="15"/>
      <c r="K751" s="16">
        <f>SUM(K747:K750)</f>
        <v>28.446920000000002</v>
      </c>
    </row>
    <row r="753" spans="2:17">
      <c r="B753" s="2" t="s">
        <v>277</v>
      </c>
      <c r="C753" s="2" t="str">
        <f>ESTRUCTURA!A61</f>
        <v>02.03.10.02</v>
      </c>
      <c r="D753" s="2" t="s">
        <v>571</v>
      </c>
      <c r="E753" s="2"/>
    </row>
    <row r="754" spans="2:17">
      <c r="B754" s="2" t="s">
        <v>278</v>
      </c>
      <c r="C754" s="2" t="s">
        <v>279</v>
      </c>
      <c r="D754" s="4" t="s">
        <v>280</v>
      </c>
      <c r="E754" s="5">
        <v>12</v>
      </c>
      <c r="F754" s="4" t="s">
        <v>281</v>
      </c>
      <c r="G754" s="5">
        <f>E754</f>
        <v>12</v>
      </c>
      <c r="H754" s="2" t="s">
        <v>282</v>
      </c>
      <c r="J754" s="4" t="s">
        <v>133</v>
      </c>
      <c r="K754" s="6">
        <f>K760+K765+K768</f>
        <v>67.948066666666662</v>
      </c>
    </row>
    <row r="755" spans="2:17">
      <c r="B755" s="2" t="s">
        <v>283</v>
      </c>
      <c r="C755" s="2" t="s">
        <v>284</v>
      </c>
      <c r="G755" s="4" t="s">
        <v>122</v>
      </c>
      <c r="H755" s="4" t="s">
        <v>285</v>
      </c>
      <c r="I755" s="4" t="s">
        <v>286</v>
      </c>
      <c r="J755" s="4" t="s">
        <v>287</v>
      </c>
      <c r="K755" s="4" t="s">
        <v>288</v>
      </c>
    </row>
    <row r="756" spans="2:17">
      <c r="C756" s="7" t="s">
        <v>289</v>
      </c>
      <c r="Q756" s="2"/>
    </row>
    <row r="757" spans="2:17">
      <c r="C757" t="s">
        <v>290</v>
      </c>
      <c r="G757" s="8" t="s">
        <v>291</v>
      </c>
      <c r="H757" s="9">
        <v>1</v>
      </c>
      <c r="I757" s="10">
        <f>H757*8/$E$754</f>
        <v>0.66666666666666663</v>
      </c>
      <c r="J757" s="54">
        <v>28.94</v>
      </c>
      <c r="K757" s="12">
        <f>I757*J757</f>
        <v>19.293333333333333</v>
      </c>
      <c r="Q757" s="2"/>
    </row>
    <row r="758" spans="2:17">
      <c r="C758" t="s">
        <v>679</v>
      </c>
      <c r="G758" s="8" t="s">
        <v>291</v>
      </c>
      <c r="H758" s="9">
        <v>1</v>
      </c>
      <c r="I758" s="10">
        <f>H758*8/$E$754</f>
        <v>0.66666666666666663</v>
      </c>
      <c r="J758">
        <v>23.6</v>
      </c>
      <c r="K758" s="12">
        <f>I758*J758</f>
        <v>15.733333333333334</v>
      </c>
      <c r="Q758" s="2"/>
    </row>
    <row r="759" spans="2:17">
      <c r="C759" t="s">
        <v>293</v>
      </c>
      <c r="G759" s="8" t="s">
        <v>291</v>
      </c>
      <c r="H759" s="9">
        <v>0.5</v>
      </c>
      <c r="I759" s="10">
        <f>H759*8/$E$754</f>
        <v>0.33333333333333331</v>
      </c>
      <c r="J759">
        <v>21.36</v>
      </c>
      <c r="K759" s="12">
        <f>I759*J759</f>
        <v>7.1199999999999992</v>
      </c>
      <c r="Q759" s="2"/>
    </row>
    <row r="760" spans="2:17">
      <c r="G760" s="8"/>
      <c r="K760" s="6">
        <f>SUM(K757:K759)</f>
        <v>42.146666666666668</v>
      </c>
      <c r="P760" s="2"/>
      <c r="Q760" s="2"/>
    </row>
    <row r="761" spans="2:17">
      <c r="C761" s="7" t="s">
        <v>653</v>
      </c>
      <c r="Q761" s="2"/>
    </row>
    <row r="762" spans="2:17">
      <c r="C762" t="s">
        <v>688</v>
      </c>
      <c r="G762" s="8" t="s">
        <v>296</v>
      </c>
      <c r="I762" s="10">
        <v>0.1</v>
      </c>
      <c r="J762" s="12">
        <v>2.64</v>
      </c>
      <c r="K762" s="12">
        <f>I762*J762</f>
        <v>0.26400000000000001</v>
      </c>
      <c r="Q762" s="2"/>
    </row>
    <row r="763" spans="2:17">
      <c r="C763" t="s">
        <v>301</v>
      </c>
      <c r="G763" s="8" t="s">
        <v>296</v>
      </c>
      <c r="I763" s="10">
        <v>0.1</v>
      </c>
      <c r="J763" s="12">
        <v>5.51</v>
      </c>
      <c r="K763" s="12">
        <f>I763*J763</f>
        <v>0.55100000000000005</v>
      </c>
      <c r="Q763" s="2"/>
    </row>
    <row r="764" spans="2:17">
      <c r="C764" t="s">
        <v>669</v>
      </c>
      <c r="G764" s="8" t="s">
        <v>296</v>
      </c>
      <c r="I764" s="10">
        <v>4.09</v>
      </c>
      <c r="J764" s="12">
        <v>5.8</v>
      </c>
      <c r="K764" s="12">
        <f>I764*J764</f>
        <v>23.721999999999998</v>
      </c>
      <c r="P764" s="2"/>
      <c r="Q764" s="2"/>
    </row>
    <row r="765" spans="2:17">
      <c r="K765" s="6">
        <f>SUM(K762:K764)</f>
        <v>24.536999999999999</v>
      </c>
    </row>
    <row r="766" spans="2:17">
      <c r="C766" s="7" t="s">
        <v>309</v>
      </c>
    </row>
    <row r="767" spans="2:17">
      <c r="C767" t="s">
        <v>310</v>
      </c>
      <c r="G767" s="8" t="s">
        <v>311</v>
      </c>
      <c r="I767" s="10">
        <v>3</v>
      </c>
      <c r="J767" s="12">
        <f>K760</f>
        <v>42.146666666666668</v>
      </c>
      <c r="K767" s="12">
        <f>I767%*J767</f>
        <v>1.2644</v>
      </c>
    </row>
    <row r="768" spans="2:17">
      <c r="B768" s="14"/>
      <c r="C768" s="14"/>
      <c r="D768" s="14"/>
      <c r="E768" s="14"/>
      <c r="F768" s="14"/>
      <c r="G768" s="14"/>
      <c r="H768" s="14"/>
      <c r="I768" s="14"/>
      <c r="J768" s="14"/>
      <c r="K768" s="16">
        <f>SUM(K767)</f>
        <v>1.2644</v>
      </c>
    </row>
    <row r="770" spans="2:11">
      <c r="B770" s="31" t="s">
        <v>277</v>
      </c>
      <c r="C770" s="2" t="str">
        <f>ESTRUCTURA!A62</f>
        <v>02.03.10.03</v>
      </c>
      <c r="D770" s="31" t="s">
        <v>710</v>
      </c>
    </row>
    <row r="771" spans="2:11">
      <c r="B771" s="31" t="s">
        <v>278</v>
      </c>
      <c r="C771" s="31" t="s">
        <v>705</v>
      </c>
      <c r="D771" s="32" t="s">
        <v>280</v>
      </c>
      <c r="E771" s="33">
        <v>250</v>
      </c>
      <c r="F771" s="32" t="s">
        <v>281</v>
      </c>
      <c r="G771" s="33">
        <f>E771</f>
        <v>250</v>
      </c>
      <c r="H771" s="31" t="s">
        <v>282</v>
      </c>
      <c r="J771" s="32" t="s">
        <v>706</v>
      </c>
      <c r="K771" s="34">
        <f>K777+K781+K784</f>
        <v>5.4833634845000008</v>
      </c>
    </row>
    <row r="772" spans="2:11">
      <c r="B772" s="31" t="s">
        <v>283</v>
      </c>
      <c r="C772" s="31" t="s">
        <v>284</v>
      </c>
      <c r="G772" s="32" t="s">
        <v>122</v>
      </c>
      <c r="H772" s="32" t="s">
        <v>285</v>
      </c>
      <c r="I772" s="32" t="s">
        <v>286</v>
      </c>
      <c r="J772" s="32" t="s">
        <v>287</v>
      </c>
      <c r="K772" s="32" t="s">
        <v>288</v>
      </c>
    </row>
    <row r="773" spans="2:11">
      <c r="C773" s="35" t="s">
        <v>289</v>
      </c>
      <c r="H773" s="9"/>
    </row>
    <row r="774" spans="2:11">
      <c r="C774" t="s">
        <v>290</v>
      </c>
      <c r="G774" s="8" t="s">
        <v>291</v>
      </c>
      <c r="H774" s="9">
        <v>1</v>
      </c>
      <c r="I774" s="18">
        <f>H774*8/$E$771</f>
        <v>3.2000000000000001E-2</v>
      </c>
      <c r="J774" s="54">
        <v>29.99</v>
      </c>
      <c r="K774" s="12">
        <f>I774*J774</f>
        <v>0.95967999999999998</v>
      </c>
    </row>
    <row r="775" spans="2:11">
      <c r="C775" t="s">
        <v>679</v>
      </c>
      <c r="G775" s="8" t="s">
        <v>291</v>
      </c>
      <c r="H775" s="9">
        <v>1</v>
      </c>
      <c r="I775" s="18">
        <f>H775*8/$E$771</f>
        <v>3.2000000000000001E-2</v>
      </c>
      <c r="J775">
        <v>21.36</v>
      </c>
      <c r="K775" s="12">
        <f>I775*J775</f>
        <v>0.68352000000000002</v>
      </c>
    </row>
    <row r="776" spans="2:11">
      <c r="C776" t="s">
        <v>650</v>
      </c>
      <c r="G776" s="8" t="s">
        <v>291</v>
      </c>
      <c r="H776" s="9">
        <v>0.1</v>
      </c>
      <c r="I776" s="18">
        <f>H776*8/$E$771</f>
        <v>3.2000000000000002E-3</v>
      </c>
      <c r="J776" s="54">
        <v>35.99</v>
      </c>
      <c r="K776" s="12">
        <f>I776*J776</f>
        <v>0.11516800000000001</v>
      </c>
    </row>
    <row r="777" spans="2:11">
      <c r="G777" s="8"/>
      <c r="H777" s="9"/>
      <c r="K777" s="34">
        <f>SUM(K774:K776)</f>
        <v>1.7583679999999999</v>
      </c>
    </row>
    <row r="778" spans="2:11">
      <c r="C778" s="35" t="s">
        <v>294</v>
      </c>
      <c r="G778" s="8"/>
      <c r="H778" s="9"/>
      <c r="I778" s="18"/>
    </row>
    <row r="779" spans="2:11">
      <c r="C779" t="s">
        <v>295</v>
      </c>
      <c r="G779" s="8" t="s">
        <v>296</v>
      </c>
      <c r="H779" s="9"/>
      <c r="I779" s="18">
        <v>0.03</v>
      </c>
      <c r="J779" s="12">
        <v>2.64</v>
      </c>
      <c r="K779" s="12">
        <f>I779*J779</f>
        <v>7.9200000000000007E-2</v>
      </c>
    </row>
    <row r="780" spans="2:11">
      <c r="C780" t="s">
        <v>680</v>
      </c>
      <c r="G780" s="8" t="s">
        <v>296</v>
      </c>
      <c r="H780" s="9"/>
      <c r="I780" s="18">
        <v>1.05</v>
      </c>
      <c r="J780" s="12">
        <f>1012.71*3.379/1000</f>
        <v>3.4219470900000002</v>
      </c>
      <c r="K780" s="12">
        <f>I780*J780</f>
        <v>3.5930444445000003</v>
      </c>
    </row>
    <row r="781" spans="2:11">
      <c r="G781" s="8"/>
      <c r="H781" s="9"/>
      <c r="K781" s="34">
        <f>SUM(K779:K780)</f>
        <v>3.6722444445000004</v>
      </c>
    </row>
    <row r="782" spans="2:11">
      <c r="C782" s="35" t="s">
        <v>317</v>
      </c>
      <c r="G782" s="8"/>
      <c r="H782" s="9"/>
    </row>
    <row r="783" spans="2:11">
      <c r="C783" t="s">
        <v>310</v>
      </c>
      <c r="G783" s="8" t="s">
        <v>311</v>
      </c>
      <c r="I783" s="10">
        <v>3</v>
      </c>
      <c r="J783" s="12">
        <f>K777</f>
        <v>1.7583679999999999</v>
      </c>
      <c r="K783" s="12">
        <f>I783%*J783</f>
        <v>5.2751039999999999E-2</v>
      </c>
    </row>
    <row r="784" spans="2:11">
      <c r="B784" s="14"/>
      <c r="C784" s="14"/>
      <c r="D784" s="14"/>
      <c r="E784" s="14"/>
      <c r="F784" s="14"/>
      <c r="G784" s="14"/>
      <c r="H784" s="14"/>
      <c r="I784" s="14"/>
      <c r="J784" s="14"/>
      <c r="K784" s="36">
        <f>SUM(K783:K783)</f>
        <v>5.2751039999999999E-2</v>
      </c>
    </row>
    <row r="786" spans="2:11">
      <c r="B786" s="31" t="s">
        <v>277</v>
      </c>
      <c r="C786" s="2" t="str">
        <f>ESTRUCTURA!A64</f>
        <v>02.03.11.01</v>
      </c>
      <c r="D786" s="31" t="s">
        <v>577</v>
      </c>
      <c r="E786" s="31"/>
    </row>
    <row r="787" spans="2:11">
      <c r="B787" s="31" t="s">
        <v>278</v>
      </c>
      <c r="C787" s="31" t="s">
        <v>416</v>
      </c>
      <c r="D787" s="32" t="s">
        <v>280</v>
      </c>
      <c r="E787" s="33">
        <v>15</v>
      </c>
      <c r="F787" s="32" t="s">
        <v>281</v>
      </c>
      <c r="G787" s="33">
        <f>E787</f>
        <v>15</v>
      </c>
      <c r="H787" s="31" t="s">
        <v>282</v>
      </c>
      <c r="J787" s="32" t="s">
        <v>203</v>
      </c>
      <c r="K787" s="34">
        <f>K793+K800+K805</f>
        <v>402.68478666666664</v>
      </c>
    </row>
    <row r="788" spans="2:11">
      <c r="B788" s="31" t="s">
        <v>283</v>
      </c>
      <c r="C788" s="31" t="s">
        <v>284</v>
      </c>
      <c r="G788" s="32" t="s">
        <v>122</v>
      </c>
      <c r="H788" s="32" t="s">
        <v>285</v>
      </c>
      <c r="I788" s="32" t="s">
        <v>286</v>
      </c>
      <c r="J788" s="32" t="s">
        <v>287</v>
      </c>
      <c r="K788" s="32" t="s">
        <v>288</v>
      </c>
    </row>
    <row r="789" spans="2:11">
      <c r="C789" s="35" t="s">
        <v>289</v>
      </c>
    </row>
    <row r="790" spans="2:11">
      <c r="C790" t="s">
        <v>290</v>
      </c>
      <c r="G790" s="8" t="s">
        <v>291</v>
      </c>
      <c r="H790" s="9">
        <v>1</v>
      </c>
      <c r="I790" s="10">
        <f>H790*8/$E$787</f>
        <v>0.53333333333333333</v>
      </c>
      <c r="J790" s="12">
        <v>28.94</v>
      </c>
      <c r="K790" s="12">
        <f>I790*J790</f>
        <v>15.434666666666667</v>
      </c>
    </row>
    <row r="791" spans="2:11">
      <c r="C791" t="s">
        <v>292</v>
      </c>
      <c r="G791" s="8" t="s">
        <v>291</v>
      </c>
      <c r="H791" s="9">
        <v>2</v>
      </c>
      <c r="I791" s="10">
        <f>H791*8/$E$787</f>
        <v>1.0666666666666667</v>
      </c>
      <c r="J791" s="12">
        <v>23.6</v>
      </c>
      <c r="K791" s="12">
        <f>I791*J791</f>
        <v>25.173333333333336</v>
      </c>
    </row>
    <row r="792" spans="2:11">
      <c r="C792" t="s">
        <v>293</v>
      </c>
      <c r="G792" s="8" t="s">
        <v>291</v>
      </c>
      <c r="H792" s="9">
        <v>4</v>
      </c>
      <c r="I792" s="10">
        <f>H792*8/$E$787</f>
        <v>2.1333333333333333</v>
      </c>
      <c r="J792" s="12">
        <v>21.36</v>
      </c>
      <c r="K792" s="12">
        <f>I792*J792</f>
        <v>45.567999999999998</v>
      </c>
    </row>
    <row r="793" spans="2:11">
      <c r="G793" s="8"/>
      <c r="H793" s="9"/>
      <c r="I793" s="10"/>
      <c r="K793" s="34">
        <f>SUM(K790:K792)</f>
        <v>86.176000000000002</v>
      </c>
    </row>
    <row r="794" spans="2:11">
      <c r="C794" s="35" t="s">
        <v>653</v>
      </c>
      <c r="G794" s="8"/>
      <c r="H794" s="9"/>
      <c r="I794" s="10"/>
      <c r="K794" s="12"/>
    </row>
    <row r="795" spans="2:11">
      <c r="C795" t="s">
        <v>672</v>
      </c>
      <c r="G795" s="8" t="s">
        <v>203</v>
      </c>
      <c r="I795" s="10">
        <v>0.53</v>
      </c>
      <c r="J795" s="12">
        <v>55.08</v>
      </c>
      <c r="K795" s="12">
        <f>I795*J795</f>
        <v>29.192399999999999</v>
      </c>
    </row>
    <row r="796" spans="2:11">
      <c r="C796" t="s">
        <v>673</v>
      </c>
      <c r="G796" s="8" t="s">
        <v>203</v>
      </c>
      <c r="I796" s="10">
        <v>0.52</v>
      </c>
      <c r="J796" s="12">
        <v>47</v>
      </c>
      <c r="K796" s="12">
        <f>I796*J796</f>
        <v>24.44</v>
      </c>
    </row>
    <row r="797" spans="2:11">
      <c r="C797" t="s">
        <v>306</v>
      </c>
      <c r="G797" s="8" t="s">
        <v>307</v>
      </c>
      <c r="I797" s="10">
        <v>9.73</v>
      </c>
      <c r="J797" s="12">
        <v>24.52</v>
      </c>
      <c r="K797" s="12">
        <f>I797*J797</f>
        <v>238.5796</v>
      </c>
    </row>
    <row r="798" spans="2:11">
      <c r="C798" t="s">
        <v>655</v>
      </c>
      <c r="G798" s="8" t="s">
        <v>203</v>
      </c>
      <c r="I798" s="10">
        <v>0.186</v>
      </c>
      <c r="J798">
        <v>6.14</v>
      </c>
      <c r="K798" s="12">
        <f>I798*J798</f>
        <v>1.1420399999999999</v>
      </c>
    </row>
    <row r="799" spans="2:11">
      <c r="C799" t="s">
        <v>665</v>
      </c>
      <c r="G799" s="8" t="s">
        <v>439</v>
      </c>
      <c r="I799" s="10">
        <v>0.36</v>
      </c>
      <c r="J799">
        <v>13.93</v>
      </c>
      <c r="K799" s="12">
        <f>I799*J799</f>
        <v>5.0148000000000001</v>
      </c>
    </row>
    <row r="800" spans="2:11">
      <c r="G800" s="8"/>
      <c r="I800" s="10"/>
      <c r="J800" s="12"/>
      <c r="K800" s="34">
        <f>SUM(K795:K799)</f>
        <v>298.36883999999998</v>
      </c>
    </row>
    <row r="801" spans="2:57">
      <c r="C801" s="35" t="s">
        <v>309</v>
      </c>
    </row>
    <row r="802" spans="2:57">
      <c r="C802" t="s">
        <v>310</v>
      </c>
      <c r="G802" s="8" t="s">
        <v>311</v>
      </c>
      <c r="I802" s="10">
        <v>3</v>
      </c>
      <c r="J802" s="12">
        <f>K793</f>
        <v>86.176000000000002</v>
      </c>
      <c r="K802" s="12">
        <f>I802%*J802</f>
        <v>2.58528</v>
      </c>
    </row>
    <row r="803" spans="2:57">
      <c r="C803" t="s">
        <v>667</v>
      </c>
      <c r="G803" s="8" t="s">
        <v>337</v>
      </c>
      <c r="H803" s="9">
        <v>1</v>
      </c>
      <c r="I803" s="10">
        <f>H803*8/$E$787</f>
        <v>0.53333333333333333</v>
      </c>
      <c r="J803" s="12">
        <v>25.63</v>
      </c>
      <c r="K803" s="12">
        <f>I803*J803</f>
        <v>13.669333333333332</v>
      </c>
    </row>
    <row r="804" spans="2:57">
      <c r="C804" t="s">
        <v>675</v>
      </c>
      <c r="G804" s="8" t="s">
        <v>337</v>
      </c>
      <c r="H804" s="9">
        <v>0.5</v>
      </c>
      <c r="I804" s="10">
        <f>H804*8/$E$787</f>
        <v>0.26666666666666666</v>
      </c>
      <c r="J804" s="12">
        <v>7.07</v>
      </c>
      <c r="K804" s="12">
        <f>I804*J804</f>
        <v>1.8853333333333333</v>
      </c>
    </row>
    <row r="805" spans="2:57">
      <c r="B805" s="14"/>
      <c r="C805" s="14"/>
      <c r="D805" s="14"/>
      <c r="E805" s="14"/>
      <c r="F805" s="14"/>
      <c r="G805" s="14"/>
      <c r="H805" s="14"/>
      <c r="I805" s="14"/>
      <c r="J805" s="14"/>
      <c r="K805" s="36">
        <f>SUM(K802:K804)</f>
        <v>18.139946666666663</v>
      </c>
      <c r="AV805" s="31"/>
      <c r="AW805" s="31"/>
      <c r="AX805" s="31"/>
      <c r="AY805" s="31"/>
    </row>
    <row r="806" spans="2:57">
      <c r="AV806" s="31"/>
      <c r="AW806" s="31"/>
      <c r="AX806" s="32"/>
      <c r="AY806" s="33"/>
      <c r="AZ806" s="32"/>
      <c r="BA806" s="33"/>
      <c r="BB806" s="31"/>
      <c r="BD806" s="32"/>
      <c r="BE806" s="34"/>
    </row>
    <row r="807" spans="2:57">
      <c r="B807" s="31" t="s">
        <v>277</v>
      </c>
      <c r="C807" s="2" t="str">
        <f>ESTRUCTURA!A65</f>
        <v>02.03.11.02</v>
      </c>
      <c r="D807" s="31" t="s">
        <v>579</v>
      </c>
      <c r="E807" s="31"/>
      <c r="AV807" s="31"/>
      <c r="AW807" s="31"/>
      <c r="BA807" s="32"/>
      <c r="BB807" s="32"/>
      <c r="BC807" s="32"/>
      <c r="BD807" s="32"/>
      <c r="BE807" s="32"/>
    </row>
    <row r="808" spans="2:57">
      <c r="B808" s="31" t="s">
        <v>278</v>
      </c>
      <c r="C808" s="31" t="s">
        <v>279</v>
      </c>
      <c r="D808" s="32" t="s">
        <v>280</v>
      </c>
      <c r="E808" s="33">
        <v>35</v>
      </c>
      <c r="F808" s="32" t="s">
        <v>281</v>
      </c>
      <c r="G808" s="33">
        <f>E808</f>
        <v>35</v>
      </c>
      <c r="H808" s="31" t="s">
        <v>282</v>
      </c>
      <c r="J808" s="32" t="s">
        <v>133</v>
      </c>
      <c r="K808" s="34">
        <f>K814+K819+K822</f>
        <v>47.59157428571428</v>
      </c>
      <c r="AW808" s="35"/>
    </row>
    <row r="809" spans="2:57">
      <c r="B809" s="31" t="s">
        <v>283</v>
      </c>
      <c r="C809" s="31" t="s">
        <v>284</v>
      </c>
      <c r="G809" s="32" t="s">
        <v>122</v>
      </c>
      <c r="H809" s="32" t="s">
        <v>285</v>
      </c>
      <c r="I809" s="32" t="s">
        <v>286</v>
      </c>
      <c r="J809" s="32" t="s">
        <v>287</v>
      </c>
      <c r="K809" s="32" t="s">
        <v>288</v>
      </c>
      <c r="BA809" s="8"/>
      <c r="BB809" s="9"/>
      <c r="BC809" s="10"/>
      <c r="BD809" s="12"/>
      <c r="BE809" s="12"/>
    </row>
    <row r="810" spans="2:57">
      <c r="C810" s="35" t="s">
        <v>289</v>
      </c>
      <c r="BA810" s="8"/>
      <c r="BB810" s="9"/>
      <c r="BC810" s="10"/>
      <c r="BD810" s="12"/>
      <c r="BE810" s="12"/>
    </row>
    <row r="811" spans="2:57">
      <c r="C811" t="s">
        <v>290</v>
      </c>
      <c r="G811" s="8" t="s">
        <v>291</v>
      </c>
      <c r="H811" s="9">
        <v>2</v>
      </c>
      <c r="I811" s="10">
        <f>H811*8/$E$808</f>
        <v>0.45714285714285713</v>
      </c>
      <c r="J811" s="12">
        <v>28.94</v>
      </c>
      <c r="K811" s="12">
        <f>I811*J811</f>
        <v>13.229714285714286</v>
      </c>
      <c r="BA811" s="8"/>
      <c r="BB811" s="9"/>
      <c r="BC811" s="10"/>
      <c r="BD811" s="12"/>
      <c r="BE811" s="12"/>
    </row>
    <row r="812" spans="2:57">
      <c r="C812" t="s">
        <v>292</v>
      </c>
      <c r="G812" s="8" t="s">
        <v>291</v>
      </c>
      <c r="H812" s="9">
        <v>1</v>
      </c>
      <c r="I812" s="10">
        <f>H812*8/$E$808</f>
        <v>0.22857142857142856</v>
      </c>
      <c r="J812" s="12">
        <v>23.6</v>
      </c>
      <c r="K812" s="12">
        <f>I812*J812</f>
        <v>5.3942857142857141</v>
      </c>
      <c r="BA812" s="8"/>
      <c r="BB812" s="9"/>
      <c r="BC812" s="10"/>
      <c r="BE812" s="34"/>
    </row>
    <row r="813" spans="2:57">
      <c r="C813" t="s">
        <v>293</v>
      </c>
      <c r="G813" s="8" t="s">
        <v>291</v>
      </c>
      <c r="H813" s="9">
        <v>1</v>
      </c>
      <c r="I813" s="10">
        <f>H813*8/$E$808</f>
        <v>0.22857142857142856</v>
      </c>
      <c r="J813" s="12">
        <v>21.36</v>
      </c>
      <c r="K813" s="12">
        <f>I813*J813</f>
        <v>4.8822857142857137</v>
      </c>
      <c r="AW813" s="35"/>
      <c r="BA813" s="8"/>
      <c r="BB813" s="9"/>
      <c r="BC813" s="10"/>
      <c r="BE813" s="12"/>
    </row>
    <row r="814" spans="2:57">
      <c r="G814" s="8"/>
      <c r="H814" s="9"/>
      <c r="I814" s="10"/>
      <c r="K814" s="34">
        <f>SUM(K811:K813)</f>
        <v>23.506285714285713</v>
      </c>
      <c r="BA814" s="8"/>
      <c r="BC814" s="10"/>
      <c r="BD814" s="12"/>
      <c r="BE814" s="12"/>
    </row>
    <row r="815" spans="2:57">
      <c r="C815" s="35" t="s">
        <v>653</v>
      </c>
      <c r="G815" s="8"/>
      <c r="H815" s="9"/>
      <c r="I815" s="10"/>
      <c r="K815" s="12"/>
      <c r="BA815" s="8"/>
      <c r="BC815" s="10"/>
      <c r="BD815" s="12"/>
      <c r="BE815" s="12"/>
    </row>
    <row r="816" spans="2:57">
      <c r="C816" t="s">
        <v>688</v>
      </c>
      <c r="G816" s="8" t="s">
        <v>296</v>
      </c>
      <c r="I816" s="10">
        <v>0.3</v>
      </c>
      <c r="J816" s="12">
        <v>2.64</v>
      </c>
      <c r="K816" s="12">
        <f>I816*J816</f>
        <v>0.79200000000000004</v>
      </c>
      <c r="BA816" s="8"/>
      <c r="BC816" s="10"/>
      <c r="BD816" s="12"/>
      <c r="BE816" s="12"/>
    </row>
    <row r="817" spans="2:57">
      <c r="C817" t="s">
        <v>301</v>
      </c>
      <c r="G817" s="8" t="s">
        <v>296</v>
      </c>
      <c r="I817" s="10">
        <v>0.31</v>
      </c>
      <c r="J817" s="12">
        <v>5.51</v>
      </c>
      <c r="K817" s="12">
        <f>I817*J817</f>
        <v>1.7081</v>
      </c>
      <c r="BA817" s="8"/>
      <c r="BC817" s="10"/>
      <c r="BE817" s="12"/>
    </row>
    <row r="818" spans="2:57">
      <c r="C818" t="s">
        <v>669</v>
      </c>
      <c r="G818" s="8" t="s">
        <v>305</v>
      </c>
      <c r="I818" s="10">
        <v>3.6</v>
      </c>
      <c r="J818" s="12">
        <v>5.8</v>
      </c>
      <c r="K818" s="12">
        <f>I818*J818</f>
        <v>20.88</v>
      </c>
      <c r="BA818" s="8"/>
      <c r="BC818" s="10"/>
      <c r="BE818" s="12"/>
    </row>
    <row r="819" spans="2:57">
      <c r="G819" s="8"/>
      <c r="I819" s="10"/>
      <c r="J819" s="12"/>
      <c r="K819" s="34">
        <f>SUM(K816:K818)</f>
        <v>23.380099999999999</v>
      </c>
      <c r="BA819" s="8"/>
      <c r="BC819" s="10"/>
      <c r="BD819" s="12"/>
      <c r="BE819" s="34"/>
    </row>
    <row r="820" spans="2:57">
      <c r="C820" s="35" t="s">
        <v>309</v>
      </c>
      <c r="AW820" s="35"/>
    </row>
    <row r="821" spans="2:57">
      <c r="C821" t="s">
        <v>310</v>
      </c>
      <c r="G821" s="8" t="s">
        <v>311</v>
      </c>
      <c r="I821" s="10">
        <v>3</v>
      </c>
      <c r="J821" s="12">
        <f>K814</f>
        <v>23.506285714285713</v>
      </c>
      <c r="K821" s="12">
        <f>I821%*J821</f>
        <v>0.70518857142857139</v>
      </c>
      <c r="BA821" s="8"/>
      <c r="BC821" s="10"/>
      <c r="BD821" s="12"/>
      <c r="BE821" s="12"/>
    </row>
    <row r="822" spans="2:57">
      <c r="B822" s="14"/>
      <c r="C822" s="14"/>
      <c r="D822" s="14"/>
      <c r="E822" s="14"/>
      <c r="F822" s="14"/>
      <c r="G822" s="14"/>
      <c r="H822" s="14"/>
      <c r="I822" s="14"/>
      <c r="J822" s="14"/>
      <c r="K822" s="36">
        <f>SUM(K821)</f>
        <v>0.70518857142857139</v>
      </c>
      <c r="BA822" s="8"/>
      <c r="BB822" s="9"/>
      <c r="BC822" s="10"/>
      <c r="BD822" s="12"/>
      <c r="BE822" s="12"/>
    </row>
    <row r="823" spans="2:57">
      <c r="BA823" s="8"/>
      <c r="BB823" s="9"/>
      <c r="BC823" s="10"/>
      <c r="BD823" s="12"/>
      <c r="BE823" s="12"/>
    </row>
    <row r="824" spans="2:57">
      <c r="B824" s="31" t="s">
        <v>277</v>
      </c>
      <c r="C824" s="2" t="str">
        <f>ESTRUCTURA!A66</f>
        <v>02.03.11.03</v>
      </c>
      <c r="D824" s="31" t="s">
        <v>581</v>
      </c>
      <c r="E824" s="31"/>
      <c r="AV824" s="14"/>
      <c r="AW824" s="14"/>
      <c r="AX824" s="14"/>
      <c r="AY824" s="14"/>
      <c r="AZ824" s="14"/>
      <c r="BA824" s="14"/>
      <c r="BB824" s="14"/>
      <c r="BC824" s="14"/>
      <c r="BD824" s="14"/>
      <c r="BE824" s="36"/>
    </row>
    <row r="825" spans="2:57">
      <c r="B825" s="31" t="s">
        <v>278</v>
      </c>
      <c r="C825" s="31" t="s">
        <v>279</v>
      </c>
      <c r="D825" s="32" t="s">
        <v>280</v>
      </c>
      <c r="E825" s="33">
        <v>250</v>
      </c>
      <c r="F825" s="32" t="s">
        <v>281</v>
      </c>
      <c r="G825" s="33">
        <f>E825</f>
        <v>250</v>
      </c>
      <c r="H825" s="31" t="s">
        <v>282</v>
      </c>
      <c r="J825" s="32" t="s">
        <v>133</v>
      </c>
      <c r="K825" s="34">
        <f>K830+K834+K838</f>
        <v>5.5639628445000007</v>
      </c>
    </row>
    <row r="826" spans="2:57">
      <c r="B826" s="31" t="s">
        <v>283</v>
      </c>
      <c r="C826" s="31" t="s">
        <v>284</v>
      </c>
      <c r="G826" s="32" t="s">
        <v>122</v>
      </c>
      <c r="H826" s="32" t="s">
        <v>285</v>
      </c>
      <c r="I826" s="32" t="s">
        <v>286</v>
      </c>
      <c r="J826" s="32" t="s">
        <v>287</v>
      </c>
      <c r="K826" s="32" t="s">
        <v>288</v>
      </c>
    </row>
    <row r="827" spans="2:57">
      <c r="C827" s="35" t="s">
        <v>289</v>
      </c>
    </row>
    <row r="828" spans="2:57">
      <c r="C828" t="s">
        <v>290</v>
      </c>
      <c r="G828" s="8" t="s">
        <v>291</v>
      </c>
      <c r="H828" s="9">
        <v>1</v>
      </c>
      <c r="I828" s="18">
        <f>H828*8/$E$825</f>
        <v>3.2000000000000001E-2</v>
      </c>
      <c r="J828" s="12">
        <v>28.94</v>
      </c>
      <c r="K828" s="12">
        <f>I828*J828</f>
        <v>0.92608000000000001</v>
      </c>
    </row>
    <row r="829" spans="2:57">
      <c r="C829" t="s">
        <v>679</v>
      </c>
      <c r="G829" s="8" t="s">
        <v>291</v>
      </c>
      <c r="H829" s="9">
        <v>1</v>
      </c>
      <c r="I829" s="18">
        <f>H829*8/$E$825</f>
        <v>3.2000000000000001E-2</v>
      </c>
      <c r="J829" s="12">
        <v>23.6</v>
      </c>
      <c r="K829" s="12">
        <f>I829*J829</f>
        <v>0.75520000000000009</v>
      </c>
    </row>
    <row r="830" spans="2:57">
      <c r="G830" s="8"/>
      <c r="H830" s="9"/>
      <c r="K830" s="34">
        <f>SUM(K828:K829)</f>
        <v>1.6812800000000001</v>
      </c>
    </row>
    <row r="831" spans="2:57">
      <c r="C831" s="35" t="s">
        <v>294</v>
      </c>
      <c r="G831" s="8"/>
      <c r="H831" s="9"/>
      <c r="I831" s="18"/>
      <c r="P831" s="2"/>
    </row>
    <row r="832" spans="2:57">
      <c r="C832" t="s">
        <v>295</v>
      </c>
      <c r="G832" s="8" t="s">
        <v>296</v>
      </c>
      <c r="H832" s="9"/>
      <c r="I832" s="18">
        <v>0.03</v>
      </c>
      <c r="J832" s="12">
        <v>2.64</v>
      </c>
      <c r="K832" s="12">
        <f>I832*J832</f>
        <v>7.9200000000000007E-2</v>
      </c>
      <c r="P832" s="2"/>
    </row>
    <row r="833" spans="2:16">
      <c r="C833" t="s">
        <v>680</v>
      </c>
      <c r="G833" s="8" t="s">
        <v>296</v>
      </c>
      <c r="H833" s="9"/>
      <c r="I833" s="18">
        <v>1.05</v>
      </c>
      <c r="J833" s="12">
        <f>1012.71*3.379/1000</f>
        <v>3.4219470900000002</v>
      </c>
      <c r="K833" s="12">
        <f>I833*J833</f>
        <v>3.5930444445000003</v>
      </c>
      <c r="P833" s="2"/>
    </row>
    <row r="834" spans="2:16">
      <c r="G834" s="8"/>
      <c r="H834" s="9"/>
      <c r="K834" s="34">
        <f>SUM(K832:K833)</f>
        <v>3.6722444445000004</v>
      </c>
      <c r="O834" s="2"/>
      <c r="P834" s="2"/>
    </row>
    <row r="835" spans="2:16">
      <c r="C835" s="35" t="s">
        <v>317</v>
      </c>
      <c r="G835" s="8"/>
      <c r="H835" s="9"/>
    </row>
    <row r="836" spans="2:16">
      <c r="C836" t="s">
        <v>310</v>
      </c>
      <c r="G836" s="8" t="s">
        <v>311</v>
      </c>
      <c r="I836" s="10">
        <v>3</v>
      </c>
      <c r="J836" s="12">
        <f>K830</f>
        <v>1.6812800000000001</v>
      </c>
      <c r="K836" s="12">
        <f>I836%*J836</f>
        <v>5.0438400000000001E-2</v>
      </c>
    </row>
    <row r="837" spans="2:16">
      <c r="C837" t="s">
        <v>681</v>
      </c>
      <c r="G837" s="8" t="s">
        <v>291</v>
      </c>
      <c r="H837" s="9">
        <v>1</v>
      </c>
      <c r="I837" s="18">
        <f>H837*8/$E$825</f>
        <v>3.2000000000000001E-2</v>
      </c>
      <c r="J837" s="50">
        <v>5</v>
      </c>
      <c r="K837" s="12">
        <f>I837*J837</f>
        <v>0.16</v>
      </c>
    </row>
    <row r="838" spans="2:16">
      <c r="B838" s="14"/>
      <c r="C838" s="14"/>
      <c r="D838" s="14"/>
      <c r="E838" s="14"/>
      <c r="F838" s="14"/>
      <c r="G838" s="14"/>
      <c r="H838" s="14"/>
      <c r="I838" s="14"/>
      <c r="J838" s="14"/>
      <c r="K838" s="36">
        <f>SUM(K836:K837)</f>
        <v>0.2104384</v>
      </c>
    </row>
    <row r="840" spans="2:16">
      <c r="B840" s="31" t="s">
        <v>277</v>
      </c>
      <c r="C840" s="31" t="str">
        <f>ESTRUCTURA!A68</f>
        <v>02.03.12.01</v>
      </c>
      <c r="D840" s="31" t="s">
        <v>711</v>
      </c>
      <c r="E840" s="31"/>
    </row>
    <row r="841" spans="2:16">
      <c r="B841" s="31" t="s">
        <v>278</v>
      </c>
      <c r="C841" s="31" t="s">
        <v>416</v>
      </c>
      <c r="D841" s="32" t="s">
        <v>280</v>
      </c>
      <c r="E841" s="33">
        <v>6</v>
      </c>
      <c r="F841" s="32" t="s">
        <v>281</v>
      </c>
      <c r="G841" s="33">
        <f>E841</f>
        <v>6</v>
      </c>
      <c r="H841" s="31" t="s">
        <v>282</v>
      </c>
      <c r="J841" s="32" t="s">
        <v>203</v>
      </c>
      <c r="K841" s="34">
        <f>K847+K856+K862</f>
        <v>554.63709333333338</v>
      </c>
    </row>
    <row r="842" spans="2:16">
      <c r="B842" s="31" t="s">
        <v>283</v>
      </c>
      <c r="C842" s="31" t="s">
        <v>284</v>
      </c>
      <c r="G842" s="32" t="s">
        <v>122</v>
      </c>
      <c r="H842" s="32" t="s">
        <v>285</v>
      </c>
      <c r="I842" s="32" t="s">
        <v>286</v>
      </c>
      <c r="J842" s="32" t="s">
        <v>287</v>
      </c>
      <c r="K842" s="32" t="s">
        <v>288</v>
      </c>
    </row>
    <row r="843" spans="2:16">
      <c r="C843" s="35" t="s">
        <v>289</v>
      </c>
    </row>
    <row r="844" spans="2:16">
      <c r="C844" t="s">
        <v>290</v>
      </c>
      <c r="G844" s="8" t="s">
        <v>291</v>
      </c>
      <c r="H844" s="9">
        <v>1</v>
      </c>
      <c r="I844" s="10">
        <f>H844*8/$E$841</f>
        <v>1.3333333333333333</v>
      </c>
      <c r="J844" s="12">
        <v>28.94</v>
      </c>
      <c r="K844" s="12">
        <f>I844*J844</f>
        <v>38.586666666666666</v>
      </c>
    </row>
    <row r="845" spans="2:16">
      <c r="C845" t="s">
        <v>292</v>
      </c>
      <c r="G845" s="8" t="s">
        <v>291</v>
      </c>
      <c r="H845" s="9">
        <v>1</v>
      </c>
      <c r="I845" s="10">
        <f>H845*8/$E$841</f>
        <v>1.3333333333333333</v>
      </c>
      <c r="J845" s="12">
        <v>23.6</v>
      </c>
      <c r="K845" s="12">
        <f>I845*J845</f>
        <v>31.466666666666669</v>
      </c>
    </row>
    <row r="846" spans="2:16">
      <c r="C846" t="s">
        <v>293</v>
      </c>
      <c r="G846" s="8" t="s">
        <v>291</v>
      </c>
      <c r="H846" s="9">
        <v>5</v>
      </c>
      <c r="I846" s="10">
        <f>H846*8/$E$841</f>
        <v>6.666666666666667</v>
      </c>
      <c r="J846" s="12">
        <v>21.36</v>
      </c>
      <c r="K846" s="12">
        <f>I846*J846</f>
        <v>142.4</v>
      </c>
    </row>
    <row r="847" spans="2:16">
      <c r="G847" s="8"/>
      <c r="H847" s="9"/>
      <c r="I847" s="10"/>
      <c r="K847" s="34">
        <f>SUM(K844:K846)</f>
        <v>212.45333333333335</v>
      </c>
    </row>
    <row r="848" spans="2:16">
      <c r="C848" s="35" t="s">
        <v>653</v>
      </c>
      <c r="G848" s="8"/>
      <c r="H848" s="9"/>
      <c r="I848" s="10"/>
      <c r="K848" s="12"/>
    </row>
    <row r="849" spans="2:11">
      <c r="C849" t="s">
        <v>672</v>
      </c>
      <c r="G849" s="8" t="s">
        <v>203</v>
      </c>
      <c r="I849" s="10">
        <v>0.8</v>
      </c>
      <c r="J849" s="12">
        <v>55.08</v>
      </c>
      <c r="K849" s="12">
        <f>I849*J849</f>
        <v>44.064</v>
      </c>
    </row>
    <row r="850" spans="2:11">
      <c r="C850" t="s">
        <v>673</v>
      </c>
      <c r="G850" s="8" t="s">
        <v>203</v>
      </c>
      <c r="I850" s="10">
        <v>0.5</v>
      </c>
      <c r="J850" s="12">
        <v>47</v>
      </c>
      <c r="K850" s="12">
        <f>I850*J850</f>
        <v>23.5</v>
      </c>
    </row>
    <row r="851" spans="2:11">
      <c r="C851" t="s">
        <v>306</v>
      </c>
      <c r="G851" s="8" t="s">
        <v>307</v>
      </c>
      <c r="I851" s="10">
        <v>9.74</v>
      </c>
      <c r="J851" s="12">
        <v>24.52</v>
      </c>
      <c r="K851" s="12">
        <f>I851*J851</f>
        <v>238.82480000000001</v>
      </c>
    </row>
    <row r="852" spans="2:11">
      <c r="C852" t="s">
        <v>655</v>
      </c>
      <c r="G852" s="8" t="s">
        <v>203</v>
      </c>
      <c r="I852" s="10">
        <v>0.184</v>
      </c>
      <c r="J852">
        <v>6.14</v>
      </c>
      <c r="K852" s="12">
        <f>I852*J852</f>
        <v>1.1297599999999999</v>
      </c>
    </row>
    <row r="853" spans="2:11">
      <c r="C853" t="s">
        <v>665</v>
      </c>
      <c r="G853" s="8" t="s">
        <v>439</v>
      </c>
      <c r="I853" s="10">
        <v>0.12</v>
      </c>
      <c r="J853">
        <v>13.93</v>
      </c>
      <c r="K853" s="12">
        <f>I853*J853</f>
        <v>1.6716</v>
      </c>
    </row>
    <row r="854" spans="2:11">
      <c r="C854" t="s">
        <v>712</v>
      </c>
      <c r="G854" s="8" t="s">
        <v>439</v>
      </c>
      <c r="I854" s="10">
        <v>0.01</v>
      </c>
      <c r="K854" s="12">
        <f>I854*J854</f>
        <v>0</v>
      </c>
    </row>
    <row r="855" spans="2:11">
      <c r="C855" t="s">
        <v>713</v>
      </c>
      <c r="G855" s="8" t="s">
        <v>714</v>
      </c>
      <c r="I855">
        <v>8.0000000000000002E-3</v>
      </c>
      <c r="K855" s="12">
        <f>I855*J855</f>
        <v>0</v>
      </c>
    </row>
    <row r="856" spans="2:11">
      <c r="G856" s="8"/>
      <c r="I856" s="10"/>
      <c r="J856" s="12"/>
      <c r="K856" s="34">
        <f>SUM(K849:K855)</f>
        <v>309.19015999999999</v>
      </c>
    </row>
    <row r="857" spans="2:11">
      <c r="C857" s="35" t="s">
        <v>309</v>
      </c>
    </row>
    <row r="858" spans="2:11">
      <c r="C858" t="s">
        <v>310</v>
      </c>
      <c r="G858" s="8" t="s">
        <v>311</v>
      </c>
      <c r="I858" s="10">
        <v>3</v>
      </c>
      <c r="J858" s="12">
        <f>K847</f>
        <v>212.45333333333335</v>
      </c>
      <c r="K858" s="12">
        <f>I858%*J858</f>
        <v>6.3736000000000006</v>
      </c>
    </row>
    <row r="859" spans="2:11">
      <c r="C859" t="s">
        <v>667</v>
      </c>
      <c r="G859" s="8" t="s">
        <v>337</v>
      </c>
      <c r="H859" s="9">
        <v>0.5</v>
      </c>
      <c r="I859" s="10">
        <f>H859*8/$E$841</f>
        <v>0.66666666666666663</v>
      </c>
      <c r="J859" s="12">
        <v>25.63</v>
      </c>
      <c r="K859" s="12">
        <f>I859*J859</f>
        <v>17.086666666666666</v>
      </c>
    </row>
    <row r="860" spans="2:11">
      <c r="C860" t="s">
        <v>675</v>
      </c>
      <c r="G860" s="8" t="s">
        <v>337</v>
      </c>
      <c r="H860" s="9">
        <v>0.5</v>
      </c>
      <c r="I860" s="10">
        <f>H860*8/$E$841</f>
        <v>0.66666666666666663</v>
      </c>
      <c r="J860" s="12">
        <v>7.07</v>
      </c>
      <c r="K860" s="12">
        <f>I860*J860</f>
        <v>4.7133333333333329</v>
      </c>
    </row>
    <row r="861" spans="2:11">
      <c r="C861" t="s">
        <v>715</v>
      </c>
      <c r="G861" s="8" t="s">
        <v>337</v>
      </c>
      <c r="H861" s="9">
        <v>0.5</v>
      </c>
      <c r="I861" s="10">
        <f>H861*8/$E$841</f>
        <v>0.66666666666666663</v>
      </c>
      <c r="J861" s="50">
        <v>7.23</v>
      </c>
      <c r="K861" s="12">
        <f>I861*J861</f>
        <v>4.82</v>
      </c>
    </row>
    <row r="862" spans="2:11">
      <c r="B862" s="14"/>
      <c r="C862" s="14"/>
      <c r="D862" s="14"/>
      <c r="E862" s="14"/>
      <c r="F862" s="14"/>
      <c r="G862" s="14"/>
      <c r="H862" s="14"/>
      <c r="I862" s="14"/>
      <c r="J862" s="14"/>
      <c r="K862" s="36">
        <f>SUM(K858:K861)</f>
        <v>32.993600000000001</v>
      </c>
    </row>
    <row r="864" spans="2:11">
      <c r="B864" s="31" t="s">
        <v>277</v>
      </c>
      <c r="C864" s="31" t="str">
        <f>ESTRUCTURA!A69</f>
        <v>02.03.12.02</v>
      </c>
      <c r="D864" s="31" t="s">
        <v>716</v>
      </c>
      <c r="E864" s="31"/>
    </row>
    <row r="865" spans="2:11">
      <c r="B865" s="31" t="s">
        <v>278</v>
      </c>
      <c r="C865" s="31" t="s">
        <v>279</v>
      </c>
      <c r="D865" s="32" t="s">
        <v>280</v>
      </c>
      <c r="E865" s="33">
        <v>6.7</v>
      </c>
      <c r="F865" s="32" t="s">
        <v>281</v>
      </c>
      <c r="G865" s="33">
        <f>E865</f>
        <v>6.7</v>
      </c>
      <c r="H865" s="31" t="s">
        <v>282</v>
      </c>
      <c r="J865" s="32" t="s">
        <v>133</v>
      </c>
      <c r="K865" s="34">
        <f>K871+K876+K879</f>
        <v>111.80536417910447</v>
      </c>
    </row>
    <row r="866" spans="2:11">
      <c r="B866" s="31" t="s">
        <v>283</v>
      </c>
      <c r="C866" s="31" t="s">
        <v>284</v>
      </c>
      <c r="G866" s="32" t="s">
        <v>122</v>
      </c>
      <c r="H866" s="32" t="s">
        <v>285</v>
      </c>
      <c r="I866" s="32" t="s">
        <v>286</v>
      </c>
      <c r="J866" s="32" t="s">
        <v>287</v>
      </c>
      <c r="K866" s="32" t="s">
        <v>288</v>
      </c>
    </row>
    <row r="867" spans="2:11">
      <c r="C867" s="35" t="s">
        <v>289</v>
      </c>
    </row>
    <row r="868" spans="2:11">
      <c r="C868" t="s">
        <v>290</v>
      </c>
      <c r="G868" s="8" t="s">
        <v>291</v>
      </c>
      <c r="H868" s="9">
        <v>1</v>
      </c>
      <c r="I868" s="10">
        <f>H868*8/$E$865</f>
        <v>1.1940298507462686</v>
      </c>
      <c r="J868" s="12">
        <v>28.94</v>
      </c>
      <c r="K868" s="12">
        <f>I868*J868</f>
        <v>34.555223880597012</v>
      </c>
    </row>
    <row r="869" spans="2:11">
      <c r="C869" t="s">
        <v>292</v>
      </c>
      <c r="G869" s="8" t="s">
        <v>291</v>
      </c>
      <c r="H869" s="9">
        <v>1</v>
      </c>
      <c r="I869" s="10">
        <f>H869*8/$E$865</f>
        <v>1.1940298507462686</v>
      </c>
      <c r="J869" s="12">
        <v>23.6</v>
      </c>
      <c r="K869" s="12">
        <f>I869*J869</f>
        <v>28.17910447761194</v>
      </c>
    </row>
    <row r="870" spans="2:11">
      <c r="C870" t="s">
        <v>293</v>
      </c>
      <c r="G870" s="8" t="s">
        <v>291</v>
      </c>
      <c r="H870" s="9">
        <v>0.5</v>
      </c>
      <c r="I870" s="10">
        <f>H870*8/$E$865</f>
        <v>0.59701492537313428</v>
      </c>
      <c r="J870" s="12">
        <v>21.36</v>
      </c>
      <c r="K870" s="12">
        <f>I870*J870</f>
        <v>12.752238805970148</v>
      </c>
    </row>
    <row r="871" spans="2:11">
      <c r="G871" s="8"/>
      <c r="H871" s="9"/>
      <c r="I871" s="10"/>
      <c r="K871" s="34">
        <f>SUM(K868:K870)</f>
        <v>75.486567164179107</v>
      </c>
    </row>
    <row r="872" spans="2:11">
      <c r="C872" s="35" t="s">
        <v>653</v>
      </c>
      <c r="G872" s="8"/>
      <c r="H872" s="9"/>
      <c r="I872" s="10"/>
      <c r="K872" s="12"/>
    </row>
    <row r="873" spans="2:11">
      <c r="C873" t="s">
        <v>688</v>
      </c>
      <c r="G873" s="8" t="s">
        <v>296</v>
      </c>
      <c r="I873" s="10">
        <v>0.08</v>
      </c>
      <c r="J873" s="12">
        <v>2.64</v>
      </c>
      <c r="K873" s="12">
        <f>I873*J873</f>
        <v>0.21120000000000003</v>
      </c>
    </row>
    <row r="874" spans="2:11">
      <c r="C874" t="s">
        <v>301</v>
      </c>
      <c r="G874" s="8" t="s">
        <v>296</v>
      </c>
      <c r="I874" s="10">
        <v>0.1</v>
      </c>
      <c r="J874" s="12">
        <v>5.51</v>
      </c>
      <c r="K874" s="12">
        <f>I874*J874</f>
        <v>0.55100000000000005</v>
      </c>
    </row>
    <row r="875" spans="2:11">
      <c r="C875" t="s">
        <v>669</v>
      </c>
      <c r="G875" s="8" t="s">
        <v>305</v>
      </c>
      <c r="I875" s="10">
        <v>5.74</v>
      </c>
      <c r="J875" s="12">
        <v>5.8</v>
      </c>
      <c r="K875" s="12">
        <f>I875*J875</f>
        <v>33.292000000000002</v>
      </c>
    </row>
    <row r="876" spans="2:11">
      <c r="G876" s="8"/>
      <c r="I876" s="10"/>
      <c r="J876" s="12"/>
      <c r="K876" s="34">
        <f>SUM(K873:K875)</f>
        <v>34.054200000000002</v>
      </c>
    </row>
    <row r="877" spans="2:11">
      <c r="C877" s="35" t="s">
        <v>309</v>
      </c>
    </row>
    <row r="878" spans="2:11">
      <c r="C878" t="s">
        <v>310</v>
      </c>
      <c r="G878" s="8" t="s">
        <v>311</v>
      </c>
      <c r="I878" s="10">
        <v>3</v>
      </c>
      <c r="J878" s="12">
        <f>K871</f>
        <v>75.486567164179107</v>
      </c>
      <c r="K878" s="12">
        <f>I878%*J878</f>
        <v>2.2645970149253731</v>
      </c>
    </row>
    <row r="879" spans="2:11">
      <c r="B879" s="14"/>
      <c r="C879" s="14"/>
      <c r="D879" s="14"/>
      <c r="E879" s="14"/>
      <c r="F879" s="14"/>
      <c r="G879" s="14"/>
      <c r="H879" s="14"/>
      <c r="I879" s="14"/>
      <c r="J879" s="14"/>
      <c r="K879" s="36">
        <f>SUM(K878)</f>
        <v>2.2645970149253731</v>
      </c>
    </row>
    <row r="881" spans="2:11">
      <c r="B881" s="31" t="s">
        <v>277</v>
      </c>
      <c r="C881" s="31" t="str">
        <f>ESTRUCTURA!A70</f>
        <v>02.03.12.03</v>
      </c>
      <c r="D881" s="31" t="s">
        <v>717</v>
      </c>
      <c r="E881" s="31"/>
    </row>
    <row r="882" spans="2:11">
      <c r="B882" s="31" t="s">
        <v>278</v>
      </c>
      <c r="C882" s="31" t="s">
        <v>279</v>
      </c>
      <c r="D882" s="32" t="s">
        <v>280</v>
      </c>
      <c r="E882" s="33">
        <v>250</v>
      </c>
      <c r="F882" s="32" t="s">
        <v>281</v>
      </c>
      <c r="G882" s="33">
        <f>E882</f>
        <v>250</v>
      </c>
      <c r="H882" s="31" t="s">
        <v>282</v>
      </c>
      <c r="J882" s="32" t="s">
        <v>133</v>
      </c>
      <c r="K882" s="34">
        <f>K887+K892+K896</f>
        <v>5.4995328445</v>
      </c>
    </row>
    <row r="883" spans="2:11">
      <c r="B883" s="31" t="s">
        <v>283</v>
      </c>
      <c r="C883" s="31" t="s">
        <v>284</v>
      </c>
      <c r="G883" s="32" t="s">
        <v>122</v>
      </c>
      <c r="H883" s="32" t="s">
        <v>285</v>
      </c>
      <c r="I883" s="32" t="s">
        <v>286</v>
      </c>
      <c r="J883" s="32" t="s">
        <v>287</v>
      </c>
      <c r="K883" s="32" t="s">
        <v>288</v>
      </c>
    </row>
    <row r="884" spans="2:11">
      <c r="C884" s="35" t="s">
        <v>289</v>
      </c>
    </row>
    <row r="885" spans="2:11">
      <c r="C885" t="s">
        <v>290</v>
      </c>
      <c r="G885" s="8" t="s">
        <v>291</v>
      </c>
      <c r="H885" s="9">
        <v>1</v>
      </c>
      <c r="I885" s="18">
        <f>H885*8/$E$882</f>
        <v>3.2000000000000001E-2</v>
      </c>
      <c r="J885" s="12">
        <v>28.94</v>
      </c>
      <c r="K885" s="12">
        <f>I885*J885</f>
        <v>0.92608000000000001</v>
      </c>
    </row>
    <row r="886" spans="2:11">
      <c r="C886" t="s">
        <v>679</v>
      </c>
      <c r="G886" s="8" t="s">
        <v>291</v>
      </c>
      <c r="H886" s="9">
        <v>1</v>
      </c>
      <c r="I886" s="18">
        <f>H886*8/$E$882</f>
        <v>3.2000000000000001E-2</v>
      </c>
      <c r="J886" s="12">
        <v>23.6</v>
      </c>
      <c r="K886" s="12">
        <f>I886*J886</f>
        <v>0.75520000000000009</v>
      </c>
    </row>
    <row r="887" spans="2:11">
      <c r="G887" s="8"/>
      <c r="H887" s="9"/>
      <c r="K887" s="34">
        <f>SUM(K885:K886)</f>
        <v>1.6812800000000001</v>
      </c>
    </row>
    <row r="888" spans="2:11">
      <c r="C888" s="35" t="s">
        <v>294</v>
      </c>
      <c r="G888" s="8"/>
      <c r="H888" s="9"/>
      <c r="I888" s="18"/>
    </row>
    <row r="889" spans="2:11">
      <c r="C889" t="s">
        <v>295</v>
      </c>
      <c r="G889" s="8" t="s">
        <v>296</v>
      </c>
      <c r="H889" s="9"/>
      <c r="I889" s="18">
        <v>0.05</v>
      </c>
      <c r="J889" s="12">
        <v>2.64</v>
      </c>
      <c r="K889" s="12">
        <f>I889*J889</f>
        <v>0.13200000000000001</v>
      </c>
    </row>
    <row r="890" spans="2:11">
      <c r="C890" t="s">
        <v>680</v>
      </c>
      <c r="G890" s="8" t="s">
        <v>296</v>
      </c>
      <c r="H890" s="9"/>
      <c r="I890" s="18">
        <v>1.05</v>
      </c>
      <c r="J890" s="12">
        <f>1012.71*3.379/1000</f>
        <v>3.4219470900000002</v>
      </c>
      <c r="K890" s="12">
        <f>I890*J890</f>
        <v>3.5930444445000003</v>
      </c>
    </row>
    <row r="891" spans="2:11">
      <c r="C891" t="s">
        <v>718</v>
      </c>
      <c r="G891" s="8" t="s">
        <v>296</v>
      </c>
      <c r="H891" s="9"/>
      <c r="I891" s="18">
        <v>1E-3</v>
      </c>
      <c r="J891" s="50">
        <v>13.81</v>
      </c>
      <c r="K891" s="12">
        <f>I891*J891</f>
        <v>1.3810000000000001E-2</v>
      </c>
    </row>
    <row r="892" spans="2:11">
      <c r="G892" s="8"/>
      <c r="H892" s="9"/>
      <c r="K892" s="34">
        <f>SUM(K889:K891)</f>
        <v>3.7388544445000003</v>
      </c>
    </row>
    <row r="893" spans="2:11">
      <c r="C893" s="35" t="s">
        <v>317</v>
      </c>
      <c r="G893" s="8"/>
      <c r="H893" s="9"/>
    </row>
    <row r="894" spans="2:11">
      <c r="C894" t="s">
        <v>310</v>
      </c>
      <c r="G894" s="8" t="s">
        <v>311</v>
      </c>
      <c r="I894" s="10">
        <v>3</v>
      </c>
      <c r="J894" s="12">
        <f>K887</f>
        <v>1.6812800000000001</v>
      </c>
      <c r="K894" s="12">
        <f>I894%*J894</f>
        <v>5.0438400000000001E-2</v>
      </c>
    </row>
    <row r="895" spans="2:11">
      <c r="C895" t="s">
        <v>719</v>
      </c>
      <c r="D895" t="s">
        <v>720</v>
      </c>
      <c r="G895" s="8" t="s">
        <v>291</v>
      </c>
      <c r="H895" s="9">
        <v>0.5</v>
      </c>
      <c r="I895" s="18">
        <f>H895*8/$E$882</f>
        <v>1.6E-2</v>
      </c>
      <c r="J895" s="50">
        <v>1.81</v>
      </c>
      <c r="K895" s="12">
        <f>I895*J895</f>
        <v>2.8960000000000003E-2</v>
      </c>
    </row>
    <row r="896" spans="2:11">
      <c r="B896" s="14"/>
      <c r="C896" s="14"/>
      <c r="D896" s="14"/>
      <c r="E896" s="14"/>
      <c r="F896" s="14"/>
      <c r="G896" s="14"/>
      <c r="H896" s="14"/>
      <c r="I896" s="14"/>
      <c r="J896" s="14"/>
      <c r="K896" s="36">
        <f>SUM(K894:K895)</f>
        <v>7.9398400000000008E-2</v>
      </c>
    </row>
    <row r="898" spans="1:11">
      <c r="A898" s="222"/>
      <c r="B898" s="2" t="s">
        <v>277</v>
      </c>
      <c r="C898" s="2" t="str">
        <f>ESTRUCTURA!A73</f>
        <v>02.04.01.01</v>
      </c>
      <c r="D898" s="2" t="s">
        <v>593</v>
      </c>
      <c r="E898" s="2"/>
      <c r="F898" s="2"/>
      <c r="G898" s="2"/>
      <c r="H898" s="2"/>
      <c r="I898" s="2"/>
      <c r="J898" s="2"/>
    </row>
    <row r="899" spans="1:11">
      <c r="B899" s="2" t="s">
        <v>278</v>
      </c>
      <c r="C899" s="2" t="s">
        <v>416</v>
      </c>
      <c r="D899" s="4" t="s">
        <v>280</v>
      </c>
      <c r="E899" s="5">
        <v>30</v>
      </c>
      <c r="F899" s="4" t="s">
        <v>281</v>
      </c>
      <c r="G899" s="5">
        <f>E899</f>
        <v>30</v>
      </c>
      <c r="H899" s="2" t="s">
        <v>282</v>
      </c>
      <c r="J899" s="4" t="s">
        <v>203</v>
      </c>
      <c r="K899" s="6">
        <f>K906+K911+K915</f>
        <v>445.66922400000004</v>
      </c>
    </row>
    <row r="900" spans="1:11">
      <c r="B900" s="2" t="s">
        <v>283</v>
      </c>
      <c r="C900" s="2" t="s">
        <v>284</v>
      </c>
      <c r="G900" s="4" t="s">
        <v>122</v>
      </c>
      <c r="H900" s="4" t="s">
        <v>285</v>
      </c>
      <c r="I900" s="4" t="s">
        <v>286</v>
      </c>
      <c r="J900" s="4" t="s">
        <v>287</v>
      </c>
      <c r="K900" s="4" t="s">
        <v>288</v>
      </c>
    </row>
    <row r="901" spans="1:11">
      <c r="C901" s="7" t="s">
        <v>289</v>
      </c>
    </row>
    <row r="902" spans="1:11">
      <c r="C902" t="s">
        <v>650</v>
      </c>
      <c r="G902" s="8" t="s">
        <v>291</v>
      </c>
      <c r="H902" s="9">
        <v>0.1</v>
      </c>
      <c r="I902" s="10">
        <f>H902*8/$E$899</f>
        <v>2.6666666666666668E-2</v>
      </c>
      <c r="J902" s="12">
        <v>34.729999999999997</v>
      </c>
      <c r="K902" s="12">
        <f>I902*J902</f>
        <v>0.92613333333333336</v>
      </c>
    </row>
    <row r="903" spans="1:11">
      <c r="C903" t="s">
        <v>290</v>
      </c>
      <c r="G903" s="8" t="s">
        <v>291</v>
      </c>
      <c r="H903" s="9">
        <v>2</v>
      </c>
      <c r="I903" s="10">
        <f>H903*8/$E$899</f>
        <v>0.53333333333333333</v>
      </c>
      <c r="J903" s="12">
        <v>28.94</v>
      </c>
      <c r="K903" s="12">
        <f>I903*J903</f>
        <v>15.434666666666667</v>
      </c>
    </row>
    <row r="904" spans="1:11">
      <c r="C904" t="s">
        <v>292</v>
      </c>
      <c r="G904" s="8" t="s">
        <v>291</v>
      </c>
      <c r="H904" s="9">
        <v>1</v>
      </c>
      <c r="I904" s="10">
        <f>H904*8/$E$899</f>
        <v>0.26666666666666666</v>
      </c>
      <c r="J904" s="12">
        <v>22.66</v>
      </c>
      <c r="K904" s="12">
        <f>I904*J904</f>
        <v>6.0426666666666664</v>
      </c>
    </row>
    <row r="905" spans="1:11">
      <c r="C905" t="s">
        <v>293</v>
      </c>
      <c r="G905" s="8" t="s">
        <v>291</v>
      </c>
      <c r="H905" s="9">
        <v>4</v>
      </c>
      <c r="I905" s="10">
        <f>H905*8/$E$899</f>
        <v>1.0666666666666667</v>
      </c>
      <c r="J905" s="12">
        <v>20.51</v>
      </c>
      <c r="K905" s="12">
        <f>I905*J905</f>
        <v>21.877333333333336</v>
      </c>
    </row>
    <row r="906" spans="1:11">
      <c r="K906" s="6">
        <f>SUM(K902:K905)</f>
        <v>44.280799999999999</v>
      </c>
    </row>
    <row r="907" spans="1:11">
      <c r="C907" s="7" t="s">
        <v>294</v>
      </c>
    </row>
    <row r="908" spans="1:11">
      <c r="C908" t="s">
        <v>721</v>
      </c>
      <c r="F908" t="s">
        <v>296</v>
      </c>
      <c r="I908" s="10">
        <v>0.1</v>
      </c>
      <c r="J908" s="12">
        <v>24.52</v>
      </c>
      <c r="K908" s="12">
        <f>I908*J908</f>
        <v>2.452</v>
      </c>
    </row>
    <row r="909" spans="1:11">
      <c r="C909" t="s">
        <v>722</v>
      </c>
      <c r="F909" t="s">
        <v>296</v>
      </c>
      <c r="I909" s="10">
        <v>1.02</v>
      </c>
      <c r="J909" s="12">
        <v>358</v>
      </c>
      <c r="K909" s="12">
        <f>I909*J909</f>
        <v>365.16</v>
      </c>
    </row>
    <row r="910" spans="1:11">
      <c r="C910" t="s">
        <v>723</v>
      </c>
      <c r="F910" t="s">
        <v>305</v>
      </c>
      <c r="I910" s="10">
        <v>1.02</v>
      </c>
      <c r="J910" s="12">
        <v>30</v>
      </c>
      <c r="K910" s="12">
        <f>I910*J910</f>
        <v>30.6</v>
      </c>
    </row>
    <row r="911" spans="1:11">
      <c r="K911" s="6">
        <f>SUM(K908:K910)</f>
        <v>398.21200000000005</v>
      </c>
    </row>
    <row r="912" spans="1:11">
      <c r="C912" s="7" t="s">
        <v>317</v>
      </c>
    </row>
    <row r="913" spans="2:11">
      <c r="C913" t="s">
        <v>310</v>
      </c>
      <c r="G913" s="8" t="s">
        <v>311</v>
      </c>
      <c r="I913" s="10">
        <v>3</v>
      </c>
      <c r="J913" s="12">
        <f>K906</f>
        <v>44.280799999999999</v>
      </c>
      <c r="K913" s="12">
        <f>I913%*J913</f>
        <v>1.3284239999999998</v>
      </c>
    </row>
    <row r="914" spans="2:11">
      <c r="C914" t="s">
        <v>724</v>
      </c>
      <c r="G914" s="8" t="s">
        <v>337</v>
      </c>
      <c r="H914" s="9">
        <v>1</v>
      </c>
      <c r="I914" s="10">
        <f>H914*8/$E$899</f>
        <v>0.26666666666666666</v>
      </c>
      <c r="J914" s="12">
        <v>6.93</v>
      </c>
      <c r="K914" s="12">
        <f>I914*J914</f>
        <v>1.8479999999999999</v>
      </c>
    </row>
    <row r="915" spans="2:11">
      <c r="B915" s="14"/>
      <c r="C915" s="14"/>
      <c r="D915" s="14"/>
      <c r="E915" s="14"/>
      <c r="F915" s="14"/>
      <c r="G915" s="14"/>
      <c r="H915" s="14"/>
      <c r="I915" s="14"/>
      <c r="J915" s="14"/>
      <c r="K915" s="16">
        <f>SUM(K913:K914)</f>
        <v>3.1764239999999999</v>
      </c>
    </row>
    <row r="917" spans="2:11">
      <c r="B917" s="2" t="s">
        <v>277</v>
      </c>
      <c r="C917" s="2" t="str">
        <f>ESTRUCTURA!A74</f>
        <v>02.04.01.02</v>
      </c>
      <c r="D917" s="2" t="s">
        <v>595</v>
      </c>
      <c r="E917" s="2"/>
      <c r="F917" s="2"/>
      <c r="G917" s="2"/>
      <c r="H917" s="2"/>
      <c r="I917" s="2"/>
      <c r="J917" s="2"/>
    </row>
    <row r="918" spans="2:11">
      <c r="B918" s="2" t="s">
        <v>278</v>
      </c>
      <c r="C918" s="2" t="s">
        <v>416</v>
      </c>
      <c r="D918" s="4" t="s">
        <v>280</v>
      </c>
      <c r="E918" s="5">
        <v>30</v>
      </c>
      <c r="F918" s="4" t="s">
        <v>281</v>
      </c>
      <c r="G918" s="5">
        <f>E918</f>
        <v>30</v>
      </c>
      <c r="H918" s="2" t="s">
        <v>282</v>
      </c>
      <c r="J918" s="4" t="s">
        <v>203</v>
      </c>
      <c r="K918" s="6">
        <f>K925+K930+K934</f>
        <v>445.66922400000004</v>
      </c>
    </row>
    <row r="919" spans="2:11">
      <c r="B919" s="2" t="s">
        <v>283</v>
      </c>
      <c r="C919" s="2" t="s">
        <v>284</v>
      </c>
      <c r="G919" s="4" t="s">
        <v>122</v>
      </c>
      <c r="H919" s="4" t="s">
        <v>285</v>
      </c>
      <c r="I919" s="4" t="s">
        <v>286</v>
      </c>
      <c r="J919" s="4" t="s">
        <v>287</v>
      </c>
      <c r="K919" s="4" t="s">
        <v>288</v>
      </c>
    </row>
    <row r="920" spans="2:11">
      <c r="C920" s="7" t="s">
        <v>289</v>
      </c>
    </row>
    <row r="921" spans="2:11">
      <c r="C921" t="s">
        <v>650</v>
      </c>
      <c r="G921" s="8" t="s">
        <v>291</v>
      </c>
      <c r="H921" s="9">
        <v>0.1</v>
      </c>
      <c r="I921" s="10">
        <f>H921*8/$E$918</f>
        <v>2.6666666666666668E-2</v>
      </c>
      <c r="J921" s="12">
        <v>34.729999999999997</v>
      </c>
      <c r="K921" s="12">
        <f>I921*J921</f>
        <v>0.92613333333333336</v>
      </c>
    </row>
    <row r="922" spans="2:11">
      <c r="C922" t="s">
        <v>290</v>
      </c>
      <c r="G922" s="8" t="s">
        <v>291</v>
      </c>
      <c r="H922" s="9">
        <v>2</v>
      </c>
      <c r="I922" s="10">
        <f>H922*8/$E$918</f>
        <v>0.53333333333333333</v>
      </c>
      <c r="J922" s="12">
        <v>28.94</v>
      </c>
      <c r="K922" s="12">
        <f>I922*J922</f>
        <v>15.434666666666667</v>
      </c>
    </row>
    <row r="923" spans="2:11">
      <c r="C923" t="s">
        <v>292</v>
      </c>
      <c r="G923" s="8" t="s">
        <v>291</v>
      </c>
      <c r="H923" s="9">
        <v>1</v>
      </c>
      <c r="I923" s="10">
        <f>H923*8/$E$918</f>
        <v>0.26666666666666666</v>
      </c>
      <c r="J923" s="12">
        <v>22.66</v>
      </c>
      <c r="K923" s="12">
        <f>I923*J923</f>
        <v>6.0426666666666664</v>
      </c>
    </row>
    <row r="924" spans="2:11">
      <c r="C924" t="s">
        <v>293</v>
      </c>
      <c r="G924" s="8" t="s">
        <v>291</v>
      </c>
      <c r="H924" s="9">
        <v>4</v>
      </c>
      <c r="I924" s="10">
        <f>H924*8/$E$918</f>
        <v>1.0666666666666667</v>
      </c>
      <c r="J924" s="12">
        <v>20.51</v>
      </c>
      <c r="K924" s="12">
        <f>I924*J924</f>
        <v>21.877333333333336</v>
      </c>
    </row>
    <row r="925" spans="2:11">
      <c r="K925" s="6">
        <f>SUM(K921:K924)</f>
        <v>44.280799999999999</v>
      </c>
    </row>
    <row r="926" spans="2:11">
      <c r="C926" s="7" t="s">
        <v>294</v>
      </c>
    </row>
    <row r="927" spans="2:11">
      <c r="C927" t="s">
        <v>721</v>
      </c>
      <c r="F927" t="s">
        <v>296</v>
      </c>
      <c r="I927" s="10">
        <v>0.1</v>
      </c>
      <c r="J927" s="12">
        <v>24.52</v>
      </c>
      <c r="K927" s="12">
        <f>I927*J927</f>
        <v>2.452</v>
      </c>
    </row>
    <row r="928" spans="2:11">
      <c r="C928" t="s">
        <v>722</v>
      </c>
      <c r="F928" t="s">
        <v>296</v>
      </c>
      <c r="I928" s="10">
        <v>1.02</v>
      </c>
      <c r="J928">
        <v>358</v>
      </c>
      <c r="K928" s="12">
        <f>I928*J928</f>
        <v>365.16</v>
      </c>
    </row>
    <row r="929" spans="2:11">
      <c r="C929" t="s">
        <v>723</v>
      </c>
      <c r="F929" t="s">
        <v>305</v>
      </c>
      <c r="I929" s="10">
        <v>1.02</v>
      </c>
      <c r="J929" s="12">
        <v>30</v>
      </c>
      <c r="K929" s="12">
        <f>I929*J929</f>
        <v>30.6</v>
      </c>
    </row>
    <row r="930" spans="2:11">
      <c r="K930" s="6">
        <f>SUM(K927:K929)</f>
        <v>398.21200000000005</v>
      </c>
    </row>
    <row r="931" spans="2:11">
      <c r="C931" s="7" t="s">
        <v>317</v>
      </c>
    </row>
    <row r="932" spans="2:11">
      <c r="C932" t="s">
        <v>310</v>
      </c>
      <c r="G932" s="8" t="s">
        <v>311</v>
      </c>
      <c r="I932" s="10">
        <v>3</v>
      </c>
      <c r="J932" s="12">
        <f>K925</f>
        <v>44.280799999999999</v>
      </c>
      <c r="K932" s="12">
        <f>I932%*J932</f>
        <v>1.3284239999999998</v>
      </c>
    </row>
    <row r="933" spans="2:11">
      <c r="C933" t="s">
        <v>724</v>
      </c>
      <c r="G933" s="8" t="s">
        <v>337</v>
      </c>
      <c r="H933" s="9">
        <v>1</v>
      </c>
      <c r="I933" s="10">
        <f>H933*8/$E$918</f>
        <v>0.26666666666666666</v>
      </c>
      <c r="J933" s="12">
        <v>6.93</v>
      </c>
      <c r="K933" s="12">
        <f>I933*J933</f>
        <v>1.8479999999999999</v>
      </c>
    </row>
    <row r="934" spans="2:11">
      <c r="B934" s="14"/>
      <c r="C934" s="14"/>
      <c r="D934" s="14"/>
      <c r="E934" s="14"/>
      <c r="F934" s="14"/>
      <c r="G934" s="14"/>
      <c r="H934" s="14"/>
      <c r="I934" s="14"/>
      <c r="J934" s="14"/>
      <c r="K934" s="16">
        <f>SUM(K932:K933)</f>
        <v>3.1764239999999999</v>
      </c>
    </row>
    <row r="936" spans="2:11">
      <c r="B936" s="2" t="s">
        <v>277</v>
      </c>
      <c r="C936" s="2" t="str">
        <f>ESTRUCTURA!A75</f>
        <v>02.04.01.03</v>
      </c>
      <c r="D936" s="2" t="s">
        <v>597</v>
      </c>
      <c r="E936" s="2"/>
      <c r="F936" s="2"/>
      <c r="G936" s="2"/>
      <c r="H936" s="2"/>
      <c r="I936" s="2"/>
      <c r="J936" s="2"/>
    </row>
    <row r="937" spans="2:11">
      <c r="B937" s="2" t="s">
        <v>278</v>
      </c>
      <c r="C937" s="2" t="s">
        <v>279</v>
      </c>
      <c r="D937" s="4" t="s">
        <v>280</v>
      </c>
      <c r="E937" s="5">
        <v>25</v>
      </c>
      <c r="F937" s="4" t="s">
        <v>281</v>
      </c>
      <c r="G937" s="5">
        <f>E937</f>
        <v>25</v>
      </c>
      <c r="H937" s="2" t="s">
        <v>282</v>
      </c>
      <c r="J937" s="4" t="s">
        <v>133</v>
      </c>
      <c r="K937" s="6">
        <f>K944+K949+K953</f>
        <v>118.01356480000003</v>
      </c>
    </row>
    <row r="938" spans="2:11">
      <c r="B938" s="2" t="s">
        <v>283</v>
      </c>
      <c r="C938" s="2" t="s">
        <v>284</v>
      </c>
      <c r="G938" s="4" t="s">
        <v>122</v>
      </c>
      <c r="H938" s="4" t="s">
        <v>285</v>
      </c>
      <c r="I938" s="4" t="s">
        <v>286</v>
      </c>
      <c r="J938" s="4" t="s">
        <v>287</v>
      </c>
      <c r="K938" s="4" t="s">
        <v>288</v>
      </c>
    </row>
    <row r="939" spans="2:11">
      <c r="C939" s="7" t="s">
        <v>289</v>
      </c>
    </row>
    <row r="940" spans="2:11">
      <c r="C940" t="s">
        <v>650</v>
      </c>
      <c r="G940" s="8" t="s">
        <v>291</v>
      </c>
      <c r="H940" s="9">
        <v>0.1</v>
      </c>
      <c r="I940" s="10">
        <f>H940*8/$E$937</f>
        <v>3.2000000000000001E-2</v>
      </c>
      <c r="J940" s="12">
        <v>34.729999999999997</v>
      </c>
      <c r="K940" s="12">
        <f>I940*J940</f>
        <v>1.1113599999999999</v>
      </c>
    </row>
    <row r="941" spans="2:11">
      <c r="C941" t="s">
        <v>290</v>
      </c>
      <c r="G941" s="8" t="s">
        <v>291</v>
      </c>
      <c r="H941" s="9">
        <v>1</v>
      </c>
      <c r="I941" s="10">
        <f>H941*8/$E$937</f>
        <v>0.32</v>
      </c>
      <c r="J941" s="12">
        <v>28.94</v>
      </c>
      <c r="K941" s="12">
        <f>I941*J941</f>
        <v>9.2608000000000015</v>
      </c>
    </row>
    <row r="942" spans="2:11">
      <c r="C942" t="s">
        <v>292</v>
      </c>
      <c r="G942" s="8" t="s">
        <v>291</v>
      </c>
      <c r="H942" s="9">
        <v>2</v>
      </c>
      <c r="I942" s="10">
        <f>H942*8/$E$937</f>
        <v>0.64</v>
      </c>
      <c r="J942" s="12">
        <v>22.66</v>
      </c>
      <c r="K942" s="12">
        <f>I942*J942</f>
        <v>14.5024</v>
      </c>
    </row>
    <row r="943" spans="2:11">
      <c r="C943" t="s">
        <v>293</v>
      </c>
      <c r="G943" s="8" t="s">
        <v>291</v>
      </c>
      <c r="H943" s="9">
        <v>8</v>
      </c>
      <c r="I943" s="10">
        <f>H943*8/$E$937</f>
        <v>2.56</v>
      </c>
      <c r="J943" s="12">
        <v>20.51</v>
      </c>
      <c r="K943" s="12">
        <f>I943*J943</f>
        <v>52.505600000000008</v>
      </c>
    </row>
    <row r="944" spans="2:11">
      <c r="K944" s="6">
        <f>SUM(K940:K943)</f>
        <v>77.380160000000018</v>
      </c>
    </row>
    <row r="945" spans="2:11">
      <c r="C945" s="7" t="s">
        <v>294</v>
      </c>
    </row>
    <row r="946" spans="2:11">
      <c r="C946" t="s">
        <v>725</v>
      </c>
      <c r="F946" t="s">
        <v>296</v>
      </c>
      <c r="I946" s="10">
        <v>0.1</v>
      </c>
      <c r="J946" s="12">
        <v>4.6399999999999997</v>
      </c>
      <c r="K946" s="12">
        <f>I946*J946</f>
        <v>0.46399999999999997</v>
      </c>
    </row>
    <row r="947" spans="2:11">
      <c r="C947" t="s">
        <v>726</v>
      </c>
      <c r="F947" t="s">
        <v>296</v>
      </c>
      <c r="I947" s="10">
        <v>0.15</v>
      </c>
      <c r="J947">
        <v>4.16</v>
      </c>
      <c r="K947" s="12">
        <f>I947*J947</f>
        <v>0.624</v>
      </c>
    </row>
    <row r="948" spans="2:11">
      <c r="C948" t="s">
        <v>308</v>
      </c>
      <c r="F948" t="s">
        <v>305</v>
      </c>
      <c r="I948" s="10">
        <v>4.03</v>
      </c>
      <c r="J948" s="12">
        <v>8.8000000000000007</v>
      </c>
      <c r="K948" s="12">
        <f>I948*J948</f>
        <v>35.464000000000006</v>
      </c>
    </row>
    <row r="949" spans="2:11">
      <c r="K949" s="6">
        <f>SUM(K946:K948)</f>
        <v>36.552000000000007</v>
      </c>
    </row>
    <row r="950" spans="2:11">
      <c r="C950" s="7" t="s">
        <v>317</v>
      </c>
    </row>
    <row r="951" spans="2:11">
      <c r="C951" t="s">
        <v>310</v>
      </c>
      <c r="G951" s="8" t="s">
        <v>311</v>
      </c>
      <c r="I951" s="10">
        <v>3</v>
      </c>
      <c r="J951" s="12">
        <f>K944</f>
        <v>77.380160000000018</v>
      </c>
      <c r="K951" s="12">
        <f>I951%*J951</f>
        <v>2.3214048000000003</v>
      </c>
    </row>
    <row r="952" spans="2:11">
      <c r="C952" t="s">
        <v>727</v>
      </c>
      <c r="G952" s="8" t="s">
        <v>337</v>
      </c>
      <c r="H952" s="9">
        <v>1</v>
      </c>
      <c r="I952" s="10">
        <f>H952*8/$E$937</f>
        <v>0.32</v>
      </c>
      <c r="J952" s="12">
        <v>5.5</v>
      </c>
      <c r="K952" s="12">
        <f>I952*J952</f>
        <v>1.76</v>
      </c>
    </row>
    <row r="953" spans="2:11">
      <c r="B953" s="14"/>
      <c r="C953" s="14"/>
      <c r="D953" s="14"/>
      <c r="E953" s="14"/>
      <c r="F953" s="14"/>
      <c r="G953" s="14"/>
      <c r="H953" s="14"/>
      <c r="I953" s="14"/>
      <c r="J953" s="14"/>
      <c r="K953" s="16">
        <f>SUM(K951:K952)</f>
        <v>4.0814048000000005</v>
      </c>
    </row>
    <row r="955" spans="2:11">
      <c r="B955" s="2" t="s">
        <v>277</v>
      </c>
      <c r="C955" s="2" t="str">
        <f>ESTRUCTURA!A76</f>
        <v>02.04.01.04</v>
      </c>
      <c r="D955" s="2" t="s">
        <v>599</v>
      </c>
      <c r="E955" s="2"/>
    </row>
    <row r="956" spans="2:11">
      <c r="B956" s="2" t="s">
        <v>278</v>
      </c>
      <c r="C956" s="2" t="s">
        <v>416</v>
      </c>
      <c r="D956" s="4" t="s">
        <v>280</v>
      </c>
      <c r="E956" s="5">
        <v>1</v>
      </c>
      <c r="F956" s="4" t="s">
        <v>281</v>
      </c>
      <c r="G956" s="5">
        <f>E956</f>
        <v>1</v>
      </c>
      <c r="H956" s="2" t="s">
        <v>282</v>
      </c>
      <c r="J956" s="4" t="s">
        <v>203</v>
      </c>
      <c r="K956" s="6">
        <f>K960</f>
        <v>358</v>
      </c>
    </row>
    <row r="957" spans="2:11">
      <c r="B957" s="2" t="s">
        <v>283</v>
      </c>
      <c r="C957" s="2" t="s">
        <v>284</v>
      </c>
      <c r="G957" s="4" t="s">
        <v>122</v>
      </c>
      <c r="H957" s="4" t="s">
        <v>285</v>
      </c>
      <c r="I957" s="4" t="s">
        <v>286</v>
      </c>
      <c r="J957" s="4" t="s">
        <v>287</v>
      </c>
      <c r="K957" s="4" t="s">
        <v>288</v>
      </c>
    </row>
    <row r="958" spans="2:11">
      <c r="C958" s="7" t="s">
        <v>289</v>
      </c>
    </row>
    <row r="959" spans="2:11">
      <c r="C959" t="s">
        <v>599</v>
      </c>
      <c r="I959" s="10">
        <v>1</v>
      </c>
      <c r="J959" s="12">
        <v>358</v>
      </c>
      <c r="K959" s="12">
        <f>I959*J959</f>
        <v>358</v>
      </c>
    </row>
    <row r="960" spans="2:11">
      <c r="B960" s="14"/>
      <c r="C960" s="14"/>
      <c r="D960" s="14"/>
      <c r="E960" s="14"/>
      <c r="F960" s="14"/>
      <c r="G960" s="44"/>
      <c r="H960" s="14"/>
      <c r="I960" s="46"/>
      <c r="J960" s="106"/>
      <c r="K960" s="16">
        <f>SUM(K959)</f>
        <v>358</v>
      </c>
    </row>
    <row r="962" spans="2:11">
      <c r="B962" s="2" t="s">
        <v>277</v>
      </c>
      <c r="C962" s="2" t="str">
        <f>ESTRUCTURA!A77</f>
        <v>02.04.01.05</v>
      </c>
      <c r="D962" s="2" t="s">
        <v>601</v>
      </c>
      <c r="E962" s="2"/>
      <c r="F962" s="2"/>
      <c r="G962" s="2"/>
      <c r="H962" s="2"/>
      <c r="I962" s="2"/>
      <c r="J962" s="2"/>
    </row>
    <row r="963" spans="2:11">
      <c r="B963" s="2" t="s">
        <v>278</v>
      </c>
      <c r="C963" s="2" t="s">
        <v>279</v>
      </c>
      <c r="D963" s="4" t="s">
        <v>280</v>
      </c>
      <c r="E963" s="5">
        <v>250</v>
      </c>
      <c r="F963" s="4" t="s">
        <v>281</v>
      </c>
      <c r="G963" s="5">
        <f>E963</f>
        <v>250</v>
      </c>
      <c r="H963" s="2" t="s">
        <v>282</v>
      </c>
      <c r="J963" s="4" t="s">
        <v>133</v>
      </c>
      <c r="K963" s="6">
        <f>K967+K970+K973</f>
        <v>2.9418735999999996</v>
      </c>
    </row>
    <row r="964" spans="2:11">
      <c r="B964" s="2" t="s">
        <v>283</v>
      </c>
      <c r="C964" s="2" t="s">
        <v>284</v>
      </c>
      <c r="G964" s="4" t="s">
        <v>122</v>
      </c>
      <c r="H964" s="4" t="s">
        <v>285</v>
      </c>
      <c r="I964" s="4" t="s">
        <v>286</v>
      </c>
      <c r="J964" s="4" t="s">
        <v>287</v>
      </c>
      <c r="K964" s="4" t="s">
        <v>288</v>
      </c>
    </row>
    <row r="965" spans="2:11">
      <c r="C965" s="7" t="s">
        <v>289</v>
      </c>
    </row>
    <row r="966" spans="2:11">
      <c r="C966" t="s">
        <v>292</v>
      </c>
      <c r="G966" s="8" t="s">
        <v>291</v>
      </c>
      <c r="H966" s="9">
        <v>1</v>
      </c>
      <c r="I966" s="10">
        <f>H966*8/$E$963</f>
        <v>3.2000000000000001E-2</v>
      </c>
      <c r="J966" s="12">
        <v>22.66</v>
      </c>
      <c r="K966" s="12">
        <f>I966*J966</f>
        <v>0.72511999999999999</v>
      </c>
    </row>
    <row r="967" spans="2:11">
      <c r="G967" s="8"/>
      <c r="H967" s="9"/>
      <c r="I967" s="10"/>
      <c r="J967" s="12"/>
      <c r="K967" s="6">
        <f>SUM(K966:K966)</f>
        <v>0.72511999999999999</v>
      </c>
    </row>
    <row r="968" spans="2:11">
      <c r="C968" s="7" t="s">
        <v>294</v>
      </c>
    </row>
    <row r="969" spans="2:11">
      <c r="C969" t="s">
        <v>728</v>
      </c>
      <c r="G969" s="8" t="s">
        <v>439</v>
      </c>
      <c r="I969" s="10">
        <v>0.05</v>
      </c>
      <c r="J969" s="12">
        <v>43.9</v>
      </c>
      <c r="K969" s="12">
        <f>I969*J969</f>
        <v>2.1949999999999998</v>
      </c>
    </row>
    <row r="970" spans="2:11">
      <c r="K970" s="6">
        <f>SUM(K969)</f>
        <v>2.1949999999999998</v>
      </c>
    </row>
    <row r="971" spans="2:11">
      <c r="C971" s="7" t="s">
        <v>317</v>
      </c>
    </row>
    <row r="972" spans="2:11">
      <c r="C972" t="s">
        <v>310</v>
      </c>
      <c r="G972" s="8" t="s">
        <v>311</v>
      </c>
      <c r="I972" s="10">
        <v>3</v>
      </c>
      <c r="J972" s="12">
        <f>K967</f>
        <v>0.72511999999999999</v>
      </c>
      <c r="K972" s="12">
        <f>I972%*J972</f>
        <v>2.1753599999999998E-2</v>
      </c>
    </row>
    <row r="973" spans="2:11">
      <c r="B973" s="14"/>
      <c r="C973" s="14"/>
      <c r="D973" s="14"/>
      <c r="E973" s="14"/>
      <c r="F973" s="14"/>
      <c r="G973" s="14"/>
      <c r="H973" s="14"/>
      <c r="I973" s="14"/>
      <c r="J973" s="14"/>
      <c r="K973" s="16">
        <f>SUM(K972)</f>
        <v>2.1753599999999998E-2</v>
      </c>
    </row>
    <row r="974" spans="2:11">
      <c r="I974" s="10"/>
      <c r="J974" s="12"/>
      <c r="K974" s="12"/>
    </row>
    <row r="975" spans="2:11">
      <c r="B975" s="2" t="s">
        <v>277</v>
      </c>
      <c r="C975" s="2" t="str">
        <f>ESTRUCTURA!A78</f>
        <v>02.04.01.06</v>
      </c>
      <c r="D975" s="2" t="s">
        <v>603</v>
      </c>
      <c r="E975" s="2"/>
      <c r="F975" s="2"/>
      <c r="G975" s="2"/>
      <c r="H975" s="2"/>
      <c r="I975" s="2"/>
      <c r="J975" s="2"/>
    </row>
    <row r="976" spans="2:11">
      <c r="B976" s="2" t="s">
        <v>278</v>
      </c>
      <c r="C976" s="2" t="s">
        <v>313</v>
      </c>
      <c r="D976" s="4" t="s">
        <v>280</v>
      </c>
      <c r="E976" s="5">
        <v>100</v>
      </c>
      <c r="F976" s="4" t="s">
        <v>281</v>
      </c>
      <c r="G976" s="5">
        <f>E976</f>
        <v>100</v>
      </c>
      <c r="H976" s="2" t="s">
        <v>282</v>
      </c>
      <c r="J976" s="4" t="s">
        <v>144</v>
      </c>
      <c r="K976" s="6">
        <f>K981+K985+K988</f>
        <v>19.238683200000001</v>
      </c>
    </row>
    <row r="977" spans="2:11">
      <c r="B977" s="2" t="s">
        <v>283</v>
      </c>
      <c r="C977" s="2" t="s">
        <v>284</v>
      </c>
      <c r="G977" s="4" t="s">
        <v>122</v>
      </c>
      <c r="H977" s="4" t="s">
        <v>285</v>
      </c>
      <c r="I977" s="4" t="s">
        <v>286</v>
      </c>
      <c r="J977" s="4" t="s">
        <v>287</v>
      </c>
      <c r="K977" s="4" t="s">
        <v>288</v>
      </c>
    </row>
    <row r="978" spans="2:11">
      <c r="C978" s="7" t="s">
        <v>289</v>
      </c>
    </row>
    <row r="979" spans="2:11">
      <c r="C979" t="s">
        <v>650</v>
      </c>
      <c r="G979" s="8" t="s">
        <v>291</v>
      </c>
      <c r="H979" s="9">
        <v>1</v>
      </c>
      <c r="I979" s="10">
        <f>H979*8/$E$976</f>
        <v>0.08</v>
      </c>
      <c r="J979" s="12">
        <v>34.729999999999997</v>
      </c>
      <c r="K979" s="12">
        <f>I979*J979</f>
        <v>2.7784</v>
      </c>
    </row>
    <row r="980" spans="2:11">
      <c r="C980" t="s">
        <v>290</v>
      </c>
      <c r="G980" s="8" t="s">
        <v>291</v>
      </c>
      <c r="H980" s="9">
        <v>0.2</v>
      </c>
      <c r="I980" s="10">
        <f>H980*8/$E$976</f>
        <v>1.6E-2</v>
      </c>
      <c r="J980" s="12">
        <v>28.94</v>
      </c>
      <c r="K980" s="12">
        <f>I980*J980</f>
        <v>0.46304000000000001</v>
      </c>
    </row>
    <row r="981" spans="2:11">
      <c r="G981" s="8"/>
      <c r="H981" s="9"/>
      <c r="I981" s="10"/>
      <c r="J981" s="12"/>
      <c r="K981" s="6">
        <f>SUM(K979:K980)</f>
        <v>3.2414399999999999</v>
      </c>
    </row>
    <row r="982" spans="2:11">
      <c r="C982" s="7" t="s">
        <v>294</v>
      </c>
      <c r="G982" s="8"/>
    </row>
    <row r="983" spans="2:11">
      <c r="C983" t="s">
        <v>729</v>
      </c>
      <c r="G983" s="8" t="s">
        <v>133</v>
      </c>
      <c r="I983" s="10">
        <v>0.05</v>
      </c>
      <c r="J983" s="12">
        <v>18</v>
      </c>
      <c r="K983" s="12">
        <f>I983*J983</f>
        <v>0.9</v>
      </c>
    </row>
    <row r="984" spans="2:11">
      <c r="C984" t="s">
        <v>730</v>
      </c>
      <c r="G984" s="8" t="s">
        <v>439</v>
      </c>
      <c r="I984" s="10">
        <v>0.1</v>
      </c>
      <c r="J984" s="12">
        <v>150</v>
      </c>
      <c r="K984" s="12">
        <f>I984*J984</f>
        <v>15</v>
      </c>
    </row>
    <row r="985" spans="2:11">
      <c r="K985" s="6">
        <f>SUM(K983:K984)</f>
        <v>15.9</v>
      </c>
    </row>
    <row r="986" spans="2:11">
      <c r="C986" s="7" t="s">
        <v>317</v>
      </c>
    </row>
    <row r="987" spans="2:11">
      <c r="C987" t="s">
        <v>310</v>
      </c>
      <c r="G987" s="8" t="s">
        <v>311</v>
      </c>
      <c r="I987" s="10">
        <v>3</v>
      </c>
      <c r="J987" s="12">
        <f>K981</f>
        <v>3.2414399999999999</v>
      </c>
      <c r="K987" s="12">
        <f>I987%*J987</f>
        <v>9.7243199999999988E-2</v>
      </c>
    </row>
    <row r="988" spans="2:11">
      <c r="B988" s="14"/>
      <c r="C988" s="14"/>
      <c r="D988" s="14"/>
      <c r="E988" s="14"/>
      <c r="F988" s="14"/>
      <c r="G988" s="14"/>
      <c r="H988" s="14"/>
      <c r="I988" s="14"/>
      <c r="J988" s="14"/>
      <c r="K988" s="16">
        <f>SUM(K987)</f>
        <v>9.7243199999999988E-2</v>
      </c>
    </row>
    <row r="990" spans="2:11">
      <c r="B990" s="2" t="s">
        <v>277</v>
      </c>
      <c r="C990" s="2" t="str">
        <f>ESTRUCTURA!A79</f>
        <v>02.04.01.07</v>
      </c>
      <c r="D990" s="2" t="s">
        <v>605</v>
      </c>
      <c r="E990" s="2"/>
      <c r="F990" s="2"/>
      <c r="G990" s="2"/>
      <c r="H990" s="2"/>
      <c r="I990" s="2"/>
      <c r="J990" s="2"/>
    </row>
    <row r="991" spans="2:11">
      <c r="B991" s="2" t="s">
        <v>278</v>
      </c>
      <c r="C991" s="2" t="s">
        <v>313</v>
      </c>
      <c r="D991" s="4" t="s">
        <v>280</v>
      </c>
      <c r="E991" s="5">
        <v>100</v>
      </c>
      <c r="F991" s="4" t="s">
        <v>281</v>
      </c>
      <c r="G991" s="5">
        <f>E991</f>
        <v>100</v>
      </c>
      <c r="H991" s="2" t="s">
        <v>282</v>
      </c>
      <c r="J991" s="4" t="s">
        <v>144</v>
      </c>
      <c r="K991" s="6">
        <f>K996+K1000+K1003</f>
        <v>19.238683200000001</v>
      </c>
    </row>
    <row r="992" spans="2:11">
      <c r="B992" s="2" t="s">
        <v>283</v>
      </c>
      <c r="C992" s="2" t="s">
        <v>284</v>
      </c>
      <c r="G992" s="4" t="s">
        <v>122</v>
      </c>
      <c r="H992" s="4" t="s">
        <v>285</v>
      </c>
      <c r="I992" s="4" t="s">
        <v>286</v>
      </c>
      <c r="J992" s="4" t="s">
        <v>287</v>
      </c>
      <c r="K992" s="4" t="s">
        <v>288</v>
      </c>
    </row>
    <row r="993" spans="2:11">
      <c r="C993" s="7" t="s">
        <v>289</v>
      </c>
    </row>
    <row r="994" spans="2:11">
      <c r="C994" t="s">
        <v>650</v>
      </c>
      <c r="G994" s="8" t="s">
        <v>291</v>
      </c>
      <c r="H994" s="9">
        <v>1</v>
      </c>
      <c r="I994" s="10">
        <f>H994*8/$E$991</f>
        <v>0.08</v>
      </c>
      <c r="J994" s="12">
        <v>34.729999999999997</v>
      </c>
      <c r="K994" s="12">
        <f>I994*J994</f>
        <v>2.7784</v>
      </c>
    </row>
    <row r="995" spans="2:11">
      <c r="C995" t="s">
        <v>290</v>
      </c>
      <c r="G995" s="8" t="s">
        <v>291</v>
      </c>
      <c r="H995" s="9">
        <v>0.2</v>
      </c>
      <c r="I995" s="10">
        <f>H995*8/$E$991</f>
        <v>1.6E-2</v>
      </c>
      <c r="J995" s="12">
        <v>28.94</v>
      </c>
      <c r="K995" s="12">
        <f>I995*J995</f>
        <v>0.46304000000000001</v>
      </c>
    </row>
    <row r="996" spans="2:11">
      <c r="G996" s="8"/>
      <c r="H996" s="9"/>
      <c r="I996" s="10"/>
      <c r="J996" s="12"/>
      <c r="K996" s="6">
        <f>SUM(K994:K995)</f>
        <v>3.2414399999999999</v>
      </c>
    </row>
    <row r="997" spans="2:11">
      <c r="C997" s="7" t="s">
        <v>294</v>
      </c>
      <c r="G997" s="8"/>
    </row>
    <row r="998" spans="2:11">
      <c r="C998" t="s">
        <v>729</v>
      </c>
      <c r="G998" s="8" t="s">
        <v>133</v>
      </c>
      <c r="I998" s="10">
        <v>0.05</v>
      </c>
      <c r="J998" s="12">
        <v>18</v>
      </c>
      <c r="K998" s="12">
        <f>I998*J998</f>
        <v>0.9</v>
      </c>
    </row>
    <row r="999" spans="2:11">
      <c r="C999" t="s">
        <v>730</v>
      </c>
      <c r="G999" s="8" t="s">
        <v>439</v>
      </c>
      <c r="I999" s="10">
        <v>0.1</v>
      </c>
      <c r="J999" s="12">
        <v>150</v>
      </c>
      <c r="K999" s="12">
        <f>I999*J999</f>
        <v>15</v>
      </c>
    </row>
    <row r="1000" spans="2:11">
      <c r="K1000" s="6">
        <f>SUM(K998:K999)</f>
        <v>15.9</v>
      </c>
    </row>
    <row r="1001" spans="2:11">
      <c r="C1001" s="7" t="s">
        <v>317</v>
      </c>
    </row>
    <row r="1002" spans="2:11">
      <c r="C1002" t="s">
        <v>310</v>
      </c>
      <c r="G1002" s="8" t="s">
        <v>311</v>
      </c>
      <c r="I1002" s="10">
        <v>3</v>
      </c>
      <c r="J1002" s="12">
        <f>K996</f>
        <v>3.2414399999999999</v>
      </c>
      <c r="K1002" s="12">
        <f>I1002%*J1002</f>
        <v>9.7243199999999988E-2</v>
      </c>
    </row>
    <row r="1003" spans="2:11">
      <c r="B1003" s="14"/>
      <c r="C1003" s="14"/>
      <c r="D1003" s="14"/>
      <c r="E1003" s="14"/>
      <c r="F1003" s="14"/>
      <c r="G1003" s="14"/>
      <c r="H1003" s="14"/>
      <c r="I1003" s="14"/>
      <c r="J1003" s="14"/>
      <c r="K1003" s="16">
        <f>SUM(K1002)</f>
        <v>9.7243199999999988E-2</v>
      </c>
    </row>
    <row r="1005" spans="2:11">
      <c r="B1005" s="2" t="s">
        <v>277</v>
      </c>
      <c r="C1005" s="2" t="str">
        <f>ESTRUCTURA!A80</f>
        <v>02.04.01.08</v>
      </c>
      <c r="D1005" s="2" t="s">
        <v>607</v>
      </c>
      <c r="E1005" s="2"/>
    </row>
    <row r="1006" spans="2:11">
      <c r="B1006" s="2" t="s">
        <v>278</v>
      </c>
      <c r="C1006" s="2" t="s">
        <v>313</v>
      </c>
      <c r="D1006" s="4" t="s">
        <v>280</v>
      </c>
      <c r="E1006" s="5">
        <v>1</v>
      </c>
      <c r="F1006" s="4" t="s">
        <v>281</v>
      </c>
      <c r="G1006" s="5">
        <f>E1006</f>
        <v>1</v>
      </c>
      <c r="H1006" s="2" t="s">
        <v>282</v>
      </c>
      <c r="J1006" s="4" t="s">
        <v>144</v>
      </c>
      <c r="K1006" s="6">
        <f>K1010</f>
        <v>616.64</v>
      </c>
    </row>
    <row r="1007" spans="2:11">
      <c r="B1007" s="2" t="s">
        <v>283</v>
      </c>
      <c r="C1007" s="2" t="s">
        <v>284</v>
      </c>
      <c r="G1007" s="4" t="s">
        <v>122</v>
      </c>
      <c r="H1007" s="4" t="s">
        <v>285</v>
      </c>
      <c r="I1007" s="4" t="s">
        <v>286</v>
      </c>
      <c r="J1007" s="4" t="s">
        <v>287</v>
      </c>
      <c r="K1007" s="4" t="s">
        <v>288</v>
      </c>
    </row>
    <row r="1008" spans="2:11">
      <c r="C1008" s="7" t="s">
        <v>289</v>
      </c>
    </row>
    <row r="1009" spans="2:11">
      <c r="C1009" t="s">
        <v>607</v>
      </c>
      <c r="I1009" s="10">
        <v>1</v>
      </c>
      <c r="J1009" s="12">
        <v>616.64</v>
      </c>
      <c r="K1009" s="12">
        <f>I1009*J1009</f>
        <v>616.64</v>
      </c>
    </row>
    <row r="1010" spans="2:11">
      <c r="B1010" s="14"/>
      <c r="C1010" s="14"/>
      <c r="D1010" s="14"/>
      <c r="E1010" s="14"/>
      <c r="F1010" s="14"/>
      <c r="G1010" s="44"/>
      <c r="H1010" s="14"/>
      <c r="I1010" s="46"/>
      <c r="J1010" s="106"/>
      <c r="K1010" s="16">
        <f>SUM(K1009)</f>
        <v>616.64</v>
      </c>
    </row>
    <row r="1012" spans="2:11">
      <c r="B1012" s="2" t="s">
        <v>277</v>
      </c>
      <c r="C1012" s="2" t="str">
        <f>ESTRUCTURA!A82</f>
        <v>02.04.02.01</v>
      </c>
      <c r="D1012" s="2" t="s">
        <v>610</v>
      </c>
      <c r="E1012" s="2"/>
      <c r="F1012" s="2"/>
      <c r="G1012" s="2"/>
      <c r="H1012" s="2"/>
      <c r="I1012" s="2"/>
      <c r="J1012" s="2"/>
    </row>
    <row r="1013" spans="2:11">
      <c r="B1013" s="2" t="s">
        <v>278</v>
      </c>
      <c r="C1013" s="2" t="s">
        <v>416</v>
      </c>
      <c r="D1013" s="4" t="s">
        <v>280</v>
      </c>
      <c r="E1013" s="5">
        <v>30</v>
      </c>
      <c r="F1013" s="4" t="s">
        <v>281</v>
      </c>
      <c r="G1013" s="5">
        <f>E1013</f>
        <v>30</v>
      </c>
      <c r="H1013" s="2" t="s">
        <v>282</v>
      </c>
      <c r="J1013" s="4" t="s">
        <v>203</v>
      </c>
      <c r="K1013" s="6">
        <f>K1020+K1025+K1029</f>
        <v>445.66922400000004</v>
      </c>
    </row>
    <row r="1014" spans="2:11">
      <c r="B1014" s="2" t="s">
        <v>283</v>
      </c>
      <c r="C1014" s="2" t="s">
        <v>284</v>
      </c>
      <c r="G1014" s="4" t="s">
        <v>122</v>
      </c>
      <c r="H1014" s="4" t="s">
        <v>285</v>
      </c>
      <c r="I1014" s="4" t="s">
        <v>286</v>
      </c>
      <c r="J1014" s="4" t="s">
        <v>287</v>
      </c>
      <c r="K1014" s="4" t="s">
        <v>288</v>
      </c>
    </row>
    <row r="1015" spans="2:11">
      <c r="C1015" s="7" t="s">
        <v>289</v>
      </c>
    </row>
    <row r="1016" spans="2:11">
      <c r="C1016" t="s">
        <v>650</v>
      </c>
      <c r="G1016" s="8" t="s">
        <v>291</v>
      </c>
      <c r="H1016" s="9">
        <v>0.1</v>
      </c>
      <c r="I1016" s="10">
        <f>H1016*8/$E$899</f>
        <v>2.6666666666666668E-2</v>
      </c>
      <c r="J1016" s="12">
        <v>34.729999999999997</v>
      </c>
      <c r="K1016" s="12">
        <f>I1016*J1016</f>
        <v>0.92613333333333336</v>
      </c>
    </row>
    <row r="1017" spans="2:11">
      <c r="C1017" t="s">
        <v>290</v>
      </c>
      <c r="G1017" s="8" t="s">
        <v>291</v>
      </c>
      <c r="H1017" s="9">
        <v>2</v>
      </c>
      <c r="I1017" s="10">
        <f>H1017*8/$E$899</f>
        <v>0.53333333333333333</v>
      </c>
      <c r="J1017" s="12">
        <v>28.94</v>
      </c>
      <c r="K1017" s="12">
        <f>I1017*J1017</f>
        <v>15.434666666666667</v>
      </c>
    </row>
    <row r="1018" spans="2:11">
      <c r="C1018" t="s">
        <v>292</v>
      </c>
      <c r="G1018" s="8" t="s">
        <v>291</v>
      </c>
      <c r="H1018" s="9">
        <v>1</v>
      </c>
      <c r="I1018" s="10">
        <f>H1018*8/$E$899</f>
        <v>0.26666666666666666</v>
      </c>
      <c r="J1018" s="12">
        <v>22.66</v>
      </c>
      <c r="K1018" s="12">
        <f>I1018*J1018</f>
        <v>6.0426666666666664</v>
      </c>
    </row>
    <row r="1019" spans="2:11">
      <c r="C1019" t="s">
        <v>293</v>
      </c>
      <c r="G1019" s="8" t="s">
        <v>291</v>
      </c>
      <c r="H1019" s="9">
        <v>4</v>
      </c>
      <c r="I1019" s="10">
        <f>H1019*8/$E$899</f>
        <v>1.0666666666666667</v>
      </c>
      <c r="J1019" s="12">
        <v>20.51</v>
      </c>
      <c r="K1019" s="12">
        <f>I1019*J1019</f>
        <v>21.877333333333336</v>
      </c>
    </row>
    <row r="1020" spans="2:11">
      <c r="K1020" s="6">
        <f>SUM(K1016:K1019)</f>
        <v>44.280799999999999</v>
      </c>
    </row>
    <row r="1021" spans="2:11">
      <c r="C1021" s="7" t="s">
        <v>294</v>
      </c>
    </row>
    <row r="1022" spans="2:11">
      <c r="C1022" t="s">
        <v>721</v>
      </c>
      <c r="F1022" t="s">
        <v>296</v>
      </c>
      <c r="I1022" s="10">
        <v>0.1</v>
      </c>
      <c r="J1022" s="12">
        <v>24.52</v>
      </c>
      <c r="K1022" s="12">
        <f>I1022*J1022</f>
        <v>2.452</v>
      </c>
    </row>
    <row r="1023" spans="2:11">
      <c r="C1023" t="s">
        <v>722</v>
      </c>
      <c r="F1023" t="s">
        <v>296</v>
      </c>
      <c r="I1023" s="10">
        <v>1.02</v>
      </c>
      <c r="J1023" s="12">
        <v>358</v>
      </c>
      <c r="K1023" s="12">
        <f>I1023*J1023</f>
        <v>365.16</v>
      </c>
    </row>
    <row r="1024" spans="2:11">
      <c r="C1024" t="s">
        <v>723</v>
      </c>
      <c r="F1024" t="s">
        <v>305</v>
      </c>
      <c r="I1024" s="10">
        <v>1.02</v>
      </c>
      <c r="J1024" s="12">
        <v>30</v>
      </c>
      <c r="K1024" s="12">
        <f>I1024*J1024</f>
        <v>30.6</v>
      </c>
    </row>
    <row r="1025" spans="2:11">
      <c r="K1025" s="6">
        <f>SUM(K1022:K1024)</f>
        <v>398.21200000000005</v>
      </c>
    </row>
    <row r="1026" spans="2:11">
      <c r="C1026" s="7" t="s">
        <v>317</v>
      </c>
    </row>
    <row r="1027" spans="2:11">
      <c r="C1027" t="s">
        <v>310</v>
      </c>
      <c r="G1027" s="8" t="s">
        <v>311</v>
      </c>
      <c r="I1027" s="10">
        <v>3</v>
      </c>
      <c r="J1027" s="12">
        <f>K1020</f>
        <v>44.280799999999999</v>
      </c>
      <c r="K1027" s="12">
        <f>I1027%*J1027</f>
        <v>1.3284239999999998</v>
      </c>
    </row>
    <row r="1028" spans="2:11">
      <c r="C1028" t="s">
        <v>724</v>
      </c>
      <c r="G1028" s="8" t="s">
        <v>337</v>
      </c>
      <c r="H1028" s="9">
        <v>1</v>
      </c>
      <c r="I1028" s="10">
        <f>H1028*8/$E$899</f>
        <v>0.26666666666666666</v>
      </c>
      <c r="J1028" s="12">
        <v>6.93</v>
      </c>
      <c r="K1028" s="12">
        <f>I1028*J1028</f>
        <v>1.8479999999999999</v>
      </c>
    </row>
    <row r="1029" spans="2:11">
      <c r="B1029" s="14"/>
      <c r="C1029" s="14"/>
      <c r="D1029" s="14"/>
      <c r="E1029" s="14"/>
      <c r="F1029" s="14"/>
      <c r="G1029" s="14"/>
      <c r="H1029" s="14"/>
      <c r="I1029" s="14"/>
      <c r="J1029" s="14"/>
      <c r="K1029" s="16">
        <f>SUM(K1027:K1028)</f>
        <v>3.1764239999999999</v>
      </c>
    </row>
    <row r="1030" spans="2:11">
      <c r="K1030" s="6"/>
    </row>
    <row r="1031" spans="2:11">
      <c r="B1031" s="2" t="s">
        <v>277</v>
      </c>
      <c r="C1031" s="2" t="str">
        <f>ESTRUCTURA!A83</f>
        <v>02.04.02.02</v>
      </c>
      <c r="D1031" s="2" t="s">
        <v>595</v>
      </c>
      <c r="E1031" s="2"/>
      <c r="F1031" s="2"/>
      <c r="G1031" s="2"/>
      <c r="H1031" s="2"/>
      <c r="I1031" s="2"/>
      <c r="J1031" s="2"/>
    </row>
    <row r="1032" spans="2:11">
      <c r="B1032" s="2" t="s">
        <v>278</v>
      </c>
      <c r="C1032" s="2" t="s">
        <v>416</v>
      </c>
      <c r="D1032" s="4" t="s">
        <v>280</v>
      </c>
      <c r="E1032" s="5">
        <v>30</v>
      </c>
      <c r="F1032" s="4" t="s">
        <v>281</v>
      </c>
      <c r="G1032" s="5">
        <f>E1032</f>
        <v>30</v>
      </c>
      <c r="H1032" s="2" t="s">
        <v>282</v>
      </c>
      <c r="J1032" s="4" t="s">
        <v>203</v>
      </c>
      <c r="K1032" s="6">
        <f>K1039+K1044+K1048</f>
        <v>445.66922400000004</v>
      </c>
    </row>
    <row r="1033" spans="2:11">
      <c r="B1033" s="2" t="s">
        <v>283</v>
      </c>
      <c r="C1033" s="2" t="s">
        <v>284</v>
      </c>
      <c r="G1033" s="4" t="s">
        <v>122</v>
      </c>
      <c r="H1033" s="4" t="s">
        <v>285</v>
      </c>
      <c r="I1033" s="4" t="s">
        <v>286</v>
      </c>
      <c r="J1033" s="4" t="s">
        <v>287</v>
      </c>
      <c r="K1033" s="4" t="s">
        <v>288</v>
      </c>
    </row>
    <row r="1034" spans="2:11">
      <c r="C1034" s="7" t="s">
        <v>289</v>
      </c>
    </row>
    <row r="1035" spans="2:11">
      <c r="C1035" t="s">
        <v>650</v>
      </c>
      <c r="G1035" s="8" t="s">
        <v>291</v>
      </c>
      <c r="H1035" s="9">
        <v>0.1</v>
      </c>
      <c r="I1035" s="10">
        <f>H1035*8/$E$1032</f>
        <v>2.6666666666666668E-2</v>
      </c>
      <c r="J1035" s="12">
        <v>34.729999999999997</v>
      </c>
      <c r="K1035" s="12">
        <f>I1035*J1035</f>
        <v>0.92613333333333336</v>
      </c>
    </row>
    <row r="1036" spans="2:11">
      <c r="C1036" t="s">
        <v>290</v>
      </c>
      <c r="G1036" s="8" t="s">
        <v>291</v>
      </c>
      <c r="H1036" s="9">
        <v>2</v>
      </c>
      <c r="I1036" s="10">
        <f t="shared" ref="I1036:I1038" si="7">H1036*8/$E$1032</f>
        <v>0.53333333333333333</v>
      </c>
      <c r="J1036" s="12">
        <v>28.94</v>
      </c>
      <c r="K1036" s="12">
        <f>I1036*J1036</f>
        <v>15.434666666666667</v>
      </c>
    </row>
    <row r="1037" spans="2:11">
      <c r="C1037" t="s">
        <v>292</v>
      </c>
      <c r="G1037" s="8" t="s">
        <v>291</v>
      </c>
      <c r="H1037" s="9">
        <v>1</v>
      </c>
      <c r="I1037" s="10">
        <f t="shared" si="7"/>
        <v>0.26666666666666666</v>
      </c>
      <c r="J1037" s="12">
        <v>22.66</v>
      </c>
      <c r="K1037" s="12">
        <f>I1037*J1037</f>
        <v>6.0426666666666664</v>
      </c>
    </row>
    <row r="1038" spans="2:11">
      <c r="C1038" t="s">
        <v>293</v>
      </c>
      <c r="G1038" s="8" t="s">
        <v>291</v>
      </c>
      <c r="H1038" s="9">
        <v>4</v>
      </c>
      <c r="I1038" s="10">
        <f t="shared" si="7"/>
        <v>1.0666666666666667</v>
      </c>
      <c r="J1038" s="12">
        <v>20.51</v>
      </c>
      <c r="K1038" s="12">
        <f>I1038*J1038</f>
        <v>21.877333333333336</v>
      </c>
    </row>
    <row r="1039" spans="2:11">
      <c r="K1039" s="6">
        <f>SUM(K1035:K1038)</f>
        <v>44.280799999999999</v>
      </c>
    </row>
    <row r="1040" spans="2:11">
      <c r="C1040" s="7" t="s">
        <v>294</v>
      </c>
    </row>
    <row r="1041" spans="2:11">
      <c r="C1041" t="s">
        <v>721</v>
      </c>
      <c r="F1041" t="s">
        <v>296</v>
      </c>
      <c r="I1041" s="10">
        <v>0.1</v>
      </c>
      <c r="J1041" s="12">
        <v>24.52</v>
      </c>
      <c r="K1041" s="12">
        <f>I1041*J1041</f>
        <v>2.452</v>
      </c>
    </row>
    <row r="1042" spans="2:11">
      <c r="C1042" t="s">
        <v>722</v>
      </c>
      <c r="F1042" t="s">
        <v>296</v>
      </c>
      <c r="I1042" s="10">
        <v>1.02</v>
      </c>
      <c r="J1042">
        <v>358</v>
      </c>
      <c r="K1042" s="12">
        <f>I1042*J1042</f>
        <v>365.16</v>
      </c>
    </row>
    <row r="1043" spans="2:11">
      <c r="C1043" t="s">
        <v>723</v>
      </c>
      <c r="F1043" t="s">
        <v>305</v>
      </c>
      <c r="I1043" s="10">
        <v>1.02</v>
      </c>
      <c r="J1043" s="12">
        <v>30</v>
      </c>
      <c r="K1043" s="12">
        <f>I1043*J1043</f>
        <v>30.6</v>
      </c>
    </row>
    <row r="1044" spans="2:11">
      <c r="K1044" s="6">
        <f>SUM(K1041:K1043)</f>
        <v>398.21200000000005</v>
      </c>
    </row>
    <row r="1045" spans="2:11">
      <c r="C1045" s="7" t="s">
        <v>317</v>
      </c>
    </row>
    <row r="1046" spans="2:11">
      <c r="C1046" t="s">
        <v>310</v>
      </c>
      <c r="G1046" s="8" t="s">
        <v>311</v>
      </c>
      <c r="I1046" s="10">
        <v>3</v>
      </c>
      <c r="J1046" s="12">
        <f>K1039</f>
        <v>44.280799999999999</v>
      </c>
      <c r="K1046" s="12">
        <f>I1046%*J1046</f>
        <v>1.3284239999999998</v>
      </c>
    </row>
    <row r="1047" spans="2:11">
      <c r="C1047" t="s">
        <v>724</v>
      </c>
      <c r="G1047" s="8" t="s">
        <v>337</v>
      </c>
      <c r="H1047" s="9">
        <v>1</v>
      </c>
      <c r="I1047" s="10">
        <f t="shared" ref="I1047" si="8">H1047*8/$E$1032</f>
        <v>0.26666666666666666</v>
      </c>
      <c r="J1047" s="12">
        <v>6.93</v>
      </c>
      <c r="K1047" s="12">
        <f>I1047*J1047</f>
        <v>1.8479999999999999</v>
      </c>
    </row>
    <row r="1048" spans="2:11">
      <c r="B1048" s="14"/>
      <c r="C1048" s="14"/>
      <c r="D1048" s="14"/>
      <c r="E1048" s="14"/>
      <c r="F1048" s="14"/>
      <c r="G1048" s="14"/>
      <c r="H1048" s="14"/>
      <c r="I1048" s="14"/>
      <c r="J1048" s="14"/>
      <c r="K1048" s="16">
        <f>SUM(K1046:K1047)</f>
        <v>3.1764239999999999</v>
      </c>
    </row>
    <row r="1049" spans="2:11">
      <c r="K1049" s="6"/>
    </row>
    <row r="1050" spans="2:11">
      <c r="B1050" s="2" t="s">
        <v>277</v>
      </c>
      <c r="C1050" s="2" t="str">
        <f>ESTRUCTURA!A84</f>
        <v>02.04.02.03</v>
      </c>
      <c r="D1050" s="2" t="s">
        <v>597</v>
      </c>
      <c r="E1050" s="2"/>
      <c r="F1050" s="2"/>
      <c r="G1050" s="2"/>
      <c r="H1050" s="2"/>
      <c r="I1050" s="2"/>
      <c r="J1050" s="2"/>
    </row>
    <row r="1051" spans="2:11">
      <c r="B1051" s="2" t="s">
        <v>278</v>
      </c>
      <c r="C1051" s="2" t="s">
        <v>279</v>
      </c>
      <c r="D1051" s="4" t="s">
        <v>280</v>
      </c>
      <c r="E1051" s="5">
        <v>25</v>
      </c>
      <c r="F1051" s="4" t="s">
        <v>281</v>
      </c>
      <c r="G1051" s="5">
        <f>E1051</f>
        <v>25</v>
      </c>
      <c r="H1051" s="2" t="s">
        <v>282</v>
      </c>
      <c r="J1051" s="4" t="s">
        <v>133</v>
      </c>
      <c r="K1051" s="6">
        <f>K1058+K1063+K1067</f>
        <v>118.01356480000003</v>
      </c>
    </row>
    <row r="1052" spans="2:11">
      <c r="B1052" s="2" t="s">
        <v>283</v>
      </c>
      <c r="C1052" s="2" t="s">
        <v>284</v>
      </c>
      <c r="G1052" s="4" t="s">
        <v>122</v>
      </c>
      <c r="H1052" s="4" t="s">
        <v>285</v>
      </c>
      <c r="I1052" s="4" t="s">
        <v>286</v>
      </c>
      <c r="J1052" s="4" t="s">
        <v>287</v>
      </c>
      <c r="K1052" s="4" t="s">
        <v>288</v>
      </c>
    </row>
    <row r="1053" spans="2:11">
      <c r="C1053" s="7" t="s">
        <v>289</v>
      </c>
    </row>
    <row r="1054" spans="2:11">
      <c r="C1054" t="s">
        <v>650</v>
      </c>
      <c r="G1054" s="8" t="s">
        <v>291</v>
      </c>
      <c r="H1054" s="9">
        <v>0.1</v>
      </c>
      <c r="I1054" s="10">
        <f>H1054*8/$E$1051</f>
        <v>3.2000000000000001E-2</v>
      </c>
      <c r="J1054" s="12">
        <v>34.729999999999997</v>
      </c>
      <c r="K1054" s="12">
        <f>I1054*J1054</f>
        <v>1.1113599999999999</v>
      </c>
    </row>
    <row r="1055" spans="2:11">
      <c r="C1055" t="s">
        <v>290</v>
      </c>
      <c r="G1055" s="8" t="s">
        <v>291</v>
      </c>
      <c r="H1055" s="9">
        <v>1</v>
      </c>
      <c r="I1055" s="10">
        <f t="shared" ref="I1055:I1057" si="9">H1055*8/$E$1051</f>
        <v>0.32</v>
      </c>
      <c r="J1055" s="12">
        <v>28.94</v>
      </c>
      <c r="K1055" s="12">
        <f>I1055*J1055</f>
        <v>9.2608000000000015</v>
      </c>
    </row>
    <row r="1056" spans="2:11">
      <c r="C1056" t="s">
        <v>292</v>
      </c>
      <c r="G1056" s="8" t="s">
        <v>291</v>
      </c>
      <c r="H1056" s="9">
        <v>2</v>
      </c>
      <c r="I1056" s="10">
        <f t="shared" si="9"/>
        <v>0.64</v>
      </c>
      <c r="J1056" s="12">
        <v>22.66</v>
      </c>
      <c r="K1056" s="12">
        <f>I1056*J1056</f>
        <v>14.5024</v>
      </c>
    </row>
    <row r="1057" spans="2:11">
      <c r="C1057" t="s">
        <v>293</v>
      </c>
      <c r="G1057" s="8" t="s">
        <v>291</v>
      </c>
      <c r="H1057" s="9">
        <v>8</v>
      </c>
      <c r="I1057" s="10">
        <f t="shared" si="9"/>
        <v>2.56</v>
      </c>
      <c r="J1057" s="12">
        <v>20.51</v>
      </c>
      <c r="K1057" s="12">
        <f>I1057*J1057</f>
        <v>52.505600000000008</v>
      </c>
    </row>
    <row r="1058" spans="2:11">
      <c r="K1058" s="6">
        <f>SUM(K1054:K1057)</f>
        <v>77.380160000000018</v>
      </c>
    </row>
    <row r="1059" spans="2:11">
      <c r="C1059" s="7" t="s">
        <v>294</v>
      </c>
    </row>
    <row r="1060" spans="2:11">
      <c r="C1060" t="s">
        <v>725</v>
      </c>
      <c r="F1060" t="s">
        <v>296</v>
      </c>
      <c r="I1060" s="10">
        <v>0.1</v>
      </c>
      <c r="J1060" s="12">
        <v>4.6399999999999997</v>
      </c>
      <c r="K1060" s="12">
        <f>I1060*J1060</f>
        <v>0.46399999999999997</v>
      </c>
    </row>
    <row r="1061" spans="2:11">
      <c r="C1061" t="s">
        <v>726</v>
      </c>
      <c r="F1061" t="s">
        <v>296</v>
      </c>
      <c r="I1061" s="10">
        <v>0.15</v>
      </c>
      <c r="J1061">
        <v>4.16</v>
      </c>
      <c r="K1061" s="12">
        <f>I1061*J1061</f>
        <v>0.624</v>
      </c>
    </row>
    <row r="1062" spans="2:11">
      <c r="C1062" t="s">
        <v>308</v>
      </c>
      <c r="F1062" t="s">
        <v>305</v>
      </c>
      <c r="I1062" s="10">
        <v>4.03</v>
      </c>
      <c r="J1062" s="12">
        <v>8.8000000000000007</v>
      </c>
      <c r="K1062" s="12">
        <f>I1062*J1062</f>
        <v>35.464000000000006</v>
      </c>
    </row>
    <row r="1063" spans="2:11">
      <c r="K1063" s="6">
        <f>SUM(K1060:K1062)</f>
        <v>36.552000000000007</v>
      </c>
    </row>
    <row r="1064" spans="2:11">
      <c r="C1064" s="7" t="s">
        <v>317</v>
      </c>
    </row>
    <row r="1065" spans="2:11">
      <c r="C1065" t="s">
        <v>310</v>
      </c>
      <c r="G1065" s="8" t="s">
        <v>311</v>
      </c>
      <c r="I1065" s="10">
        <v>3</v>
      </c>
      <c r="J1065" s="12">
        <f>K1058</f>
        <v>77.380160000000018</v>
      </c>
      <c r="K1065" s="12">
        <f>I1065%*J1065</f>
        <v>2.3214048000000003</v>
      </c>
    </row>
    <row r="1066" spans="2:11">
      <c r="C1066" t="s">
        <v>727</v>
      </c>
      <c r="G1066" s="8" t="s">
        <v>337</v>
      </c>
      <c r="H1066" s="9">
        <v>1</v>
      </c>
      <c r="I1066" s="10">
        <f t="shared" ref="I1066" si="10">H1066*8/$E$1051</f>
        <v>0.32</v>
      </c>
      <c r="J1066" s="12">
        <v>5.5</v>
      </c>
      <c r="K1066" s="12">
        <f>I1066*J1066</f>
        <v>1.76</v>
      </c>
    </row>
    <row r="1067" spans="2:11">
      <c r="B1067" s="14"/>
      <c r="C1067" s="14"/>
      <c r="D1067" s="14"/>
      <c r="E1067" s="14"/>
      <c r="F1067" s="14"/>
      <c r="G1067" s="14"/>
      <c r="H1067" s="14"/>
      <c r="I1067" s="14"/>
      <c r="J1067" s="14"/>
      <c r="K1067" s="16">
        <f>SUM(K1065:K1066)</f>
        <v>4.0814048000000005</v>
      </c>
    </row>
    <row r="1068" spans="2:11">
      <c r="K1068" s="6"/>
    </row>
    <row r="1069" spans="2:11">
      <c r="B1069" s="2" t="s">
        <v>277</v>
      </c>
      <c r="C1069" s="2" t="str">
        <f>ESTRUCTURA!A85</f>
        <v>02.04.02.04</v>
      </c>
      <c r="D1069" s="2" t="s">
        <v>599</v>
      </c>
      <c r="E1069" s="2"/>
    </row>
    <row r="1070" spans="2:11">
      <c r="B1070" s="2" t="s">
        <v>278</v>
      </c>
      <c r="C1070" s="2" t="s">
        <v>416</v>
      </c>
      <c r="D1070" s="4" t="s">
        <v>280</v>
      </c>
      <c r="E1070" s="5">
        <v>1</v>
      </c>
      <c r="F1070" s="4" t="s">
        <v>281</v>
      </c>
      <c r="G1070" s="5">
        <f>E1070</f>
        <v>1</v>
      </c>
      <c r="H1070" s="2" t="s">
        <v>282</v>
      </c>
      <c r="J1070" s="4" t="s">
        <v>203</v>
      </c>
      <c r="K1070" s="6">
        <f>K1074</f>
        <v>358</v>
      </c>
    </row>
    <row r="1071" spans="2:11">
      <c r="B1071" s="2" t="s">
        <v>283</v>
      </c>
      <c r="C1071" s="2" t="s">
        <v>284</v>
      </c>
      <c r="G1071" s="4" t="s">
        <v>122</v>
      </c>
      <c r="H1071" s="4" t="s">
        <v>285</v>
      </c>
      <c r="I1071" s="4" t="s">
        <v>286</v>
      </c>
      <c r="J1071" s="4" t="s">
        <v>287</v>
      </c>
      <c r="K1071" s="4" t="s">
        <v>288</v>
      </c>
    </row>
    <row r="1072" spans="2:11">
      <c r="C1072" s="7" t="s">
        <v>289</v>
      </c>
    </row>
    <row r="1073" spans="2:11">
      <c r="C1073" t="s">
        <v>599</v>
      </c>
      <c r="I1073" s="10">
        <v>1</v>
      </c>
      <c r="J1073" s="12">
        <v>358</v>
      </c>
      <c r="K1073" s="12">
        <f>I1073*J1073</f>
        <v>358</v>
      </c>
    </row>
    <row r="1074" spans="2:11">
      <c r="B1074" s="14"/>
      <c r="C1074" s="14"/>
      <c r="D1074" s="14"/>
      <c r="E1074" s="14"/>
      <c r="F1074" s="14"/>
      <c r="G1074" s="44"/>
      <c r="H1074" s="14"/>
      <c r="I1074" s="46"/>
      <c r="J1074" s="106"/>
      <c r="K1074" s="16">
        <f>SUM(K1073)</f>
        <v>358</v>
      </c>
    </row>
    <row r="1076" spans="2:11">
      <c r="B1076" s="2" t="s">
        <v>277</v>
      </c>
      <c r="C1076" s="2" t="str">
        <f>ESTRUCTURA!A86</f>
        <v>02.04.02.05</v>
      </c>
      <c r="D1076" s="2" t="s">
        <v>731</v>
      </c>
      <c r="E1076" s="2"/>
      <c r="F1076" s="2"/>
      <c r="G1076" s="2"/>
      <c r="H1076" s="2"/>
      <c r="I1076" s="2"/>
      <c r="J1076" s="2"/>
    </row>
    <row r="1077" spans="2:11">
      <c r="B1077" s="2" t="s">
        <v>278</v>
      </c>
      <c r="C1077" s="2" t="s">
        <v>279</v>
      </c>
      <c r="D1077" s="4" t="s">
        <v>280</v>
      </c>
      <c r="E1077" s="5">
        <v>250</v>
      </c>
      <c r="F1077" s="4" t="s">
        <v>281</v>
      </c>
      <c r="G1077" s="5">
        <f>E1077</f>
        <v>250</v>
      </c>
      <c r="H1077" s="2" t="s">
        <v>282</v>
      </c>
      <c r="J1077" s="4" t="s">
        <v>133</v>
      </c>
      <c r="K1077" s="6">
        <f>K1081+K1084+K1087</f>
        <v>2.9418735999999996</v>
      </c>
    </row>
    <row r="1078" spans="2:11">
      <c r="B1078" s="2" t="s">
        <v>283</v>
      </c>
      <c r="C1078" s="2" t="s">
        <v>284</v>
      </c>
      <c r="G1078" s="4" t="s">
        <v>122</v>
      </c>
      <c r="H1078" s="4" t="s">
        <v>285</v>
      </c>
      <c r="I1078" s="4" t="s">
        <v>286</v>
      </c>
      <c r="J1078" s="4" t="s">
        <v>287</v>
      </c>
      <c r="K1078" s="4" t="s">
        <v>288</v>
      </c>
    </row>
    <row r="1079" spans="2:11">
      <c r="C1079" s="7" t="s">
        <v>289</v>
      </c>
    </row>
    <row r="1080" spans="2:11">
      <c r="C1080" t="s">
        <v>292</v>
      </c>
      <c r="G1080" s="8" t="s">
        <v>291</v>
      </c>
      <c r="H1080" s="9">
        <v>1</v>
      </c>
      <c r="I1080" s="10">
        <f>H1080*8/$E$1077</f>
        <v>3.2000000000000001E-2</v>
      </c>
      <c r="J1080" s="12">
        <v>22.66</v>
      </c>
      <c r="K1080" s="12">
        <f>I1080*J1080</f>
        <v>0.72511999999999999</v>
      </c>
    </row>
    <row r="1081" spans="2:11">
      <c r="G1081" s="8"/>
      <c r="H1081" s="9"/>
      <c r="I1081" s="10"/>
      <c r="J1081" s="12"/>
      <c r="K1081" s="6">
        <f>SUM(K1080:K1080)</f>
        <v>0.72511999999999999</v>
      </c>
    </row>
    <row r="1082" spans="2:11">
      <c r="C1082" s="7" t="s">
        <v>294</v>
      </c>
    </row>
    <row r="1083" spans="2:11">
      <c r="C1083" t="s">
        <v>728</v>
      </c>
      <c r="G1083" s="8" t="s">
        <v>439</v>
      </c>
      <c r="I1083" s="10">
        <v>0.05</v>
      </c>
      <c r="J1083" s="12">
        <v>43.9</v>
      </c>
      <c r="K1083" s="12">
        <f>I1083*J1083</f>
        <v>2.1949999999999998</v>
      </c>
    </row>
    <row r="1084" spans="2:11">
      <c r="K1084" s="6">
        <f>SUM(K1083)</f>
        <v>2.1949999999999998</v>
      </c>
    </row>
    <row r="1085" spans="2:11">
      <c r="C1085" s="7" t="s">
        <v>317</v>
      </c>
    </row>
    <row r="1086" spans="2:11">
      <c r="C1086" t="s">
        <v>310</v>
      </c>
      <c r="G1086" s="8" t="s">
        <v>311</v>
      </c>
      <c r="I1086" s="10">
        <v>3</v>
      </c>
      <c r="J1086" s="12">
        <f>K1081</f>
        <v>0.72511999999999999</v>
      </c>
      <c r="K1086" s="12">
        <f>I1086%*J1086</f>
        <v>2.1753599999999998E-2</v>
      </c>
    </row>
    <row r="1087" spans="2:11">
      <c r="B1087" s="14"/>
      <c r="C1087" s="14"/>
      <c r="D1087" s="14"/>
      <c r="E1087" s="14"/>
      <c r="F1087" s="14"/>
      <c r="G1087" s="14"/>
      <c r="H1087" s="14"/>
      <c r="I1087" s="14"/>
      <c r="J1087" s="14"/>
      <c r="K1087" s="16">
        <f>SUM(K1086)</f>
        <v>2.1753599999999998E-2</v>
      </c>
    </row>
    <row r="1088" spans="2:11">
      <c r="I1088" s="10"/>
      <c r="J1088" s="12"/>
      <c r="K1088" s="12"/>
    </row>
    <row r="1089" spans="2:11">
      <c r="B1089" s="2" t="s">
        <v>277</v>
      </c>
      <c r="C1089" s="2" t="str">
        <f>ESTRUCTURA!A87</f>
        <v>02.04.02.06</v>
      </c>
      <c r="D1089" s="2" t="s">
        <v>603</v>
      </c>
      <c r="E1089" s="2"/>
      <c r="F1089" s="2"/>
      <c r="G1089" s="2"/>
      <c r="H1089" s="2"/>
      <c r="I1089" s="2"/>
      <c r="J1089" s="2"/>
    </row>
    <row r="1090" spans="2:11">
      <c r="B1090" s="2" t="s">
        <v>278</v>
      </c>
      <c r="C1090" s="2" t="s">
        <v>313</v>
      </c>
      <c r="D1090" s="4" t="s">
        <v>280</v>
      </c>
      <c r="E1090" s="5">
        <v>100</v>
      </c>
      <c r="F1090" s="4" t="s">
        <v>281</v>
      </c>
      <c r="G1090" s="5">
        <f>E1090</f>
        <v>100</v>
      </c>
      <c r="H1090" s="2" t="s">
        <v>282</v>
      </c>
      <c r="J1090" s="4" t="s">
        <v>144</v>
      </c>
      <c r="K1090" s="6">
        <f>K1095+K1099+K1102</f>
        <v>19.238683200000001</v>
      </c>
    </row>
    <row r="1091" spans="2:11">
      <c r="B1091" s="2" t="s">
        <v>283</v>
      </c>
      <c r="C1091" s="2" t="s">
        <v>284</v>
      </c>
      <c r="G1091" s="4" t="s">
        <v>122</v>
      </c>
      <c r="H1091" s="4" t="s">
        <v>285</v>
      </c>
      <c r="I1091" s="4" t="s">
        <v>286</v>
      </c>
      <c r="J1091" s="4" t="s">
        <v>287</v>
      </c>
      <c r="K1091" s="4" t="s">
        <v>288</v>
      </c>
    </row>
    <row r="1092" spans="2:11">
      <c r="C1092" s="7" t="s">
        <v>289</v>
      </c>
    </row>
    <row r="1093" spans="2:11">
      <c r="C1093" t="s">
        <v>650</v>
      </c>
      <c r="G1093" s="8" t="s">
        <v>291</v>
      </c>
      <c r="H1093" s="9">
        <v>1</v>
      </c>
      <c r="I1093" s="10">
        <f>H1093*8/$E$1090</f>
        <v>0.08</v>
      </c>
      <c r="J1093" s="12">
        <v>34.729999999999997</v>
      </c>
      <c r="K1093" s="12">
        <f>I1093*J1093</f>
        <v>2.7784</v>
      </c>
    </row>
    <row r="1094" spans="2:11">
      <c r="C1094" t="s">
        <v>290</v>
      </c>
      <c r="G1094" s="8" t="s">
        <v>291</v>
      </c>
      <c r="H1094" s="9">
        <v>0.2</v>
      </c>
      <c r="I1094" s="10">
        <f>H1094*8/$E$1090</f>
        <v>1.6E-2</v>
      </c>
      <c r="J1094" s="12">
        <v>28.94</v>
      </c>
      <c r="K1094" s="12">
        <f>I1094*J1094</f>
        <v>0.46304000000000001</v>
      </c>
    </row>
    <row r="1095" spans="2:11">
      <c r="G1095" s="8"/>
      <c r="H1095" s="9"/>
      <c r="I1095" s="10"/>
      <c r="J1095" s="12"/>
      <c r="K1095" s="6">
        <f>SUM(K1093:K1094)</f>
        <v>3.2414399999999999</v>
      </c>
    </row>
    <row r="1096" spans="2:11">
      <c r="C1096" s="7" t="s">
        <v>294</v>
      </c>
      <c r="G1096" s="8"/>
    </row>
    <row r="1097" spans="2:11">
      <c r="C1097" t="s">
        <v>729</v>
      </c>
      <c r="G1097" s="8" t="s">
        <v>133</v>
      </c>
      <c r="I1097" s="10">
        <v>0.05</v>
      </c>
      <c r="J1097" s="12">
        <v>18</v>
      </c>
      <c r="K1097" s="12">
        <f>I1097*J1097</f>
        <v>0.9</v>
      </c>
    </row>
    <row r="1098" spans="2:11">
      <c r="C1098" t="s">
        <v>730</v>
      </c>
      <c r="G1098" s="8" t="s">
        <v>439</v>
      </c>
      <c r="I1098" s="10">
        <v>0.1</v>
      </c>
      <c r="J1098" s="12">
        <v>150</v>
      </c>
      <c r="K1098" s="12">
        <f>I1098*J1098</f>
        <v>15</v>
      </c>
    </row>
    <row r="1099" spans="2:11">
      <c r="K1099" s="6">
        <f>SUM(K1097:K1098)</f>
        <v>15.9</v>
      </c>
    </row>
    <row r="1100" spans="2:11">
      <c r="C1100" s="7" t="s">
        <v>317</v>
      </c>
    </row>
    <row r="1101" spans="2:11">
      <c r="C1101" t="s">
        <v>310</v>
      </c>
      <c r="G1101" s="8" t="s">
        <v>311</v>
      </c>
      <c r="I1101" s="10">
        <v>3</v>
      </c>
      <c r="J1101" s="12">
        <f>K1095</f>
        <v>3.2414399999999999</v>
      </c>
      <c r="K1101" s="12">
        <f>I1101%*J1101</f>
        <v>9.7243199999999988E-2</v>
      </c>
    </row>
    <row r="1102" spans="2:11">
      <c r="B1102" s="14"/>
      <c r="C1102" s="14"/>
      <c r="D1102" s="14"/>
      <c r="E1102" s="14"/>
      <c r="F1102" s="14"/>
      <c r="G1102" s="14"/>
      <c r="H1102" s="14"/>
      <c r="I1102" s="14"/>
      <c r="J1102" s="14"/>
      <c r="K1102" s="16">
        <f>SUM(K1101)</f>
        <v>9.7243199999999988E-2</v>
      </c>
    </row>
    <row r="1103" spans="2:11">
      <c r="K1103" s="6"/>
    </row>
    <row r="1104" spans="2:11">
      <c r="B1104" s="2" t="s">
        <v>277</v>
      </c>
      <c r="C1104" s="2" t="str">
        <f>ESTRUCTURA!A88</f>
        <v>02.04.02.07</v>
      </c>
      <c r="D1104" s="2" t="s">
        <v>605</v>
      </c>
      <c r="E1104" s="2"/>
      <c r="F1104" s="2"/>
      <c r="G1104" s="2"/>
      <c r="H1104" s="2"/>
      <c r="I1104" s="2"/>
      <c r="J1104" s="2"/>
    </row>
    <row r="1105" spans="2:11">
      <c r="B1105" s="2" t="s">
        <v>278</v>
      </c>
      <c r="C1105" s="2" t="s">
        <v>313</v>
      </c>
      <c r="D1105" s="4" t="s">
        <v>280</v>
      </c>
      <c r="E1105" s="5">
        <v>100</v>
      </c>
      <c r="F1105" s="4" t="s">
        <v>281</v>
      </c>
      <c r="G1105" s="5">
        <f>E1105</f>
        <v>100</v>
      </c>
      <c r="H1105" s="2" t="s">
        <v>282</v>
      </c>
      <c r="J1105" s="4" t="s">
        <v>144</v>
      </c>
      <c r="K1105" s="6">
        <f>K1110+K1114+K1117</f>
        <v>19.238683200000001</v>
      </c>
    </row>
    <row r="1106" spans="2:11">
      <c r="B1106" s="2" t="s">
        <v>283</v>
      </c>
      <c r="C1106" s="2" t="s">
        <v>284</v>
      </c>
      <c r="G1106" s="4" t="s">
        <v>122</v>
      </c>
      <c r="H1106" s="4" t="s">
        <v>285</v>
      </c>
      <c r="I1106" s="4" t="s">
        <v>286</v>
      </c>
      <c r="J1106" s="4" t="s">
        <v>287</v>
      </c>
      <c r="K1106" s="4" t="s">
        <v>288</v>
      </c>
    </row>
    <row r="1107" spans="2:11">
      <c r="C1107" s="7" t="s">
        <v>289</v>
      </c>
    </row>
    <row r="1108" spans="2:11">
      <c r="C1108" t="s">
        <v>650</v>
      </c>
      <c r="G1108" s="8" t="s">
        <v>291</v>
      </c>
      <c r="H1108" s="9">
        <v>1</v>
      </c>
      <c r="I1108" s="10">
        <f>H1108*8/$E$1105</f>
        <v>0.08</v>
      </c>
      <c r="J1108" s="12">
        <v>34.729999999999997</v>
      </c>
      <c r="K1108" s="12">
        <f>I1108*J1108</f>
        <v>2.7784</v>
      </c>
    </row>
    <row r="1109" spans="2:11">
      <c r="C1109" t="s">
        <v>290</v>
      </c>
      <c r="G1109" s="8" t="s">
        <v>291</v>
      </c>
      <c r="H1109" s="9">
        <v>0.2</v>
      </c>
      <c r="I1109" s="10">
        <f>H1109*8/$E$1105</f>
        <v>1.6E-2</v>
      </c>
      <c r="J1109" s="12">
        <v>28.94</v>
      </c>
      <c r="K1109" s="12">
        <f>I1109*J1109</f>
        <v>0.46304000000000001</v>
      </c>
    </row>
    <row r="1110" spans="2:11">
      <c r="G1110" s="8"/>
      <c r="H1110" s="9"/>
      <c r="I1110" s="10"/>
      <c r="J1110" s="12"/>
      <c r="K1110" s="6">
        <f>SUM(K1108:K1109)</f>
        <v>3.2414399999999999</v>
      </c>
    </row>
    <row r="1111" spans="2:11">
      <c r="C1111" s="7" t="s">
        <v>294</v>
      </c>
      <c r="G1111" s="8"/>
    </row>
    <row r="1112" spans="2:11">
      <c r="C1112" t="s">
        <v>729</v>
      </c>
      <c r="G1112" s="8" t="s">
        <v>133</v>
      </c>
      <c r="I1112" s="10">
        <v>0.05</v>
      </c>
      <c r="J1112" s="12">
        <v>18</v>
      </c>
      <c r="K1112" s="12">
        <f>I1112*J1112</f>
        <v>0.9</v>
      </c>
    </row>
    <row r="1113" spans="2:11">
      <c r="C1113" t="s">
        <v>730</v>
      </c>
      <c r="G1113" s="8" t="s">
        <v>439</v>
      </c>
      <c r="I1113" s="10">
        <v>0.1</v>
      </c>
      <c r="J1113" s="12">
        <v>150</v>
      </c>
      <c r="K1113" s="12">
        <f>I1113*J1113</f>
        <v>15</v>
      </c>
    </row>
    <row r="1114" spans="2:11">
      <c r="K1114" s="6">
        <f>SUM(K1112:K1113)</f>
        <v>15.9</v>
      </c>
    </row>
    <row r="1115" spans="2:11">
      <c r="C1115" s="7" t="s">
        <v>317</v>
      </c>
    </row>
    <row r="1116" spans="2:11">
      <c r="C1116" t="s">
        <v>310</v>
      </c>
      <c r="G1116" s="8" t="s">
        <v>311</v>
      </c>
      <c r="I1116" s="10">
        <v>3</v>
      </c>
      <c r="J1116" s="12">
        <f>K1110</f>
        <v>3.2414399999999999</v>
      </c>
      <c r="K1116" s="12">
        <f>I1116%*J1116</f>
        <v>9.7243199999999988E-2</v>
      </c>
    </row>
    <row r="1117" spans="2:11">
      <c r="B1117" s="14"/>
      <c r="C1117" s="14"/>
      <c r="D1117" s="14"/>
      <c r="E1117" s="14"/>
      <c r="F1117" s="14"/>
      <c r="G1117" s="14"/>
      <c r="H1117" s="14"/>
      <c r="I1117" s="14"/>
      <c r="J1117" s="14"/>
      <c r="K1117" s="16">
        <f>SUM(K1116)</f>
        <v>9.7243199999999988E-2</v>
      </c>
    </row>
    <row r="1119" spans="2:11">
      <c r="B1119" s="2" t="s">
        <v>277</v>
      </c>
      <c r="C1119" s="2" t="str">
        <f>ESTRUCTURA!A89</f>
        <v>02.04.02.08</v>
      </c>
      <c r="D1119" s="2" t="s">
        <v>607</v>
      </c>
      <c r="E1119" s="2"/>
    </row>
    <row r="1120" spans="2:11">
      <c r="B1120" s="2" t="s">
        <v>278</v>
      </c>
      <c r="C1120" s="2" t="s">
        <v>313</v>
      </c>
      <c r="D1120" s="4" t="s">
        <v>280</v>
      </c>
      <c r="E1120" s="5">
        <v>1</v>
      </c>
      <c r="F1120" s="4" t="s">
        <v>281</v>
      </c>
      <c r="G1120" s="5">
        <f>E1120</f>
        <v>1</v>
      </c>
      <c r="H1120" s="2" t="s">
        <v>282</v>
      </c>
      <c r="J1120" s="4" t="s">
        <v>144</v>
      </c>
      <c r="K1120" s="6">
        <f>K1124</f>
        <v>616.64</v>
      </c>
    </row>
    <row r="1121" spans="2:11">
      <c r="B1121" s="2" t="s">
        <v>283</v>
      </c>
      <c r="C1121" s="2" t="s">
        <v>284</v>
      </c>
      <c r="G1121" s="4" t="s">
        <v>122</v>
      </c>
      <c r="H1121" s="4" t="s">
        <v>285</v>
      </c>
      <c r="I1121" s="4" t="s">
        <v>286</v>
      </c>
      <c r="J1121" s="4" t="s">
        <v>287</v>
      </c>
      <c r="K1121" s="4" t="s">
        <v>288</v>
      </c>
    </row>
    <row r="1122" spans="2:11">
      <c r="C1122" s="7" t="s">
        <v>289</v>
      </c>
    </row>
    <row r="1123" spans="2:11">
      <c r="C1123" t="s">
        <v>607</v>
      </c>
      <c r="I1123" s="10">
        <v>1</v>
      </c>
      <c r="J1123" s="12">
        <v>616.64</v>
      </c>
      <c r="K1123" s="12">
        <f>I1123*J1123</f>
        <v>616.64</v>
      </c>
    </row>
    <row r="1124" spans="2:11">
      <c r="B1124" s="14"/>
      <c r="C1124" s="14"/>
      <c r="D1124" s="14"/>
      <c r="E1124" s="14"/>
      <c r="F1124" s="14"/>
      <c r="G1124" s="44"/>
      <c r="H1124" s="14"/>
      <c r="I1124" s="46"/>
      <c r="J1124" s="106"/>
      <c r="K1124" s="16">
        <f>SUM(K1123)</f>
        <v>616.64</v>
      </c>
    </row>
    <row r="1125" spans="2:11">
      <c r="G1125" s="8"/>
      <c r="I1125" s="10"/>
      <c r="J1125" s="12"/>
      <c r="K1125" s="6"/>
    </row>
    <row r="1126" spans="2:11">
      <c r="B1126" s="2" t="s">
        <v>277</v>
      </c>
      <c r="C1126" s="2" t="str">
        <f>ESTRUCTURA!A91</f>
        <v>02.04.03.01</v>
      </c>
      <c r="D1126" s="2" t="s">
        <v>620</v>
      </c>
      <c r="E1126" s="2"/>
      <c r="F1126" s="2"/>
      <c r="G1126" s="2"/>
      <c r="H1126" s="2"/>
      <c r="I1126" s="2"/>
      <c r="J1126" s="2"/>
    </row>
    <row r="1127" spans="2:11">
      <c r="B1127" s="2" t="s">
        <v>278</v>
      </c>
      <c r="C1127" s="2" t="s">
        <v>416</v>
      </c>
      <c r="D1127" s="4" t="s">
        <v>280</v>
      </c>
      <c r="E1127" s="5">
        <v>25</v>
      </c>
      <c r="F1127" s="4" t="s">
        <v>281</v>
      </c>
      <c r="G1127" s="5">
        <f>E1127</f>
        <v>25</v>
      </c>
      <c r="H1127" s="2" t="s">
        <v>282</v>
      </c>
      <c r="J1127" s="4" t="s">
        <v>203</v>
      </c>
      <c r="K1127" s="6">
        <f>K1134+K1139+K1143</f>
        <v>447.90066880000001</v>
      </c>
    </row>
    <row r="1128" spans="2:11">
      <c r="B1128" s="2" t="s">
        <v>283</v>
      </c>
      <c r="C1128" s="2" t="s">
        <v>284</v>
      </c>
      <c r="G1128" s="4" t="s">
        <v>122</v>
      </c>
      <c r="H1128" s="4" t="s">
        <v>285</v>
      </c>
      <c r="I1128" s="4" t="s">
        <v>286</v>
      </c>
      <c r="J1128" s="4" t="s">
        <v>287</v>
      </c>
      <c r="K1128" s="4" t="s">
        <v>288</v>
      </c>
    </row>
    <row r="1129" spans="2:11">
      <c r="C1129" s="7" t="s">
        <v>289</v>
      </c>
    </row>
    <row r="1130" spans="2:11">
      <c r="C1130" t="s">
        <v>650</v>
      </c>
      <c r="G1130" s="8" t="s">
        <v>291</v>
      </c>
      <c r="H1130" s="9">
        <v>0.1</v>
      </c>
      <c r="I1130" s="10">
        <f>H1130*8/$E$1127</f>
        <v>3.2000000000000001E-2</v>
      </c>
      <c r="J1130" s="12">
        <v>34.729999999999997</v>
      </c>
      <c r="K1130" s="12">
        <f>I1130*J1130</f>
        <v>1.1113599999999999</v>
      </c>
    </row>
    <row r="1131" spans="2:11">
      <c r="C1131" t="s">
        <v>290</v>
      </c>
      <c r="G1131" s="8" t="s">
        <v>291</v>
      </c>
      <c r="H1131" s="9">
        <v>2</v>
      </c>
      <c r="I1131" s="10">
        <f>H1131*8/$E$1127</f>
        <v>0.64</v>
      </c>
      <c r="J1131" s="12">
        <v>28.94</v>
      </c>
      <c r="K1131" s="12">
        <f>I1131*J1131</f>
        <v>18.521600000000003</v>
      </c>
    </row>
    <row r="1132" spans="2:11">
      <c r="C1132" t="s">
        <v>292</v>
      </c>
      <c r="G1132" s="8" t="s">
        <v>291</v>
      </c>
      <c r="H1132" s="9">
        <v>1</v>
      </c>
      <c r="I1132" s="10">
        <f>H1132*8/$E$1127</f>
        <v>0.32</v>
      </c>
      <c r="J1132" s="12">
        <v>22.66</v>
      </c>
      <c r="K1132" s="12">
        <f>I1132*J1132</f>
        <v>7.2511999999999999</v>
      </c>
    </row>
    <row r="1133" spans="2:11">
      <c r="C1133" t="s">
        <v>293</v>
      </c>
      <c r="G1133" s="8" t="s">
        <v>291</v>
      </c>
      <c r="H1133" s="9">
        <v>4</v>
      </c>
      <c r="I1133" s="10">
        <f>H1133*8/$E$1127</f>
        <v>1.28</v>
      </c>
      <c r="J1133" s="12">
        <v>20.51</v>
      </c>
      <c r="K1133" s="12">
        <f>I1133*J1133</f>
        <v>26.252800000000004</v>
      </c>
    </row>
    <row r="1134" spans="2:11">
      <c r="K1134" s="6">
        <f>SUM(K1130:K1133)</f>
        <v>53.136960000000009</v>
      </c>
    </row>
    <row r="1135" spans="2:11">
      <c r="C1135" s="7" t="s">
        <v>294</v>
      </c>
    </row>
    <row r="1136" spans="2:11">
      <c r="C1136" t="s">
        <v>721</v>
      </c>
      <c r="F1136" t="s">
        <v>296</v>
      </c>
      <c r="I1136" s="10">
        <v>0.1</v>
      </c>
      <c r="J1136" s="12">
        <v>24.52</v>
      </c>
      <c r="K1136" s="12">
        <f>I1136*J1136</f>
        <v>2.452</v>
      </c>
    </row>
    <row r="1137" spans="2:11">
      <c r="C1137" t="s">
        <v>732</v>
      </c>
      <c r="F1137" t="s">
        <v>296</v>
      </c>
      <c r="I1137" s="10">
        <v>1.05</v>
      </c>
      <c r="J1137" s="12">
        <v>340</v>
      </c>
      <c r="K1137" s="12">
        <f>I1137*J1137</f>
        <v>357</v>
      </c>
    </row>
    <row r="1138" spans="2:11">
      <c r="C1138" t="s">
        <v>723</v>
      </c>
      <c r="F1138" t="s">
        <v>305</v>
      </c>
      <c r="I1138" s="10">
        <v>1.05</v>
      </c>
      <c r="J1138" s="12">
        <v>30</v>
      </c>
      <c r="K1138" s="12">
        <f>I1138*J1138</f>
        <v>31.5</v>
      </c>
    </row>
    <row r="1139" spans="2:11">
      <c r="K1139" s="6">
        <f>SUM(K1136:K1138)</f>
        <v>390.952</v>
      </c>
    </row>
    <row r="1140" spans="2:11">
      <c r="C1140" s="7" t="s">
        <v>317</v>
      </c>
    </row>
    <row r="1141" spans="2:11">
      <c r="C1141" t="s">
        <v>310</v>
      </c>
      <c r="G1141" s="8" t="s">
        <v>311</v>
      </c>
      <c r="I1141" s="10">
        <v>3</v>
      </c>
      <c r="J1141" s="12">
        <f>K1134</f>
        <v>53.136960000000009</v>
      </c>
      <c r="K1141" s="12">
        <f>I1141%*J1141</f>
        <v>1.5941088000000001</v>
      </c>
    </row>
    <row r="1142" spans="2:11">
      <c r="C1142" t="s">
        <v>724</v>
      </c>
      <c r="G1142" s="8" t="s">
        <v>337</v>
      </c>
      <c r="H1142" s="9">
        <v>1</v>
      </c>
      <c r="I1142" s="10">
        <f>H1142*8/$E$1127</f>
        <v>0.32</v>
      </c>
      <c r="J1142" s="12">
        <v>6.93</v>
      </c>
      <c r="K1142" s="12">
        <f>I1142*J1142</f>
        <v>2.2176</v>
      </c>
    </row>
    <row r="1143" spans="2:11">
      <c r="B1143" s="14"/>
      <c r="C1143" s="14"/>
      <c r="D1143" s="14"/>
      <c r="E1143" s="14"/>
      <c r="F1143" s="14"/>
      <c r="G1143" s="14"/>
      <c r="H1143" s="14"/>
      <c r="I1143" s="14"/>
      <c r="J1143" s="14"/>
      <c r="K1143" s="16">
        <f>SUM(K1141:K1142)</f>
        <v>3.8117087999999999</v>
      </c>
    </row>
    <row r="1144" spans="2:11">
      <c r="G1144" s="8"/>
      <c r="I1144" s="10"/>
      <c r="J1144" s="12"/>
      <c r="K1144" s="12"/>
    </row>
    <row r="1145" spans="2:11">
      <c r="B1145" s="2" t="s">
        <v>277</v>
      </c>
      <c r="C1145" s="2" t="str">
        <f>ESTRUCTURA!A92</f>
        <v>02.04.03.02</v>
      </c>
      <c r="D1145" s="2" t="s">
        <v>622</v>
      </c>
      <c r="E1145" s="2"/>
      <c r="F1145" s="2"/>
      <c r="G1145" s="2"/>
      <c r="H1145" s="2"/>
      <c r="I1145" s="2"/>
      <c r="J1145" s="2"/>
    </row>
    <row r="1146" spans="2:11">
      <c r="B1146" s="2" t="s">
        <v>278</v>
      </c>
      <c r="C1146" s="2" t="s">
        <v>416</v>
      </c>
      <c r="D1146" s="4" t="s">
        <v>280</v>
      </c>
      <c r="E1146" s="5">
        <v>25</v>
      </c>
      <c r="F1146" s="4" t="s">
        <v>281</v>
      </c>
      <c r="G1146" s="5">
        <f>E1146</f>
        <v>25</v>
      </c>
      <c r="H1146" s="2" t="s">
        <v>282</v>
      </c>
      <c r="J1146" s="4" t="s">
        <v>203</v>
      </c>
      <c r="K1146" s="6">
        <f>K1153+K1158+K1162</f>
        <v>447.90066880000001</v>
      </c>
    </row>
    <row r="1147" spans="2:11">
      <c r="B1147" s="2" t="s">
        <v>283</v>
      </c>
      <c r="C1147" s="2" t="s">
        <v>284</v>
      </c>
      <c r="G1147" s="4" t="s">
        <v>122</v>
      </c>
      <c r="H1147" s="4" t="s">
        <v>285</v>
      </c>
      <c r="I1147" s="4" t="s">
        <v>286</v>
      </c>
      <c r="J1147" s="4" t="s">
        <v>287</v>
      </c>
      <c r="K1147" s="4" t="s">
        <v>288</v>
      </c>
    </row>
    <row r="1148" spans="2:11">
      <c r="C1148" s="7" t="s">
        <v>289</v>
      </c>
    </row>
    <row r="1149" spans="2:11">
      <c r="C1149" t="s">
        <v>650</v>
      </c>
      <c r="G1149" s="8" t="s">
        <v>291</v>
      </c>
      <c r="H1149" s="9">
        <v>0.1</v>
      </c>
      <c r="I1149" s="10">
        <f>H1149*8/$E$1146</f>
        <v>3.2000000000000001E-2</v>
      </c>
      <c r="J1149" s="12">
        <v>34.729999999999997</v>
      </c>
      <c r="K1149" s="12">
        <f>I1149*J1149</f>
        <v>1.1113599999999999</v>
      </c>
    </row>
    <row r="1150" spans="2:11">
      <c r="C1150" t="s">
        <v>290</v>
      </c>
      <c r="G1150" s="8" t="s">
        <v>291</v>
      </c>
      <c r="H1150" s="9">
        <v>2</v>
      </c>
      <c r="I1150" s="10">
        <f>H1150*8/$E$1146</f>
        <v>0.64</v>
      </c>
      <c r="J1150" s="12">
        <v>28.94</v>
      </c>
      <c r="K1150" s="12">
        <f>I1150*J1150</f>
        <v>18.521600000000003</v>
      </c>
    </row>
    <row r="1151" spans="2:11">
      <c r="C1151" t="s">
        <v>292</v>
      </c>
      <c r="G1151" s="8" t="s">
        <v>291</v>
      </c>
      <c r="H1151" s="9">
        <v>1</v>
      </c>
      <c r="I1151" s="10">
        <f>H1151*8/$E$1146</f>
        <v>0.32</v>
      </c>
      <c r="J1151" s="12">
        <v>22.66</v>
      </c>
      <c r="K1151" s="12">
        <f>I1151*J1151</f>
        <v>7.2511999999999999</v>
      </c>
    </row>
    <row r="1152" spans="2:11">
      <c r="C1152" t="s">
        <v>293</v>
      </c>
      <c r="G1152" s="8" t="s">
        <v>291</v>
      </c>
      <c r="H1152" s="9">
        <v>4</v>
      </c>
      <c r="I1152" s="10">
        <f>H1152*8/$E$1146</f>
        <v>1.28</v>
      </c>
      <c r="J1152" s="12">
        <v>20.51</v>
      </c>
      <c r="K1152" s="12">
        <f>I1152*J1152</f>
        <v>26.252800000000004</v>
      </c>
    </row>
    <row r="1153" spans="2:11">
      <c r="K1153" s="6">
        <f>SUM(K1149:K1152)</f>
        <v>53.136960000000009</v>
      </c>
    </row>
    <row r="1154" spans="2:11">
      <c r="C1154" s="7" t="s">
        <v>294</v>
      </c>
      <c r="G1154" s="8"/>
    </row>
    <row r="1155" spans="2:11">
      <c r="C1155" t="s">
        <v>721</v>
      </c>
      <c r="G1155" s="8" t="s">
        <v>296</v>
      </c>
      <c r="I1155" s="10">
        <v>0.1</v>
      </c>
      <c r="J1155" s="12">
        <v>24.52</v>
      </c>
      <c r="K1155" s="12">
        <f>I1155*J1155</f>
        <v>2.452</v>
      </c>
    </row>
    <row r="1156" spans="2:11">
      <c r="C1156" t="s">
        <v>732</v>
      </c>
      <c r="G1156" s="8" t="s">
        <v>296</v>
      </c>
      <c r="I1156" s="10">
        <v>1.05</v>
      </c>
      <c r="J1156" s="12">
        <v>340</v>
      </c>
      <c r="K1156" s="12">
        <f>I1156*J1156</f>
        <v>357</v>
      </c>
    </row>
    <row r="1157" spans="2:11">
      <c r="C1157" t="s">
        <v>723</v>
      </c>
      <c r="G1157" s="8" t="s">
        <v>305</v>
      </c>
      <c r="I1157" s="10">
        <v>1.05</v>
      </c>
      <c r="J1157" s="12">
        <v>30</v>
      </c>
      <c r="K1157" s="12">
        <f>I1157*J1157</f>
        <v>31.5</v>
      </c>
    </row>
    <row r="1158" spans="2:11">
      <c r="K1158" s="6">
        <f>SUM(K1155:K1157)</f>
        <v>390.952</v>
      </c>
    </row>
    <row r="1159" spans="2:11">
      <c r="C1159" s="7" t="s">
        <v>317</v>
      </c>
    </row>
    <row r="1160" spans="2:11">
      <c r="C1160" t="s">
        <v>310</v>
      </c>
      <c r="G1160" s="8" t="s">
        <v>311</v>
      </c>
      <c r="I1160" s="10">
        <v>3</v>
      </c>
      <c r="J1160" s="12">
        <f>K1153</f>
        <v>53.136960000000009</v>
      </c>
      <c r="K1160" s="12">
        <f>I1160%*J1160</f>
        <v>1.5941088000000001</v>
      </c>
    </row>
    <row r="1161" spans="2:11">
      <c r="C1161" t="s">
        <v>724</v>
      </c>
      <c r="G1161" s="8" t="s">
        <v>337</v>
      </c>
      <c r="H1161" s="9">
        <v>1</v>
      </c>
      <c r="I1161" s="10">
        <f>H1161*8/$E$1146</f>
        <v>0.32</v>
      </c>
      <c r="J1161" s="12">
        <v>6.93</v>
      </c>
      <c r="K1161" s="12">
        <f>I1161*J1161</f>
        <v>2.2176</v>
      </c>
    </row>
    <row r="1162" spans="2:11">
      <c r="B1162" s="14"/>
      <c r="C1162" s="14"/>
      <c r="D1162" s="14"/>
      <c r="E1162" s="14"/>
      <c r="F1162" s="14"/>
      <c r="G1162" s="14"/>
      <c r="H1162" s="14"/>
      <c r="I1162" s="14"/>
      <c r="J1162" s="14"/>
      <c r="K1162" s="16">
        <f>SUM(K1160:K1161)</f>
        <v>3.8117087999999999</v>
      </c>
    </row>
    <row r="1163" spans="2:11">
      <c r="K1163" s="6"/>
    </row>
    <row r="1164" spans="2:11">
      <c r="B1164" s="2" t="s">
        <v>277</v>
      </c>
      <c r="C1164" s="2" t="str">
        <f>ESTRUCTURA!A93</f>
        <v>02.04.03.03</v>
      </c>
      <c r="D1164" s="2" t="s">
        <v>597</v>
      </c>
      <c r="E1164" s="2"/>
      <c r="F1164" s="2"/>
      <c r="G1164" s="2"/>
      <c r="H1164" s="2"/>
      <c r="I1164" s="2"/>
      <c r="J1164" s="2"/>
    </row>
    <row r="1165" spans="2:11">
      <c r="B1165" s="2" t="s">
        <v>278</v>
      </c>
      <c r="C1165" s="2" t="s">
        <v>279</v>
      </c>
      <c r="D1165" s="4" t="s">
        <v>280</v>
      </c>
      <c r="E1165" s="5">
        <v>25</v>
      </c>
      <c r="F1165" s="4" t="s">
        <v>281</v>
      </c>
      <c r="G1165" s="5">
        <f>E1165</f>
        <v>25</v>
      </c>
      <c r="H1165" s="2" t="s">
        <v>282</v>
      </c>
      <c r="J1165" s="4" t="s">
        <v>133</v>
      </c>
      <c r="K1165" s="6">
        <f>K1172+K1177+K1181</f>
        <v>118.01356480000003</v>
      </c>
    </row>
    <row r="1166" spans="2:11">
      <c r="B1166" s="2" t="s">
        <v>283</v>
      </c>
      <c r="C1166" s="2" t="s">
        <v>284</v>
      </c>
      <c r="G1166" s="4" t="s">
        <v>122</v>
      </c>
      <c r="H1166" s="4" t="s">
        <v>285</v>
      </c>
      <c r="I1166" s="4" t="s">
        <v>286</v>
      </c>
      <c r="J1166" s="4" t="s">
        <v>287</v>
      </c>
      <c r="K1166" s="4" t="s">
        <v>288</v>
      </c>
    </row>
    <row r="1167" spans="2:11">
      <c r="C1167" s="7" t="s">
        <v>289</v>
      </c>
    </row>
    <row r="1168" spans="2:11">
      <c r="C1168" t="s">
        <v>650</v>
      </c>
      <c r="G1168" s="8" t="s">
        <v>291</v>
      </c>
      <c r="H1168" s="9">
        <v>0.1</v>
      </c>
      <c r="I1168" s="10">
        <f>H1168*8/$E$1165</f>
        <v>3.2000000000000001E-2</v>
      </c>
      <c r="J1168" s="12">
        <v>34.729999999999997</v>
      </c>
      <c r="K1168" s="12">
        <f>I1168*J1168</f>
        <v>1.1113599999999999</v>
      </c>
    </row>
    <row r="1169" spans="2:11">
      <c r="C1169" t="s">
        <v>290</v>
      </c>
      <c r="G1169" s="8" t="s">
        <v>291</v>
      </c>
      <c r="H1169" s="9">
        <v>1</v>
      </c>
      <c r="I1169" s="10">
        <f t="shared" ref="I1169:I1171" si="11">H1169*8/$E$1165</f>
        <v>0.32</v>
      </c>
      <c r="J1169" s="12">
        <v>28.94</v>
      </c>
      <c r="K1169" s="12">
        <f>I1169*J1169</f>
        <v>9.2608000000000015</v>
      </c>
    </row>
    <row r="1170" spans="2:11">
      <c r="C1170" t="s">
        <v>292</v>
      </c>
      <c r="G1170" s="8" t="s">
        <v>291</v>
      </c>
      <c r="H1170" s="9">
        <v>2</v>
      </c>
      <c r="I1170" s="10">
        <f t="shared" si="11"/>
        <v>0.64</v>
      </c>
      <c r="J1170" s="12">
        <v>22.66</v>
      </c>
      <c r="K1170" s="12">
        <f>I1170*J1170</f>
        <v>14.5024</v>
      </c>
    </row>
    <row r="1171" spans="2:11">
      <c r="C1171" t="s">
        <v>293</v>
      </c>
      <c r="G1171" s="8" t="s">
        <v>291</v>
      </c>
      <c r="H1171" s="9">
        <v>8</v>
      </c>
      <c r="I1171" s="10">
        <f t="shared" si="11"/>
        <v>2.56</v>
      </c>
      <c r="J1171" s="12">
        <v>20.51</v>
      </c>
      <c r="K1171" s="12">
        <f>I1171*J1171</f>
        <v>52.505600000000008</v>
      </c>
    </row>
    <row r="1172" spans="2:11">
      <c r="K1172" s="6">
        <f>SUM(K1168:K1171)</f>
        <v>77.380160000000018</v>
      </c>
    </row>
    <row r="1173" spans="2:11">
      <c r="C1173" s="7" t="s">
        <v>294</v>
      </c>
      <c r="G1173" s="8"/>
    </row>
    <row r="1174" spans="2:11">
      <c r="C1174" t="s">
        <v>725</v>
      </c>
      <c r="G1174" s="8" t="s">
        <v>296</v>
      </c>
      <c r="I1174" s="10">
        <v>0.1</v>
      </c>
      <c r="J1174" s="12">
        <v>4.6399999999999997</v>
      </c>
      <c r="K1174" s="12">
        <f>I1174*J1174</f>
        <v>0.46399999999999997</v>
      </c>
    </row>
    <row r="1175" spans="2:11">
      <c r="C1175" t="s">
        <v>726</v>
      </c>
      <c r="G1175" s="8" t="s">
        <v>296</v>
      </c>
      <c r="I1175" s="10">
        <v>0.15</v>
      </c>
      <c r="J1175">
        <v>4.16</v>
      </c>
      <c r="K1175" s="12">
        <f>I1175*J1175</f>
        <v>0.624</v>
      </c>
    </row>
    <row r="1176" spans="2:11">
      <c r="C1176" t="s">
        <v>308</v>
      </c>
      <c r="G1176" s="8" t="s">
        <v>305</v>
      </c>
      <c r="I1176" s="10">
        <v>4.03</v>
      </c>
      <c r="J1176" s="12">
        <v>8.8000000000000007</v>
      </c>
      <c r="K1176" s="12">
        <f>I1176*J1176</f>
        <v>35.464000000000006</v>
      </c>
    </row>
    <row r="1177" spans="2:11">
      <c r="K1177" s="6">
        <f>SUM(K1174:K1176)</f>
        <v>36.552000000000007</v>
      </c>
    </row>
    <row r="1178" spans="2:11">
      <c r="C1178" s="7" t="s">
        <v>317</v>
      </c>
    </row>
    <row r="1179" spans="2:11">
      <c r="C1179" t="s">
        <v>310</v>
      </c>
      <c r="G1179" s="8" t="s">
        <v>311</v>
      </c>
      <c r="I1179" s="10">
        <v>3</v>
      </c>
      <c r="J1179" s="12">
        <f>K1172</f>
        <v>77.380160000000018</v>
      </c>
      <c r="K1179" s="12">
        <f>I1179%*J1179</f>
        <v>2.3214048000000003</v>
      </c>
    </row>
    <row r="1180" spans="2:11">
      <c r="C1180" t="s">
        <v>727</v>
      </c>
      <c r="G1180" s="8" t="s">
        <v>337</v>
      </c>
      <c r="H1180" s="9">
        <v>1</v>
      </c>
      <c r="I1180" s="10">
        <f t="shared" ref="I1180" si="12">H1180*8/$E$1165</f>
        <v>0.32</v>
      </c>
      <c r="J1180" s="12">
        <v>5.5</v>
      </c>
      <c r="K1180" s="12">
        <f>I1180*J1180</f>
        <v>1.76</v>
      </c>
    </row>
    <row r="1181" spans="2:11">
      <c r="B1181" s="14"/>
      <c r="C1181" s="14"/>
      <c r="D1181" s="14"/>
      <c r="E1181" s="14"/>
      <c r="F1181" s="14"/>
      <c r="G1181" s="14"/>
      <c r="H1181" s="14"/>
      <c r="I1181" s="14"/>
      <c r="J1181" s="14"/>
      <c r="K1181" s="16">
        <f>SUM(K1179:K1180)</f>
        <v>4.0814048000000005</v>
      </c>
    </row>
    <row r="1182" spans="2:11">
      <c r="K1182" s="6"/>
    </row>
    <row r="1183" spans="2:11">
      <c r="B1183" s="2" t="s">
        <v>277</v>
      </c>
      <c r="C1183" s="31" t="str">
        <f>ESTRUCTURA!A94</f>
        <v>02.04.03.04</v>
      </c>
      <c r="D1183" s="2" t="s">
        <v>731</v>
      </c>
      <c r="E1183" s="2"/>
      <c r="F1183" s="2"/>
      <c r="G1183" s="2"/>
      <c r="H1183" s="2"/>
      <c r="I1183" s="2"/>
      <c r="J1183" s="2"/>
    </row>
    <row r="1184" spans="2:11">
      <c r="B1184" s="2" t="s">
        <v>278</v>
      </c>
      <c r="C1184" s="2" t="s">
        <v>279</v>
      </c>
      <c r="D1184" s="4" t="s">
        <v>280</v>
      </c>
      <c r="E1184" s="5">
        <v>250</v>
      </c>
      <c r="F1184" s="4" t="s">
        <v>281</v>
      </c>
      <c r="G1184" s="5">
        <f>E1184</f>
        <v>250</v>
      </c>
      <c r="H1184" s="2" t="s">
        <v>282</v>
      </c>
      <c r="J1184" s="4" t="s">
        <v>133</v>
      </c>
      <c r="K1184" s="6">
        <f>K1188+K1191+K1194</f>
        <v>2.9418735999999996</v>
      </c>
    </row>
    <row r="1185" spans="2:11">
      <c r="B1185" s="2" t="s">
        <v>283</v>
      </c>
      <c r="C1185" s="2" t="s">
        <v>284</v>
      </c>
      <c r="G1185" s="4" t="s">
        <v>122</v>
      </c>
      <c r="H1185" s="4" t="s">
        <v>285</v>
      </c>
      <c r="I1185" s="4" t="s">
        <v>286</v>
      </c>
      <c r="J1185" s="4" t="s">
        <v>287</v>
      </c>
      <c r="K1185" s="4" t="s">
        <v>288</v>
      </c>
    </row>
    <row r="1186" spans="2:11">
      <c r="C1186" s="7" t="s">
        <v>289</v>
      </c>
    </row>
    <row r="1187" spans="2:11">
      <c r="C1187" t="s">
        <v>292</v>
      </c>
      <c r="G1187" s="8" t="s">
        <v>291</v>
      </c>
      <c r="H1187" s="9">
        <v>1</v>
      </c>
      <c r="I1187" s="10">
        <f>H1187*8/$E$1184</f>
        <v>3.2000000000000001E-2</v>
      </c>
      <c r="J1187" s="12">
        <v>22.66</v>
      </c>
      <c r="K1187" s="12">
        <f>I1187*J1187</f>
        <v>0.72511999999999999</v>
      </c>
    </row>
    <row r="1188" spans="2:11">
      <c r="G1188" s="8"/>
      <c r="H1188" s="9"/>
      <c r="I1188" s="10"/>
      <c r="J1188" s="12"/>
      <c r="K1188" s="6">
        <f>SUM(K1187:K1187)</f>
        <v>0.72511999999999999</v>
      </c>
    </row>
    <row r="1189" spans="2:11">
      <c r="C1189" s="7" t="s">
        <v>294</v>
      </c>
    </row>
    <row r="1190" spans="2:11">
      <c r="C1190" t="s">
        <v>728</v>
      </c>
      <c r="G1190" s="8" t="s">
        <v>439</v>
      </c>
      <c r="I1190" s="10">
        <v>0.05</v>
      </c>
      <c r="J1190" s="12">
        <v>43.9</v>
      </c>
      <c r="K1190" s="12">
        <f>I1190*J1190</f>
        <v>2.1949999999999998</v>
      </c>
    </row>
    <row r="1191" spans="2:11">
      <c r="K1191" s="6">
        <f>SUM(K1190)</f>
        <v>2.1949999999999998</v>
      </c>
    </row>
    <row r="1192" spans="2:11">
      <c r="C1192" s="7" t="s">
        <v>317</v>
      </c>
    </row>
    <row r="1193" spans="2:11">
      <c r="C1193" t="s">
        <v>310</v>
      </c>
      <c r="G1193" s="8" t="s">
        <v>311</v>
      </c>
      <c r="I1193" s="10">
        <v>3</v>
      </c>
      <c r="J1193" s="12">
        <f>K1188</f>
        <v>0.72511999999999999</v>
      </c>
      <c r="K1193" s="12">
        <f>I1193%*J1193</f>
        <v>2.1753599999999998E-2</v>
      </c>
    </row>
    <row r="1194" spans="2:11">
      <c r="B1194" s="14"/>
      <c r="C1194" s="14"/>
      <c r="D1194" s="14"/>
      <c r="E1194" s="14"/>
      <c r="F1194" s="14"/>
      <c r="G1194" s="14"/>
      <c r="H1194" s="14"/>
      <c r="I1194" s="14"/>
      <c r="J1194" s="14"/>
      <c r="K1194" s="16">
        <f>SUM(K1193)</f>
        <v>2.1753599999999998E-2</v>
      </c>
    </row>
    <row r="1195" spans="2:11">
      <c r="K1195" s="6"/>
    </row>
    <row r="1196" spans="2:11">
      <c r="B1196" s="2" t="s">
        <v>277</v>
      </c>
      <c r="C1196" s="2" t="str">
        <f>ESTRUCTURA!A95</f>
        <v>02.04.03.05</v>
      </c>
      <c r="D1196" s="2" t="s">
        <v>603</v>
      </c>
      <c r="E1196" s="2"/>
      <c r="F1196" s="2"/>
      <c r="G1196" s="2"/>
      <c r="H1196" s="2"/>
      <c r="I1196" s="2"/>
      <c r="J1196" s="2"/>
    </row>
    <row r="1197" spans="2:11">
      <c r="B1197" s="2" t="s">
        <v>278</v>
      </c>
      <c r="C1197" s="2" t="s">
        <v>313</v>
      </c>
      <c r="D1197" s="4" t="s">
        <v>280</v>
      </c>
      <c r="E1197" s="5">
        <v>100</v>
      </c>
      <c r="F1197" s="4" t="s">
        <v>281</v>
      </c>
      <c r="G1197" s="5">
        <f>E1197</f>
        <v>100</v>
      </c>
      <c r="H1197" s="2" t="s">
        <v>282</v>
      </c>
      <c r="J1197" s="4" t="s">
        <v>144</v>
      </c>
      <c r="K1197" s="6">
        <f>K1202+K1206+K1209</f>
        <v>19.238683200000001</v>
      </c>
    </row>
    <row r="1198" spans="2:11">
      <c r="B1198" s="2" t="s">
        <v>283</v>
      </c>
      <c r="C1198" s="2" t="s">
        <v>284</v>
      </c>
      <c r="G1198" s="4" t="s">
        <v>122</v>
      </c>
      <c r="H1198" s="4" t="s">
        <v>285</v>
      </c>
      <c r="I1198" s="4" t="s">
        <v>286</v>
      </c>
      <c r="J1198" s="4" t="s">
        <v>287</v>
      </c>
      <c r="K1198" s="4" t="s">
        <v>288</v>
      </c>
    </row>
    <row r="1199" spans="2:11">
      <c r="C1199" s="7" t="s">
        <v>289</v>
      </c>
    </row>
    <row r="1200" spans="2:11">
      <c r="C1200" t="s">
        <v>650</v>
      </c>
      <c r="G1200" s="8" t="s">
        <v>291</v>
      </c>
      <c r="H1200" s="9">
        <v>1</v>
      </c>
      <c r="I1200" s="10">
        <f>H1200*8/$E$1197</f>
        <v>0.08</v>
      </c>
      <c r="J1200" s="12">
        <v>34.729999999999997</v>
      </c>
      <c r="K1200" s="12">
        <f>I1200*J1200</f>
        <v>2.7784</v>
      </c>
    </row>
    <row r="1201" spans="2:11">
      <c r="C1201" t="s">
        <v>290</v>
      </c>
      <c r="G1201" s="8" t="s">
        <v>291</v>
      </c>
      <c r="H1201" s="9">
        <v>0.2</v>
      </c>
      <c r="I1201" s="10">
        <f>H1201*8/$E$1197</f>
        <v>1.6E-2</v>
      </c>
      <c r="J1201" s="12">
        <v>28.94</v>
      </c>
      <c r="K1201" s="12">
        <f>I1201*J1201</f>
        <v>0.46304000000000001</v>
      </c>
    </row>
    <row r="1202" spans="2:11">
      <c r="G1202" s="8"/>
      <c r="H1202" s="9"/>
      <c r="I1202" s="10"/>
      <c r="J1202" s="12"/>
      <c r="K1202" s="6">
        <f>SUM(K1200:K1201)</f>
        <v>3.2414399999999999</v>
      </c>
    </row>
    <row r="1203" spans="2:11">
      <c r="C1203" s="7" t="s">
        <v>294</v>
      </c>
      <c r="G1203" s="8"/>
    </row>
    <row r="1204" spans="2:11">
      <c r="C1204" t="s">
        <v>729</v>
      </c>
      <c r="G1204" s="8" t="s">
        <v>133</v>
      </c>
      <c r="I1204" s="10">
        <v>0.05</v>
      </c>
      <c r="J1204" s="12">
        <v>18</v>
      </c>
      <c r="K1204" s="12">
        <f>I1204*J1204</f>
        <v>0.9</v>
      </c>
    </row>
    <row r="1205" spans="2:11">
      <c r="C1205" t="s">
        <v>730</v>
      </c>
      <c r="G1205" s="8" t="s">
        <v>439</v>
      </c>
      <c r="I1205" s="10">
        <v>0.1</v>
      </c>
      <c r="J1205" s="12">
        <v>150</v>
      </c>
      <c r="K1205" s="12">
        <f>I1205*J1205</f>
        <v>15</v>
      </c>
    </row>
    <row r="1206" spans="2:11">
      <c r="K1206" s="6">
        <f>SUM(K1204:K1205)</f>
        <v>15.9</v>
      </c>
    </row>
    <row r="1207" spans="2:11">
      <c r="C1207" s="7" t="s">
        <v>317</v>
      </c>
    </row>
    <row r="1208" spans="2:11">
      <c r="C1208" t="s">
        <v>310</v>
      </c>
      <c r="G1208" s="8" t="s">
        <v>311</v>
      </c>
      <c r="I1208" s="10">
        <v>3</v>
      </c>
      <c r="J1208" s="12">
        <f>K1202</f>
        <v>3.2414399999999999</v>
      </c>
      <c r="K1208" s="12">
        <f>I1208%*J1208</f>
        <v>9.7243199999999988E-2</v>
      </c>
    </row>
    <row r="1209" spans="2:11">
      <c r="B1209" s="14"/>
      <c r="C1209" s="14"/>
      <c r="D1209" s="14"/>
      <c r="E1209" s="14"/>
      <c r="F1209" s="14"/>
      <c r="G1209" s="14"/>
      <c r="H1209" s="14"/>
      <c r="I1209" s="14"/>
      <c r="J1209" s="14"/>
      <c r="K1209" s="16">
        <f>SUM(K1208)</f>
        <v>9.7243199999999988E-2</v>
      </c>
    </row>
    <row r="1211" spans="2:11">
      <c r="B1211" s="2" t="s">
        <v>277</v>
      </c>
      <c r="C1211" s="2" t="str">
        <f>ESTRUCTURA!A96</f>
        <v>02.04.03.06</v>
      </c>
      <c r="D1211" s="2" t="s">
        <v>605</v>
      </c>
      <c r="E1211" s="2"/>
      <c r="F1211" s="2"/>
      <c r="G1211" s="2"/>
      <c r="H1211" s="2"/>
      <c r="I1211" s="2"/>
      <c r="J1211" s="2"/>
    </row>
    <row r="1212" spans="2:11">
      <c r="B1212" s="2" t="s">
        <v>278</v>
      </c>
      <c r="C1212" s="2" t="s">
        <v>313</v>
      </c>
      <c r="D1212" s="4" t="s">
        <v>280</v>
      </c>
      <c r="E1212" s="5">
        <v>100</v>
      </c>
      <c r="F1212" s="4" t="s">
        <v>281</v>
      </c>
      <c r="G1212" s="5">
        <f>E1212</f>
        <v>100</v>
      </c>
      <c r="H1212" s="2" t="s">
        <v>282</v>
      </c>
      <c r="J1212" s="4" t="s">
        <v>144</v>
      </c>
      <c r="K1212" s="6">
        <f>K1217+K1221+K1224</f>
        <v>19.238683200000001</v>
      </c>
    </row>
    <row r="1213" spans="2:11">
      <c r="B1213" s="2" t="s">
        <v>283</v>
      </c>
      <c r="C1213" s="2" t="s">
        <v>284</v>
      </c>
      <c r="G1213" s="4" t="s">
        <v>122</v>
      </c>
      <c r="H1213" s="4" t="s">
        <v>285</v>
      </c>
      <c r="I1213" s="4" t="s">
        <v>286</v>
      </c>
      <c r="J1213" s="4" t="s">
        <v>287</v>
      </c>
      <c r="K1213" s="4" t="s">
        <v>288</v>
      </c>
    </row>
    <row r="1214" spans="2:11">
      <c r="C1214" s="7" t="s">
        <v>289</v>
      </c>
    </row>
    <row r="1215" spans="2:11">
      <c r="C1215" t="s">
        <v>650</v>
      </c>
      <c r="G1215" s="8" t="s">
        <v>291</v>
      </c>
      <c r="H1215" s="9">
        <v>1</v>
      </c>
      <c r="I1215" s="10">
        <f>H1215*8/$E$1212</f>
        <v>0.08</v>
      </c>
      <c r="J1215" s="12">
        <v>34.729999999999997</v>
      </c>
      <c r="K1215" s="12">
        <f>I1215*J1215</f>
        <v>2.7784</v>
      </c>
    </row>
    <row r="1216" spans="2:11">
      <c r="C1216" t="s">
        <v>290</v>
      </c>
      <c r="G1216" s="8" t="s">
        <v>291</v>
      </c>
      <c r="H1216" s="9">
        <v>0.2</v>
      </c>
      <c r="I1216" s="10">
        <f>H1216*8/$E$1212</f>
        <v>1.6E-2</v>
      </c>
      <c r="J1216" s="12">
        <v>28.94</v>
      </c>
      <c r="K1216" s="12">
        <f>I1216*J1216</f>
        <v>0.46304000000000001</v>
      </c>
    </row>
    <row r="1217" spans="2:11">
      <c r="G1217" s="8"/>
      <c r="H1217" s="9"/>
      <c r="I1217" s="10"/>
      <c r="J1217" s="12"/>
      <c r="K1217" s="6">
        <f>SUM(K1215:K1216)</f>
        <v>3.2414399999999999</v>
      </c>
    </row>
    <row r="1218" spans="2:11">
      <c r="C1218" s="7" t="s">
        <v>294</v>
      </c>
      <c r="G1218" s="8"/>
    </row>
    <row r="1219" spans="2:11">
      <c r="C1219" t="s">
        <v>729</v>
      </c>
      <c r="G1219" s="8" t="s">
        <v>133</v>
      </c>
      <c r="I1219" s="10">
        <v>0.05</v>
      </c>
      <c r="J1219" s="12">
        <v>18</v>
      </c>
      <c r="K1219" s="12">
        <f>I1219*J1219</f>
        <v>0.9</v>
      </c>
    </row>
    <row r="1220" spans="2:11">
      <c r="C1220" t="s">
        <v>730</v>
      </c>
      <c r="G1220" s="8" t="s">
        <v>439</v>
      </c>
      <c r="I1220" s="10">
        <v>0.1</v>
      </c>
      <c r="J1220" s="12">
        <v>150</v>
      </c>
      <c r="K1220" s="12">
        <f>I1220*J1220</f>
        <v>15</v>
      </c>
    </row>
    <row r="1221" spans="2:11">
      <c r="K1221" s="6">
        <f>SUM(K1219:K1220)</f>
        <v>15.9</v>
      </c>
    </row>
    <row r="1222" spans="2:11">
      <c r="C1222" s="7" t="s">
        <v>317</v>
      </c>
    </row>
    <row r="1223" spans="2:11">
      <c r="C1223" t="s">
        <v>310</v>
      </c>
      <c r="G1223" s="8" t="s">
        <v>311</v>
      </c>
      <c r="I1223" s="10">
        <v>3</v>
      </c>
      <c r="J1223" s="12">
        <f>K1217</f>
        <v>3.2414399999999999</v>
      </c>
      <c r="K1223" s="12">
        <f>I1223%*J1223</f>
        <v>9.7243199999999988E-2</v>
      </c>
    </row>
    <row r="1224" spans="2:11">
      <c r="B1224" s="14"/>
      <c r="C1224" s="14"/>
      <c r="D1224" s="14"/>
      <c r="E1224" s="14"/>
      <c r="F1224" s="14"/>
      <c r="G1224" s="14"/>
      <c r="H1224" s="14"/>
      <c r="I1224" s="14"/>
      <c r="J1224" s="14"/>
      <c r="K1224" s="16">
        <f>SUM(K1223)</f>
        <v>9.7243199999999988E-2</v>
      </c>
    </row>
    <row r="1225" spans="2:11">
      <c r="G1225" s="8"/>
      <c r="I1225" s="10"/>
      <c r="J1225" s="12"/>
      <c r="K1225" s="12"/>
    </row>
    <row r="1226" spans="2:11">
      <c r="B1226" s="2" t="s">
        <v>277</v>
      </c>
      <c r="C1226" s="2" t="str">
        <f>ESTRUCTURA!A98</f>
        <v>02.04.04.01</v>
      </c>
      <c r="D1226" s="2" t="s">
        <v>629</v>
      </c>
      <c r="E1226" s="2"/>
      <c r="F1226" s="2"/>
      <c r="G1226" s="2"/>
      <c r="H1226" s="2"/>
      <c r="I1226" s="2"/>
      <c r="J1226" s="2"/>
    </row>
    <row r="1227" spans="2:11">
      <c r="B1227" s="2" t="s">
        <v>278</v>
      </c>
      <c r="C1227" s="2" t="s">
        <v>279</v>
      </c>
      <c r="D1227" s="4" t="s">
        <v>280</v>
      </c>
      <c r="E1227" s="5">
        <v>12</v>
      </c>
      <c r="F1227" s="4" t="s">
        <v>281</v>
      </c>
      <c r="G1227" s="5">
        <f>E1227</f>
        <v>12</v>
      </c>
      <c r="H1227" s="2" t="s">
        <v>282</v>
      </c>
      <c r="J1227" s="4" t="s">
        <v>133</v>
      </c>
      <c r="K1227" s="6">
        <f>K1234+K1240+K1243</f>
        <v>84.674043333333344</v>
      </c>
    </row>
    <row r="1228" spans="2:11">
      <c r="B1228" s="2" t="s">
        <v>283</v>
      </c>
      <c r="C1228" s="2" t="s">
        <v>284</v>
      </c>
      <c r="G1228" s="4" t="s">
        <v>122</v>
      </c>
      <c r="H1228" s="4" t="s">
        <v>285</v>
      </c>
      <c r="I1228" s="4" t="s">
        <v>286</v>
      </c>
      <c r="J1228" s="4" t="s">
        <v>287</v>
      </c>
      <c r="K1228" s="4" t="s">
        <v>288</v>
      </c>
    </row>
    <row r="1229" spans="2:11">
      <c r="C1229" s="7" t="s">
        <v>289</v>
      </c>
    </row>
    <row r="1230" spans="2:11">
      <c r="C1230" t="s">
        <v>650</v>
      </c>
      <c r="G1230" s="8" t="s">
        <v>291</v>
      </c>
      <c r="H1230" s="9">
        <v>0.1</v>
      </c>
      <c r="I1230" s="10">
        <f>H1230*8/$E$1227</f>
        <v>6.6666666666666666E-2</v>
      </c>
      <c r="J1230" s="12">
        <v>34.729999999999997</v>
      </c>
      <c r="K1230" s="12">
        <f>I1230*J1230</f>
        <v>2.3153333333333332</v>
      </c>
    </row>
    <row r="1231" spans="2:11">
      <c r="C1231" t="s">
        <v>290</v>
      </c>
      <c r="G1231" s="8" t="s">
        <v>291</v>
      </c>
      <c r="H1231" s="9">
        <v>1</v>
      </c>
      <c r="I1231" s="10">
        <f>H1231*8/$E$1227</f>
        <v>0.66666666666666663</v>
      </c>
      <c r="J1231" s="12">
        <v>28.94</v>
      </c>
      <c r="K1231" s="12">
        <f>I1231*J1231</f>
        <v>19.293333333333333</v>
      </c>
    </row>
    <row r="1232" spans="2:11">
      <c r="C1232" t="s">
        <v>292</v>
      </c>
      <c r="G1232" s="8" t="s">
        <v>291</v>
      </c>
      <c r="H1232" s="9">
        <v>1</v>
      </c>
      <c r="I1232" s="10">
        <f>H1232*8/$E$1227</f>
        <v>0.66666666666666663</v>
      </c>
      <c r="J1232" s="12">
        <v>22.66</v>
      </c>
      <c r="K1232" s="12">
        <f>I1232*J1232</f>
        <v>15.106666666666666</v>
      </c>
    </row>
    <row r="1233" spans="2:11">
      <c r="C1233" t="s">
        <v>293</v>
      </c>
      <c r="G1233" s="8" t="s">
        <v>291</v>
      </c>
      <c r="H1233" s="9">
        <v>0.75</v>
      </c>
      <c r="I1233" s="10">
        <f>H1233*8/$E$1227</f>
        <v>0.5</v>
      </c>
      <c r="J1233" s="12">
        <v>20.51</v>
      </c>
      <c r="K1233" s="12">
        <f>I1233*J1233</f>
        <v>10.255000000000001</v>
      </c>
    </row>
    <row r="1234" spans="2:11">
      <c r="K1234" s="6">
        <f>SUM(K1230:K1233)</f>
        <v>46.970333333333336</v>
      </c>
    </row>
    <row r="1235" spans="2:11">
      <c r="C1235" s="7" t="s">
        <v>294</v>
      </c>
      <c r="G1235" s="8"/>
    </row>
    <row r="1236" spans="2:11">
      <c r="C1236" t="s">
        <v>688</v>
      </c>
      <c r="G1236" s="8" t="s">
        <v>296</v>
      </c>
      <c r="I1236" s="10">
        <v>0.1</v>
      </c>
      <c r="J1236" s="12">
        <v>2.64</v>
      </c>
      <c r="K1236" s="12">
        <f>I1236*J1236</f>
        <v>0.26400000000000001</v>
      </c>
    </row>
    <row r="1237" spans="2:11">
      <c r="C1237" t="s">
        <v>726</v>
      </c>
      <c r="G1237" s="8" t="s">
        <v>296</v>
      </c>
      <c r="I1237" s="10">
        <v>0.2</v>
      </c>
      <c r="J1237">
        <v>4.16</v>
      </c>
      <c r="K1237" s="12">
        <f>I1237*J1237</f>
        <v>0.83200000000000007</v>
      </c>
    </row>
    <row r="1238" spans="2:11">
      <c r="C1238" t="s">
        <v>733</v>
      </c>
      <c r="G1238" s="8" t="s">
        <v>149</v>
      </c>
      <c r="I1238" s="10">
        <v>7.0000000000000007E-2</v>
      </c>
      <c r="J1238">
        <v>43.98</v>
      </c>
      <c r="K1238" s="12">
        <f>I1238*J1238</f>
        <v>3.0786000000000002</v>
      </c>
    </row>
    <row r="1239" spans="2:11">
      <c r="C1239" t="s">
        <v>308</v>
      </c>
      <c r="G1239" s="8" t="s">
        <v>305</v>
      </c>
      <c r="I1239" s="10">
        <v>3.65</v>
      </c>
      <c r="J1239" s="12">
        <v>8.8000000000000007</v>
      </c>
      <c r="K1239" s="12">
        <f>I1239*J1239</f>
        <v>32.120000000000005</v>
      </c>
    </row>
    <row r="1240" spans="2:11">
      <c r="K1240" s="6">
        <f>SUM(K1236:K1239)</f>
        <v>36.294600000000003</v>
      </c>
    </row>
    <row r="1241" spans="2:11">
      <c r="C1241" s="7" t="s">
        <v>317</v>
      </c>
    </row>
    <row r="1242" spans="2:11">
      <c r="C1242" t="s">
        <v>310</v>
      </c>
      <c r="G1242" s="8" t="s">
        <v>311</v>
      </c>
      <c r="I1242" s="10">
        <v>3</v>
      </c>
      <c r="J1242" s="12">
        <f>K1234</f>
        <v>46.970333333333336</v>
      </c>
      <c r="K1242" s="12">
        <f>I1242%*J1242</f>
        <v>1.4091100000000001</v>
      </c>
    </row>
    <row r="1243" spans="2:11">
      <c r="B1243" s="14"/>
      <c r="C1243" s="14"/>
      <c r="D1243" s="14"/>
      <c r="E1243" s="14"/>
      <c r="F1243" s="14"/>
      <c r="G1243" s="14"/>
      <c r="H1243" s="14"/>
      <c r="I1243" s="14"/>
      <c r="J1243" s="14"/>
      <c r="K1243" s="16">
        <f>SUM(K1242:K1242)</f>
        <v>1.4091100000000001</v>
      </c>
    </row>
    <row r="1245" spans="2:11">
      <c r="B1245" s="2" t="s">
        <v>277</v>
      </c>
      <c r="C1245" s="2" t="str">
        <f>ESTRUCTURA!A99</f>
        <v>02.04.04.02</v>
      </c>
      <c r="D1245" s="2" t="s">
        <v>631</v>
      </c>
      <c r="E1245" s="2"/>
      <c r="F1245" s="2"/>
      <c r="G1245" s="2"/>
      <c r="H1245" s="2"/>
      <c r="I1245" s="2"/>
      <c r="J1245" s="2"/>
    </row>
    <row r="1246" spans="2:11">
      <c r="B1246" s="2" t="s">
        <v>278</v>
      </c>
      <c r="C1246" s="2" t="s">
        <v>678</v>
      </c>
      <c r="D1246" s="4" t="s">
        <v>280</v>
      </c>
      <c r="E1246" s="5">
        <v>280</v>
      </c>
      <c r="F1246" s="4" t="s">
        <v>281</v>
      </c>
      <c r="G1246" s="5">
        <f>E1246</f>
        <v>280</v>
      </c>
      <c r="H1246" s="2" t="s">
        <v>282</v>
      </c>
      <c r="J1246" s="4" t="s">
        <v>296</v>
      </c>
      <c r="K1246" s="6">
        <f>K1253+K1256+K1259</f>
        <v>7.5057997142857147</v>
      </c>
    </row>
    <row r="1247" spans="2:11">
      <c r="B1247" s="2" t="s">
        <v>283</v>
      </c>
      <c r="C1247" s="2" t="s">
        <v>284</v>
      </c>
      <c r="G1247" s="4" t="s">
        <v>122</v>
      </c>
      <c r="H1247" s="4" t="s">
        <v>285</v>
      </c>
      <c r="I1247" s="4" t="s">
        <v>286</v>
      </c>
      <c r="J1247" s="4" t="s">
        <v>287</v>
      </c>
      <c r="K1247" s="4" t="s">
        <v>288</v>
      </c>
    </row>
    <row r="1248" spans="2:11">
      <c r="C1248" s="7" t="s">
        <v>289</v>
      </c>
    </row>
    <row r="1249" spans="2:11">
      <c r="C1249" t="s">
        <v>650</v>
      </c>
      <c r="G1249" s="8" t="s">
        <v>291</v>
      </c>
      <c r="H1249" s="9">
        <v>0.1</v>
      </c>
      <c r="I1249" s="10">
        <f>H1249*8/$E$1246</f>
        <v>2.8571428571428571E-3</v>
      </c>
      <c r="J1249" s="12">
        <v>34.729999999999997</v>
      </c>
      <c r="K1249" s="12">
        <f>I1249*J1249</f>
        <v>9.9228571428571416E-2</v>
      </c>
    </row>
    <row r="1250" spans="2:11">
      <c r="C1250" t="s">
        <v>290</v>
      </c>
      <c r="G1250" s="8" t="s">
        <v>291</v>
      </c>
      <c r="H1250" s="9">
        <v>1</v>
      </c>
      <c r="I1250" s="10">
        <f>H1250*8/$E$1246</f>
        <v>2.8571428571428571E-2</v>
      </c>
      <c r="J1250" s="12">
        <v>28.94</v>
      </c>
      <c r="K1250" s="12">
        <f>I1250*J1250</f>
        <v>0.82685714285714285</v>
      </c>
    </row>
    <row r="1251" spans="2:11">
      <c r="C1251" t="s">
        <v>292</v>
      </c>
      <c r="G1251" s="8" t="s">
        <v>291</v>
      </c>
      <c r="H1251" s="9">
        <v>1</v>
      </c>
      <c r="I1251" s="10">
        <f>H1251*8/$E$1246</f>
        <v>2.8571428571428571E-2</v>
      </c>
      <c r="J1251" s="12">
        <v>22.66</v>
      </c>
      <c r="K1251" s="12">
        <f>I1251*J1251</f>
        <v>0.64742857142857146</v>
      </c>
    </row>
    <row r="1252" spans="2:11">
      <c r="C1252" t="s">
        <v>293</v>
      </c>
      <c r="G1252" s="8" t="s">
        <v>291</v>
      </c>
      <c r="H1252" s="9">
        <v>1</v>
      </c>
      <c r="I1252" s="10">
        <f>H1252*8/$E$1246</f>
        <v>2.8571428571428571E-2</v>
      </c>
      <c r="J1252" s="12">
        <v>20.51</v>
      </c>
      <c r="K1252" s="12">
        <f>I1252*J1252</f>
        <v>0.58600000000000008</v>
      </c>
    </row>
    <row r="1253" spans="2:11">
      <c r="K1253" s="6">
        <f>SUM(K1249:K1252)</f>
        <v>2.1595142857142857</v>
      </c>
    </row>
    <row r="1254" spans="2:11">
      <c r="C1254" s="7" t="s">
        <v>294</v>
      </c>
      <c r="G1254" s="8"/>
    </row>
    <row r="1255" spans="2:11">
      <c r="C1255" t="s">
        <v>734</v>
      </c>
      <c r="G1255" s="8" t="s">
        <v>296</v>
      </c>
      <c r="I1255" s="10">
        <v>1.05</v>
      </c>
      <c r="J1255" s="12">
        <v>5.03</v>
      </c>
      <c r="K1255" s="12">
        <f>I1255*J1255</f>
        <v>5.2815000000000003</v>
      </c>
    </row>
    <row r="1256" spans="2:11">
      <c r="K1256" s="6">
        <f>SUM(K1255:K1255)</f>
        <v>5.2815000000000003</v>
      </c>
    </row>
    <row r="1257" spans="2:11">
      <c r="C1257" s="7" t="s">
        <v>317</v>
      </c>
    </row>
    <row r="1258" spans="2:11">
      <c r="C1258" t="s">
        <v>310</v>
      </c>
      <c r="G1258" s="8" t="s">
        <v>311</v>
      </c>
      <c r="I1258" s="10">
        <v>3</v>
      </c>
      <c r="J1258" s="12">
        <f>K1253</f>
        <v>2.1595142857142857</v>
      </c>
      <c r="K1258" s="12">
        <f>I1258%*J1258</f>
        <v>6.4785428571428563E-2</v>
      </c>
    </row>
    <row r="1259" spans="2:11">
      <c r="B1259" s="14"/>
      <c r="C1259" s="14"/>
      <c r="D1259" s="14"/>
      <c r="E1259" s="14"/>
      <c r="F1259" s="14"/>
      <c r="G1259" s="14"/>
      <c r="H1259" s="14"/>
      <c r="I1259" s="14"/>
      <c r="J1259" s="14"/>
      <c r="K1259" s="16">
        <f>SUM(K1258:K1258)</f>
        <v>6.4785428571428563E-2</v>
      </c>
    </row>
    <row r="1261" spans="2:11">
      <c r="B1261" s="2" t="s">
        <v>277</v>
      </c>
      <c r="C1261" s="31" t="str">
        <f>ESTRUCTURA!A100</f>
        <v>02.04.04.03</v>
      </c>
      <c r="D1261" s="2" t="s">
        <v>601</v>
      </c>
      <c r="E1261" s="2"/>
      <c r="F1261" s="2"/>
      <c r="G1261" s="2"/>
      <c r="H1261" s="2"/>
      <c r="I1261" s="2"/>
      <c r="J1261" s="2"/>
    </row>
    <row r="1262" spans="2:11">
      <c r="B1262" s="2" t="s">
        <v>278</v>
      </c>
      <c r="C1262" s="2" t="s">
        <v>279</v>
      </c>
      <c r="D1262" s="4" t="s">
        <v>280</v>
      </c>
      <c r="E1262" s="5">
        <v>250</v>
      </c>
      <c r="F1262" s="4" t="s">
        <v>281</v>
      </c>
      <c r="G1262" s="5">
        <f>E1262</f>
        <v>250</v>
      </c>
      <c r="H1262" s="2" t="s">
        <v>282</v>
      </c>
      <c r="J1262" s="4" t="s">
        <v>133</v>
      </c>
      <c r="K1262" s="6">
        <f>K1266+K1269+K1272</f>
        <v>2.9418735999999996</v>
      </c>
    </row>
    <row r="1263" spans="2:11">
      <c r="B1263" s="2" t="s">
        <v>283</v>
      </c>
      <c r="C1263" s="2" t="s">
        <v>284</v>
      </c>
      <c r="G1263" s="4" t="s">
        <v>122</v>
      </c>
      <c r="H1263" s="4" t="s">
        <v>285</v>
      </c>
      <c r="I1263" s="4" t="s">
        <v>286</v>
      </c>
      <c r="J1263" s="4" t="s">
        <v>287</v>
      </c>
      <c r="K1263" s="4" t="s">
        <v>288</v>
      </c>
    </row>
    <row r="1264" spans="2:11">
      <c r="C1264" s="7" t="s">
        <v>289</v>
      </c>
    </row>
    <row r="1265" spans="2:11">
      <c r="C1265" t="s">
        <v>292</v>
      </c>
      <c r="G1265" s="8" t="s">
        <v>291</v>
      </c>
      <c r="H1265" s="9">
        <v>1</v>
      </c>
      <c r="I1265" s="10">
        <f>H1265*8/$E$1262</f>
        <v>3.2000000000000001E-2</v>
      </c>
      <c r="J1265" s="12">
        <v>22.66</v>
      </c>
      <c r="K1265" s="12">
        <f>I1265*J1265</f>
        <v>0.72511999999999999</v>
      </c>
    </row>
    <row r="1266" spans="2:11">
      <c r="G1266" s="8"/>
      <c r="H1266" s="9"/>
      <c r="I1266" s="10"/>
      <c r="J1266" s="12"/>
      <c r="K1266" s="6">
        <f>SUM(K1265:K1265)</f>
        <v>0.72511999999999999</v>
      </c>
    </row>
    <row r="1267" spans="2:11">
      <c r="C1267" s="7" t="s">
        <v>294</v>
      </c>
    </row>
    <row r="1268" spans="2:11">
      <c r="C1268" t="s">
        <v>728</v>
      </c>
      <c r="G1268" s="8" t="s">
        <v>439</v>
      </c>
      <c r="I1268" s="10">
        <v>0.05</v>
      </c>
      <c r="J1268" s="12">
        <v>43.9</v>
      </c>
      <c r="K1268" s="12">
        <f>I1268*J1268</f>
        <v>2.1949999999999998</v>
      </c>
    </row>
    <row r="1269" spans="2:11">
      <c r="K1269" s="6">
        <f>SUM(K1268)</f>
        <v>2.1949999999999998</v>
      </c>
    </row>
    <row r="1270" spans="2:11">
      <c r="C1270" s="7" t="s">
        <v>317</v>
      </c>
    </row>
    <row r="1271" spans="2:11">
      <c r="C1271" t="s">
        <v>310</v>
      </c>
      <c r="G1271" s="8" t="s">
        <v>311</v>
      </c>
      <c r="I1271" s="10">
        <v>3</v>
      </c>
      <c r="J1271" s="12">
        <f>K1266</f>
        <v>0.72511999999999999</v>
      </c>
      <c r="K1271" s="12">
        <f>I1271%*J1271</f>
        <v>2.1753599999999998E-2</v>
      </c>
    </row>
    <row r="1272" spans="2:11">
      <c r="B1272" s="14"/>
      <c r="C1272" s="14"/>
      <c r="D1272" s="14"/>
      <c r="E1272" s="14"/>
      <c r="F1272" s="14"/>
      <c r="G1272" s="14"/>
      <c r="H1272" s="14"/>
      <c r="I1272" s="14"/>
      <c r="J1272" s="14"/>
      <c r="K1272" s="16">
        <f>SUM(K1271)</f>
        <v>2.1753599999999998E-2</v>
      </c>
    </row>
    <row r="1274" spans="2:11">
      <c r="B1274" s="31" t="s">
        <v>277</v>
      </c>
      <c r="C1274" s="31" t="str">
        <f>ESTRUCTURA!A101</f>
        <v>02.04.04.04</v>
      </c>
      <c r="D1274" s="31" t="s">
        <v>634</v>
      </c>
      <c r="E1274" s="31"/>
    </row>
    <row r="1275" spans="2:11">
      <c r="B1275" s="31" t="s">
        <v>278</v>
      </c>
      <c r="C1275" s="31" t="s">
        <v>416</v>
      </c>
      <c r="D1275" s="32" t="s">
        <v>280</v>
      </c>
      <c r="E1275" s="33">
        <v>30</v>
      </c>
      <c r="F1275" s="32" t="s">
        <v>281</v>
      </c>
      <c r="G1275" s="33">
        <f>E1275</f>
        <v>30</v>
      </c>
      <c r="H1275" s="31" t="s">
        <v>282</v>
      </c>
      <c r="J1275" s="32" t="s">
        <v>203</v>
      </c>
      <c r="K1275" s="34">
        <f>K1282+K1287+K1291</f>
        <v>445.90736000000004</v>
      </c>
    </row>
    <row r="1276" spans="2:11">
      <c r="B1276" s="31" t="s">
        <v>283</v>
      </c>
      <c r="C1276" s="31" t="s">
        <v>284</v>
      </c>
      <c r="G1276" s="32" t="s">
        <v>122</v>
      </c>
      <c r="H1276" s="32" t="s">
        <v>285</v>
      </c>
      <c r="I1276" s="32" t="s">
        <v>286</v>
      </c>
      <c r="J1276" s="32" t="s">
        <v>287</v>
      </c>
      <c r="K1276" s="32" t="s">
        <v>288</v>
      </c>
    </row>
    <row r="1277" spans="2:11">
      <c r="C1277" s="35" t="s">
        <v>289</v>
      </c>
    </row>
    <row r="1278" spans="2:11">
      <c r="C1278" t="s">
        <v>650</v>
      </c>
      <c r="G1278" s="8" t="s">
        <v>291</v>
      </c>
      <c r="H1278" s="9">
        <v>0.1</v>
      </c>
      <c r="I1278" s="10">
        <f>H1278*8/$E$1275</f>
        <v>2.6666666666666668E-2</v>
      </c>
      <c r="J1278" s="12">
        <v>34.729999999999997</v>
      </c>
      <c r="K1278" s="12">
        <f>I1278*J1278</f>
        <v>0.92613333333333336</v>
      </c>
    </row>
    <row r="1279" spans="2:11">
      <c r="C1279" t="s">
        <v>290</v>
      </c>
      <c r="G1279" s="8" t="s">
        <v>291</v>
      </c>
      <c r="H1279" s="9">
        <v>2</v>
      </c>
      <c r="I1279" s="10">
        <f>H1279*8/$E$1275</f>
        <v>0.53333333333333333</v>
      </c>
      <c r="J1279" s="12">
        <v>28.94</v>
      </c>
      <c r="K1279" s="12">
        <f>I1279*J1279</f>
        <v>15.434666666666667</v>
      </c>
    </row>
    <row r="1280" spans="2:11">
      <c r="C1280" t="s">
        <v>292</v>
      </c>
      <c r="G1280" s="8" t="s">
        <v>291</v>
      </c>
      <c r="H1280" s="9">
        <v>1</v>
      </c>
      <c r="I1280" s="10">
        <f>H1280*8/$E$1275</f>
        <v>0.26666666666666666</v>
      </c>
      <c r="J1280" s="12">
        <v>23.6</v>
      </c>
      <c r="K1280" s="12">
        <f>I1280*J1280</f>
        <v>6.2933333333333339</v>
      </c>
    </row>
    <row r="1281" spans="2:11">
      <c r="C1281" t="s">
        <v>293</v>
      </c>
      <c r="G1281" s="8" t="s">
        <v>291</v>
      </c>
      <c r="H1281" s="9">
        <v>4</v>
      </c>
      <c r="I1281" s="10">
        <f>H1281*8/$E$1275</f>
        <v>1.0666666666666667</v>
      </c>
      <c r="J1281" s="12">
        <v>21.36</v>
      </c>
      <c r="K1281" s="12">
        <f>I1281*J1281</f>
        <v>22.783999999999999</v>
      </c>
    </row>
    <row r="1282" spans="2:11">
      <c r="G1282" s="8"/>
      <c r="H1282" s="9"/>
      <c r="I1282" s="10"/>
      <c r="K1282" s="34">
        <f>SUM(K1279:K1281)</f>
        <v>44.512</v>
      </c>
    </row>
    <row r="1283" spans="2:11">
      <c r="C1283" s="35" t="s">
        <v>653</v>
      </c>
      <c r="G1283" s="8"/>
      <c r="H1283" s="9"/>
      <c r="I1283" s="10"/>
      <c r="K1283" s="12"/>
    </row>
    <row r="1284" spans="2:11">
      <c r="C1284" s="186" t="s">
        <v>721</v>
      </c>
      <c r="G1284" s="8" t="s">
        <v>203</v>
      </c>
      <c r="I1284" s="10">
        <v>0.1</v>
      </c>
      <c r="J1284" s="12">
        <v>24.52</v>
      </c>
      <c r="K1284" s="12">
        <f>I1284*J1284</f>
        <v>2.452</v>
      </c>
    </row>
    <row r="1285" spans="2:11">
      <c r="C1285" s="186" t="s">
        <v>722</v>
      </c>
      <c r="G1285" s="8" t="s">
        <v>203</v>
      </c>
      <c r="I1285" s="10">
        <v>1.02</v>
      </c>
      <c r="J1285" s="12">
        <v>358</v>
      </c>
      <c r="K1285" s="12">
        <f>I1285*J1285</f>
        <v>365.16</v>
      </c>
    </row>
    <row r="1286" spans="2:11">
      <c r="C1286" s="186" t="s">
        <v>723</v>
      </c>
      <c r="G1286" s="8" t="s">
        <v>307</v>
      </c>
      <c r="I1286" s="10">
        <v>1.02</v>
      </c>
      <c r="J1286" s="12">
        <v>30</v>
      </c>
      <c r="K1286" s="12">
        <f>I1286*J1286</f>
        <v>30.6</v>
      </c>
    </row>
    <row r="1287" spans="2:11">
      <c r="G1287" s="8"/>
      <c r="I1287" s="10"/>
      <c r="J1287" s="12"/>
      <c r="K1287" s="34">
        <f>SUM(K1284:K1286)</f>
        <v>398.21200000000005</v>
      </c>
    </row>
    <row r="1288" spans="2:11">
      <c r="C1288" s="35" t="s">
        <v>309</v>
      </c>
    </row>
    <row r="1289" spans="2:11">
      <c r="C1289" t="s">
        <v>310</v>
      </c>
      <c r="G1289" s="8" t="s">
        <v>311</v>
      </c>
      <c r="I1289" s="10">
        <v>3</v>
      </c>
      <c r="J1289" s="12">
        <f>K1282</f>
        <v>44.512</v>
      </c>
      <c r="K1289" s="12">
        <f>I1289%*J1289</f>
        <v>1.3353599999999999</v>
      </c>
    </row>
    <row r="1290" spans="2:11">
      <c r="C1290" s="186" t="s">
        <v>724</v>
      </c>
      <c r="G1290" s="8" t="s">
        <v>337</v>
      </c>
      <c r="H1290" s="9">
        <v>1</v>
      </c>
      <c r="I1290" s="10">
        <f>H1290*8/$E$1275</f>
        <v>0.26666666666666666</v>
      </c>
      <c r="J1290" s="12">
        <v>6.93</v>
      </c>
      <c r="K1290" s="12">
        <f>I1290*J1290</f>
        <v>1.8479999999999999</v>
      </c>
    </row>
    <row r="1291" spans="2:11">
      <c r="B1291" s="14"/>
      <c r="C1291" s="14"/>
      <c r="D1291" s="14"/>
      <c r="E1291" s="14"/>
      <c r="F1291" s="14"/>
      <c r="G1291" s="14"/>
      <c r="H1291" s="14"/>
      <c r="I1291" s="14"/>
      <c r="J1291" s="14"/>
      <c r="K1291" s="36">
        <f>SUM(K1289:K1290)</f>
        <v>3.1833599999999995</v>
      </c>
    </row>
    <row r="1292" spans="2:11">
      <c r="K1292" s="34"/>
    </row>
    <row r="1293" spans="2:11">
      <c r="B1293" s="2" t="s">
        <v>277</v>
      </c>
      <c r="C1293" s="2" t="str">
        <f>ESTRUCTURA!A102</f>
        <v>02.04.04.05</v>
      </c>
      <c r="D1293" s="2" t="s">
        <v>605</v>
      </c>
      <c r="E1293" s="2"/>
      <c r="F1293" s="2"/>
      <c r="G1293" s="2"/>
      <c r="H1293" s="2"/>
      <c r="I1293" s="2"/>
      <c r="J1293" s="2"/>
    </row>
    <row r="1294" spans="2:11">
      <c r="B1294" s="2" t="s">
        <v>278</v>
      </c>
      <c r="C1294" s="2" t="s">
        <v>313</v>
      </c>
      <c r="D1294" s="4" t="s">
        <v>280</v>
      </c>
      <c r="E1294" s="5">
        <v>100</v>
      </c>
      <c r="F1294" s="4" t="s">
        <v>281</v>
      </c>
      <c r="G1294" s="5">
        <f>E1294</f>
        <v>100</v>
      </c>
      <c r="H1294" s="2" t="s">
        <v>282</v>
      </c>
      <c r="J1294" s="4" t="s">
        <v>144</v>
      </c>
      <c r="K1294" s="6">
        <f>K1299+K1303+K1306</f>
        <v>19.238683200000001</v>
      </c>
    </row>
    <row r="1295" spans="2:11">
      <c r="B1295" s="2" t="s">
        <v>283</v>
      </c>
      <c r="C1295" s="2" t="s">
        <v>284</v>
      </c>
      <c r="G1295" s="4" t="s">
        <v>122</v>
      </c>
      <c r="H1295" s="4" t="s">
        <v>285</v>
      </c>
      <c r="I1295" s="4" t="s">
        <v>286</v>
      </c>
      <c r="J1295" s="4" t="s">
        <v>287</v>
      </c>
      <c r="K1295" s="4" t="s">
        <v>288</v>
      </c>
    </row>
    <row r="1296" spans="2:11">
      <c r="C1296" s="7" t="s">
        <v>289</v>
      </c>
    </row>
    <row r="1297" spans="2:11">
      <c r="C1297" t="s">
        <v>650</v>
      </c>
      <c r="G1297" s="8" t="s">
        <v>291</v>
      </c>
      <c r="H1297" s="9">
        <v>1</v>
      </c>
      <c r="I1297" s="10">
        <f>H1297*8/$E$1294</f>
        <v>0.08</v>
      </c>
      <c r="J1297" s="12">
        <v>34.729999999999997</v>
      </c>
      <c r="K1297" s="12">
        <f>I1297*J1297</f>
        <v>2.7784</v>
      </c>
    </row>
    <row r="1298" spans="2:11">
      <c r="C1298" t="s">
        <v>290</v>
      </c>
      <c r="G1298" s="8" t="s">
        <v>291</v>
      </c>
      <c r="H1298" s="9">
        <v>0.2</v>
      </c>
      <c r="I1298" s="10">
        <f>H1298*8/$E$1294</f>
        <v>1.6E-2</v>
      </c>
      <c r="J1298" s="12">
        <v>28.94</v>
      </c>
      <c r="K1298" s="12">
        <f>I1298*J1298</f>
        <v>0.46304000000000001</v>
      </c>
    </row>
    <row r="1299" spans="2:11">
      <c r="G1299" s="8"/>
      <c r="H1299" s="9"/>
      <c r="I1299" s="10"/>
      <c r="J1299" s="12"/>
      <c r="K1299" s="6">
        <f>SUM(K1297:K1298)</f>
        <v>3.2414399999999999</v>
      </c>
    </row>
    <row r="1300" spans="2:11">
      <c r="C1300" s="7" t="s">
        <v>294</v>
      </c>
      <c r="G1300" s="8"/>
    </row>
    <row r="1301" spans="2:11">
      <c r="C1301" t="s">
        <v>729</v>
      </c>
      <c r="G1301" s="8" t="s">
        <v>133</v>
      </c>
      <c r="I1301" s="10">
        <v>0.05</v>
      </c>
      <c r="J1301" s="12">
        <v>18</v>
      </c>
      <c r="K1301" s="12">
        <f>I1301*J1301</f>
        <v>0.9</v>
      </c>
    </row>
    <row r="1302" spans="2:11">
      <c r="C1302" t="s">
        <v>730</v>
      </c>
      <c r="G1302" s="8" t="s">
        <v>439</v>
      </c>
      <c r="I1302" s="10">
        <v>0.1</v>
      </c>
      <c r="J1302" s="12">
        <v>150</v>
      </c>
      <c r="K1302" s="12">
        <f>I1302*J1302</f>
        <v>15</v>
      </c>
    </row>
    <row r="1303" spans="2:11">
      <c r="K1303" s="6">
        <f>SUM(K1301:K1302)</f>
        <v>15.9</v>
      </c>
    </row>
    <row r="1304" spans="2:11">
      <c r="C1304" s="7" t="s">
        <v>317</v>
      </c>
    </row>
    <row r="1305" spans="2:11">
      <c r="C1305" t="s">
        <v>310</v>
      </c>
      <c r="G1305" s="8" t="s">
        <v>311</v>
      </c>
      <c r="I1305" s="10">
        <v>3</v>
      </c>
      <c r="J1305" s="12">
        <f>K1299</f>
        <v>3.2414399999999999</v>
      </c>
      <c r="K1305" s="12">
        <f>I1305%*J1305</f>
        <v>9.7243199999999988E-2</v>
      </c>
    </row>
    <row r="1306" spans="2:11">
      <c r="B1306" s="14"/>
      <c r="C1306" s="14"/>
      <c r="D1306" s="14"/>
      <c r="E1306" s="14"/>
      <c r="F1306" s="14"/>
      <c r="G1306" s="14"/>
      <c r="H1306" s="14"/>
      <c r="I1306" s="14"/>
      <c r="J1306" s="14"/>
      <c r="K1306" s="16">
        <f>SUM(K1305)</f>
        <v>9.7243199999999988E-2</v>
      </c>
    </row>
    <row r="1308" spans="2:11">
      <c r="B1308" s="2" t="s">
        <v>277</v>
      </c>
      <c r="C1308" s="2" t="str">
        <f>ESTRUCTURA!A104</f>
        <v>02.04.05.01</v>
      </c>
      <c r="D1308" s="2" t="s">
        <v>83</v>
      </c>
      <c r="E1308" s="2"/>
      <c r="F1308" s="2"/>
      <c r="G1308" s="2"/>
      <c r="H1308" s="2"/>
      <c r="I1308" s="2"/>
      <c r="J1308" s="2"/>
    </row>
    <row r="1309" spans="2:11">
      <c r="B1309" s="2" t="s">
        <v>278</v>
      </c>
      <c r="C1309" s="2" t="s">
        <v>325</v>
      </c>
      <c r="D1309" s="4" t="s">
        <v>280</v>
      </c>
      <c r="E1309" s="5">
        <v>1</v>
      </c>
      <c r="F1309" s="4" t="s">
        <v>281</v>
      </c>
      <c r="G1309" s="5">
        <f>E1309</f>
        <v>1</v>
      </c>
      <c r="H1309" s="2" t="s">
        <v>282</v>
      </c>
      <c r="J1309" s="4" t="s">
        <v>149</v>
      </c>
      <c r="K1309" s="6">
        <f>K1313</f>
        <v>69.41</v>
      </c>
    </row>
    <row r="1310" spans="2:11">
      <c r="B1310" s="2" t="s">
        <v>283</v>
      </c>
      <c r="C1310" s="2" t="s">
        <v>284</v>
      </c>
      <c r="G1310" s="4" t="s">
        <v>122</v>
      </c>
      <c r="H1310" s="4" t="s">
        <v>285</v>
      </c>
      <c r="I1310" s="4" t="s">
        <v>286</v>
      </c>
      <c r="J1310" s="4" t="s">
        <v>287</v>
      </c>
      <c r="K1310" s="4" t="s">
        <v>288</v>
      </c>
    </row>
    <row r="1311" spans="2:11">
      <c r="C1311" s="7" t="s">
        <v>294</v>
      </c>
    </row>
    <row r="1312" spans="2:11">
      <c r="C1312" t="s">
        <v>83</v>
      </c>
      <c r="G1312" s="8" t="s">
        <v>149</v>
      </c>
      <c r="H1312" s="9"/>
      <c r="I1312" s="10">
        <v>1</v>
      </c>
      <c r="J1312">
        <v>69.41</v>
      </c>
      <c r="K1312" s="12">
        <f>I1312*J1312</f>
        <v>69.41</v>
      </c>
    </row>
    <row r="1313" spans="2:23">
      <c r="B1313" s="14"/>
      <c r="C1313" s="14"/>
      <c r="D1313" s="14"/>
      <c r="E1313" s="14"/>
      <c r="F1313" s="14"/>
      <c r="G1313" s="14"/>
      <c r="H1313" s="14"/>
      <c r="I1313" s="14"/>
      <c r="J1313" s="14"/>
      <c r="K1313" s="16">
        <f>SUM(K1312)</f>
        <v>69.41</v>
      </c>
    </row>
    <row r="1315" spans="2:23">
      <c r="B1315" s="2" t="s">
        <v>277</v>
      </c>
      <c r="C1315" s="2" t="str">
        <f>ESTRUCTURA!A106</f>
        <v>02.04.06.01</v>
      </c>
      <c r="D1315" s="2" t="s">
        <v>641</v>
      </c>
      <c r="E1315" s="2"/>
      <c r="N1315" s="31" t="s">
        <v>735</v>
      </c>
      <c r="O1315" s="31"/>
      <c r="P1315" s="31" t="s">
        <v>736</v>
      </c>
      <c r="Q1315" s="31"/>
    </row>
    <row r="1316" spans="2:23">
      <c r="B1316" s="2" t="s">
        <v>278</v>
      </c>
      <c r="C1316" s="2" t="s">
        <v>416</v>
      </c>
      <c r="D1316" s="4" t="s">
        <v>280</v>
      </c>
      <c r="E1316" s="5">
        <v>187.5</v>
      </c>
      <c r="F1316" s="4" t="s">
        <v>281</v>
      </c>
      <c r="G1316" s="5">
        <f>E1316</f>
        <v>187.5</v>
      </c>
      <c r="H1316" s="2" t="s">
        <v>282</v>
      </c>
      <c r="J1316" s="4" t="s">
        <v>203</v>
      </c>
      <c r="K1316" s="6">
        <f>K1322</f>
        <v>1489.7348144000002</v>
      </c>
      <c r="N1316" s="31" t="s">
        <v>278</v>
      </c>
      <c r="O1316" s="31" t="s">
        <v>279</v>
      </c>
      <c r="P1316" s="32" t="s">
        <v>280</v>
      </c>
      <c r="Q1316" s="33">
        <v>10</v>
      </c>
      <c r="R1316" s="32" t="s">
        <v>281</v>
      </c>
      <c r="S1316" s="33">
        <f>Q1316</f>
        <v>10</v>
      </c>
      <c r="T1316" s="31" t="s">
        <v>282</v>
      </c>
      <c r="V1316" s="32" t="s">
        <v>133</v>
      </c>
      <c r="W1316" s="34">
        <f>W1322+W1327+W1330</f>
        <v>76.557780000000008</v>
      </c>
    </row>
    <row r="1317" spans="2:23">
      <c r="B1317" s="2" t="s">
        <v>283</v>
      </c>
      <c r="C1317" s="2" t="s">
        <v>284</v>
      </c>
      <c r="G1317" s="4" t="s">
        <v>122</v>
      </c>
      <c r="H1317" s="4" t="s">
        <v>285</v>
      </c>
      <c r="I1317" s="4" t="s">
        <v>286</v>
      </c>
      <c r="J1317" s="4" t="s">
        <v>287</v>
      </c>
      <c r="K1317" s="4" t="s">
        <v>288</v>
      </c>
      <c r="N1317" s="31" t="s">
        <v>283</v>
      </c>
      <c r="O1317" s="31" t="s">
        <v>284</v>
      </c>
      <c r="S1317" s="32" t="s">
        <v>122</v>
      </c>
      <c r="T1317" s="32" t="s">
        <v>285</v>
      </c>
      <c r="U1317" s="32" t="s">
        <v>286</v>
      </c>
      <c r="V1317" s="32" t="s">
        <v>287</v>
      </c>
      <c r="W1317" s="32" t="s">
        <v>288</v>
      </c>
    </row>
    <row r="1318" spans="2:23">
      <c r="C1318" s="7" t="s">
        <v>737</v>
      </c>
      <c r="O1318" s="35" t="s">
        <v>289</v>
      </c>
    </row>
    <row r="1319" spans="2:23">
      <c r="C1319" t="s">
        <v>736</v>
      </c>
      <c r="G1319" s="8" t="s">
        <v>133</v>
      </c>
      <c r="I1319" s="10">
        <v>6.88</v>
      </c>
      <c r="J1319" s="12">
        <f>W1316</f>
        <v>76.557780000000008</v>
      </c>
      <c r="K1319" s="12">
        <f>I1319*J1319</f>
        <v>526.7175264</v>
      </c>
      <c r="O1319" t="s">
        <v>290</v>
      </c>
      <c r="S1319" s="8" t="s">
        <v>291</v>
      </c>
      <c r="T1319" s="9">
        <v>1</v>
      </c>
      <c r="U1319" s="10">
        <f>T1319*8/$Q$1316</f>
        <v>0.8</v>
      </c>
      <c r="V1319" s="12">
        <v>28.94</v>
      </c>
      <c r="W1319" s="12">
        <f>U1319*V1319</f>
        <v>23.152000000000001</v>
      </c>
    </row>
    <row r="1320" spans="2:23">
      <c r="C1320" t="s">
        <v>738</v>
      </c>
      <c r="G1320" s="8" t="s">
        <v>203</v>
      </c>
      <c r="H1320" s="9"/>
      <c r="I1320" s="10">
        <v>0.95</v>
      </c>
      <c r="J1320" s="12">
        <f>W1333</f>
        <v>469.75504000000001</v>
      </c>
      <c r="K1320" s="12">
        <f>I1320*J1320</f>
        <v>446.26728800000001</v>
      </c>
      <c r="O1320" t="s">
        <v>292</v>
      </c>
      <c r="S1320" s="8" t="s">
        <v>291</v>
      </c>
      <c r="T1320" s="9">
        <v>1</v>
      </c>
      <c r="U1320" s="10">
        <f>T1320*8/$Q$1316</f>
        <v>0.8</v>
      </c>
      <c r="V1320" s="12">
        <v>23.6</v>
      </c>
      <c r="W1320" s="12">
        <f>U1320*V1320</f>
        <v>18.880000000000003</v>
      </c>
    </row>
    <row r="1321" spans="2:23">
      <c r="C1321" t="s">
        <v>739</v>
      </c>
      <c r="G1321" s="8" t="s">
        <v>296</v>
      </c>
      <c r="I1321">
        <v>79.500000000000014</v>
      </c>
      <c r="J1321" s="12">
        <v>6.5</v>
      </c>
      <c r="K1321" s="12">
        <f>I1321*J1321</f>
        <v>516.75000000000011</v>
      </c>
      <c r="O1321" t="s">
        <v>293</v>
      </c>
      <c r="S1321" s="8" t="s">
        <v>291</v>
      </c>
      <c r="T1321" s="9">
        <v>0.5</v>
      </c>
      <c r="U1321" s="10">
        <f>T1321*8/$Q$1316</f>
        <v>0.4</v>
      </c>
      <c r="V1321" s="12">
        <v>21.36</v>
      </c>
      <c r="W1321" s="12">
        <f>U1321*V1321</f>
        <v>8.5440000000000005</v>
      </c>
    </row>
    <row r="1322" spans="2:23">
      <c r="B1322" s="14"/>
      <c r="C1322" s="14"/>
      <c r="D1322" s="14"/>
      <c r="E1322" s="14"/>
      <c r="F1322" s="14"/>
      <c r="G1322" s="14"/>
      <c r="H1322" s="14"/>
      <c r="I1322" s="14"/>
      <c r="J1322" s="15"/>
      <c r="K1322" s="16">
        <f>SUM(K1319:K1321)</f>
        <v>1489.7348144000002</v>
      </c>
      <c r="S1322" s="8"/>
      <c r="T1322" s="9"/>
      <c r="U1322" s="10"/>
      <c r="W1322" s="34">
        <f>SUM(W1319:W1321)</f>
        <v>50.576000000000008</v>
      </c>
    </row>
    <row r="1323" spans="2:23">
      <c r="O1323" s="35" t="s">
        <v>653</v>
      </c>
      <c r="S1323" s="8"/>
      <c r="T1323" s="9"/>
      <c r="U1323" s="10"/>
      <c r="W1323" s="12"/>
    </row>
    <row r="1324" spans="2:23">
      <c r="B1324" s="2" t="s">
        <v>277</v>
      </c>
      <c r="C1324" s="2" t="str">
        <f>ESTRUCTURA!A107</f>
        <v>02.04.06.02</v>
      </c>
      <c r="D1324" s="2" t="s">
        <v>740</v>
      </c>
      <c r="E1324" s="2"/>
      <c r="O1324" t="s">
        <v>688</v>
      </c>
      <c r="S1324" s="8" t="s">
        <v>296</v>
      </c>
      <c r="U1324" s="10">
        <v>0.1</v>
      </c>
      <c r="V1324" s="12">
        <v>2.64</v>
      </c>
      <c r="W1324" s="12">
        <f>U1324*V1324</f>
        <v>0.26400000000000001</v>
      </c>
    </row>
    <row r="1325" spans="2:23">
      <c r="B1325" s="2" t="s">
        <v>278</v>
      </c>
      <c r="C1325" s="2" t="s">
        <v>416</v>
      </c>
      <c r="D1325" s="4" t="s">
        <v>280</v>
      </c>
      <c r="E1325" s="5">
        <v>187.5</v>
      </c>
      <c r="F1325" s="4" t="s">
        <v>281</v>
      </c>
      <c r="G1325" s="5">
        <f>E1325</f>
        <v>187.5</v>
      </c>
      <c r="H1325" s="2" t="s">
        <v>282</v>
      </c>
      <c r="J1325" s="4" t="s">
        <v>203</v>
      </c>
      <c r="K1325" s="6">
        <f>K1331</f>
        <v>1583.5817403999999</v>
      </c>
      <c r="O1325" t="s">
        <v>301</v>
      </c>
      <c r="S1325" s="8" t="s">
        <v>296</v>
      </c>
      <c r="U1325" s="10">
        <v>0.15</v>
      </c>
      <c r="V1325" s="12">
        <v>5.51</v>
      </c>
      <c r="W1325" s="12">
        <f>U1325*V1325</f>
        <v>0.8264999999999999</v>
      </c>
    </row>
    <row r="1326" spans="2:23">
      <c r="B1326" s="2" t="s">
        <v>283</v>
      </c>
      <c r="C1326" s="2" t="s">
        <v>284</v>
      </c>
      <c r="G1326" s="4" t="s">
        <v>122</v>
      </c>
      <c r="H1326" s="4" t="s">
        <v>285</v>
      </c>
      <c r="I1326" s="4" t="s">
        <v>286</v>
      </c>
      <c r="J1326" s="4" t="s">
        <v>287</v>
      </c>
      <c r="K1326" s="4" t="s">
        <v>288</v>
      </c>
      <c r="O1326" t="s">
        <v>669</v>
      </c>
      <c r="S1326" s="8" t="s">
        <v>305</v>
      </c>
      <c r="U1326" s="10">
        <v>4.03</v>
      </c>
      <c r="V1326" s="12">
        <v>5.8</v>
      </c>
      <c r="W1326" s="12">
        <f>U1326*V1326</f>
        <v>23.374000000000002</v>
      </c>
    </row>
    <row r="1327" spans="2:23">
      <c r="C1327" s="7" t="s">
        <v>737</v>
      </c>
      <c r="S1327" s="8"/>
      <c r="U1327" s="10"/>
      <c r="V1327" s="12"/>
      <c r="W1327" s="34">
        <f>SUM(W1324:W1326)</f>
        <v>24.464500000000001</v>
      </c>
    </row>
    <row r="1328" spans="2:23">
      <c r="C1328" t="s">
        <v>741</v>
      </c>
      <c r="G1328" s="8" t="s">
        <v>133</v>
      </c>
      <c r="I1328">
        <v>6.88</v>
      </c>
      <c r="J1328" s="12">
        <f>W1367</f>
        <v>79.243380000000002</v>
      </c>
      <c r="K1328" s="12">
        <f>I1328*J1328</f>
        <v>545.19445440000004</v>
      </c>
      <c r="O1328" s="35" t="s">
        <v>309</v>
      </c>
    </row>
    <row r="1329" spans="2:23">
      <c r="C1329" t="s">
        <v>742</v>
      </c>
      <c r="G1329" s="8" t="s">
        <v>203</v>
      </c>
      <c r="H1329" s="9"/>
      <c r="I1329">
        <v>0.95</v>
      </c>
      <c r="J1329" s="12">
        <f>W1384</f>
        <v>549.09188000000006</v>
      </c>
      <c r="K1329" s="12">
        <f>I1329*J1329</f>
        <v>521.63728600000002</v>
      </c>
      <c r="O1329" t="s">
        <v>310</v>
      </c>
      <c r="S1329" s="8" t="s">
        <v>311</v>
      </c>
      <c r="U1329" s="10">
        <v>3</v>
      </c>
      <c r="V1329" s="12">
        <f>W1322</f>
        <v>50.576000000000008</v>
      </c>
      <c r="W1329" s="12">
        <f>U1329%*V1329</f>
        <v>1.5172800000000002</v>
      </c>
    </row>
    <row r="1330" spans="2:23">
      <c r="C1330" t="s">
        <v>743</v>
      </c>
      <c r="G1330" s="8" t="s">
        <v>296</v>
      </c>
      <c r="I1330">
        <v>79.500000000000014</v>
      </c>
      <c r="J1330" s="12">
        <v>6.5</v>
      </c>
      <c r="K1330" s="12">
        <f>I1330*J1330</f>
        <v>516.75000000000011</v>
      </c>
      <c r="N1330" s="14"/>
      <c r="O1330" s="14"/>
      <c r="P1330" s="14"/>
      <c r="Q1330" s="14"/>
      <c r="R1330" s="14"/>
      <c r="S1330" s="14"/>
      <c r="T1330" s="14"/>
      <c r="U1330" s="14"/>
      <c r="V1330" s="14"/>
      <c r="W1330" s="36">
        <f>SUM(W1329)</f>
        <v>1.5172800000000002</v>
      </c>
    </row>
    <row r="1331" spans="2:23">
      <c r="B1331" s="14"/>
      <c r="C1331" s="14"/>
      <c r="D1331" s="14"/>
      <c r="E1331" s="14"/>
      <c r="F1331" s="14"/>
      <c r="G1331" s="14"/>
      <c r="H1331" s="14"/>
      <c r="I1331" s="14"/>
      <c r="J1331" s="15"/>
      <c r="K1331" s="16">
        <f>SUM(K1328:K1330)</f>
        <v>1583.5817403999999</v>
      </c>
    </row>
    <row r="1332" spans="2:23">
      <c r="N1332" s="31" t="s">
        <v>735</v>
      </c>
      <c r="O1332" s="31"/>
      <c r="P1332" s="31" t="s">
        <v>738</v>
      </c>
      <c r="Q1332" s="31"/>
    </row>
    <row r="1333" spans="2:23">
      <c r="G1333" s="8"/>
      <c r="N1333" s="31" t="s">
        <v>278</v>
      </c>
      <c r="O1333" s="31" t="s">
        <v>416</v>
      </c>
      <c r="P1333" s="32" t="s">
        <v>280</v>
      </c>
      <c r="Q1333" s="33">
        <v>20</v>
      </c>
      <c r="R1333" s="32" t="s">
        <v>281</v>
      </c>
      <c r="S1333" s="33">
        <f>Q1333</f>
        <v>20</v>
      </c>
      <c r="T1333" s="31" t="s">
        <v>282</v>
      </c>
      <c r="V1333" s="32" t="s">
        <v>203</v>
      </c>
      <c r="W1333" s="34">
        <f>W1339+W1344+W1348</f>
        <v>469.75504000000001</v>
      </c>
    </row>
    <row r="1334" spans="2:23">
      <c r="B1334" s="2" t="s">
        <v>277</v>
      </c>
      <c r="C1334" s="2" t="str">
        <f>ESTRUCTURA!A108</f>
        <v>02.04.06.03</v>
      </c>
      <c r="D1334" s="2" t="s">
        <v>645</v>
      </c>
      <c r="E1334" s="2"/>
      <c r="N1334" s="31" t="s">
        <v>283</v>
      </c>
      <c r="O1334" s="31" t="s">
        <v>284</v>
      </c>
      <c r="S1334" s="32" t="s">
        <v>122</v>
      </c>
      <c r="T1334" s="32" t="s">
        <v>285</v>
      </c>
      <c r="U1334" s="32" t="s">
        <v>286</v>
      </c>
      <c r="V1334" s="32" t="s">
        <v>287</v>
      </c>
      <c r="W1334" s="32" t="s">
        <v>288</v>
      </c>
    </row>
    <row r="1335" spans="2:23">
      <c r="B1335" s="2" t="s">
        <v>278</v>
      </c>
      <c r="C1335" s="2" t="s">
        <v>416</v>
      </c>
      <c r="D1335" s="4" t="s">
        <v>280</v>
      </c>
      <c r="E1335" s="5">
        <v>187.5</v>
      </c>
      <c r="F1335" s="4" t="s">
        <v>281</v>
      </c>
      <c r="G1335" s="5">
        <f>E1335</f>
        <v>187.5</v>
      </c>
      <c r="H1335" s="2" t="s">
        <v>282</v>
      </c>
      <c r="J1335" s="4" t="s">
        <v>203</v>
      </c>
      <c r="K1335" s="6">
        <f>K1341</f>
        <v>107.84565577777778</v>
      </c>
      <c r="O1335" s="35" t="s">
        <v>289</v>
      </c>
    </row>
    <row r="1336" spans="2:23">
      <c r="B1336" s="2" t="s">
        <v>283</v>
      </c>
      <c r="C1336" s="2" t="s">
        <v>284</v>
      </c>
      <c r="G1336" s="4" t="s">
        <v>122</v>
      </c>
      <c r="H1336" s="4" t="s">
        <v>285</v>
      </c>
      <c r="I1336" s="4" t="s">
        <v>286</v>
      </c>
      <c r="J1336" s="4" t="s">
        <v>287</v>
      </c>
      <c r="K1336" s="4" t="s">
        <v>288</v>
      </c>
      <c r="O1336" t="s">
        <v>290</v>
      </c>
      <c r="S1336" s="8" t="s">
        <v>291</v>
      </c>
      <c r="T1336" s="9">
        <v>2</v>
      </c>
      <c r="U1336" s="10">
        <f>T1336*8/$Q$1333</f>
        <v>0.8</v>
      </c>
      <c r="V1336" s="12">
        <v>28.94</v>
      </c>
      <c r="W1336" s="12">
        <f>U1336*V1336</f>
        <v>23.152000000000001</v>
      </c>
    </row>
    <row r="1337" spans="2:23">
      <c r="C1337" s="7" t="s">
        <v>737</v>
      </c>
      <c r="O1337" t="s">
        <v>292</v>
      </c>
      <c r="S1337" s="8" t="s">
        <v>291</v>
      </c>
      <c r="T1337" s="9">
        <v>1</v>
      </c>
      <c r="U1337" s="10">
        <f>T1337*8/$Q$1333</f>
        <v>0.4</v>
      </c>
      <c r="V1337" s="12">
        <v>23.6</v>
      </c>
      <c r="W1337" s="12">
        <f>U1337*V1337</f>
        <v>9.4400000000000013</v>
      </c>
    </row>
    <row r="1338" spans="2:23">
      <c r="C1338" t="s">
        <v>744</v>
      </c>
      <c r="G1338" s="8" t="s">
        <v>133</v>
      </c>
      <c r="I1338">
        <v>0.4</v>
      </c>
      <c r="J1338" s="12">
        <f>W1421</f>
        <v>79.016844444444445</v>
      </c>
      <c r="K1338" s="12">
        <f>I1338*J1338</f>
        <v>31.606737777777781</v>
      </c>
      <c r="O1338" t="s">
        <v>293</v>
      </c>
      <c r="S1338" s="8" t="s">
        <v>291</v>
      </c>
      <c r="T1338" s="9">
        <v>4</v>
      </c>
      <c r="U1338" s="10">
        <f>T1338*8/$Q$1333</f>
        <v>1.6</v>
      </c>
      <c r="V1338" s="12">
        <v>21.36</v>
      </c>
      <c r="W1338" s="12">
        <f>U1338*V1338</f>
        <v>34.176000000000002</v>
      </c>
    </row>
    <row r="1339" spans="2:23">
      <c r="C1339" t="s">
        <v>745</v>
      </c>
      <c r="G1339" s="8" t="s">
        <v>203</v>
      </c>
      <c r="I1339">
        <v>0.05</v>
      </c>
      <c r="J1339" s="12">
        <f>W1437</f>
        <v>419.77836000000002</v>
      </c>
      <c r="K1339" s="12">
        <f>I1339*J1339</f>
        <v>20.988918000000002</v>
      </c>
      <c r="S1339" s="8"/>
      <c r="T1339" s="9"/>
      <c r="U1339" s="10"/>
      <c r="W1339" s="34">
        <f>SUM(W1336:W1338)</f>
        <v>66.768000000000001</v>
      </c>
    </row>
    <row r="1340" spans="2:23">
      <c r="C1340" t="s">
        <v>746</v>
      </c>
      <c r="G1340" s="8" t="s">
        <v>296</v>
      </c>
      <c r="H1340" s="9"/>
      <c r="I1340" s="10">
        <v>8.5</v>
      </c>
      <c r="J1340" s="12">
        <v>6.5</v>
      </c>
      <c r="K1340" s="12">
        <f>I1340*J1340</f>
        <v>55.25</v>
      </c>
      <c r="O1340" s="35" t="s">
        <v>653</v>
      </c>
      <c r="S1340" s="8"/>
      <c r="T1340" s="9"/>
      <c r="U1340" s="10"/>
      <c r="W1340" s="12"/>
    </row>
    <row r="1341" spans="2:23">
      <c r="B1341" s="14"/>
      <c r="C1341" s="14"/>
      <c r="D1341" s="14"/>
      <c r="E1341" s="14"/>
      <c r="F1341" s="14"/>
      <c r="G1341" s="14"/>
      <c r="H1341" s="14"/>
      <c r="I1341" s="14"/>
      <c r="J1341" s="15"/>
      <c r="K1341" s="16">
        <f>SUM(K1338:K1340)</f>
        <v>107.84565577777778</v>
      </c>
      <c r="O1341" s="186" t="s">
        <v>721</v>
      </c>
      <c r="S1341" s="8" t="s">
        <v>203</v>
      </c>
      <c r="U1341" s="10">
        <v>0.1</v>
      </c>
      <c r="V1341" s="12">
        <v>24.52</v>
      </c>
      <c r="W1341" s="12">
        <f>U1341*V1341</f>
        <v>2.452</v>
      </c>
    </row>
    <row r="1342" spans="2:23">
      <c r="O1342" s="186" t="s">
        <v>722</v>
      </c>
      <c r="S1342" s="8" t="s">
        <v>203</v>
      </c>
      <c r="U1342" s="10">
        <v>1.02</v>
      </c>
      <c r="V1342" s="12">
        <v>358</v>
      </c>
      <c r="W1342" s="12">
        <f>U1342*V1342</f>
        <v>365.16</v>
      </c>
    </row>
    <row r="1343" spans="2:23">
      <c r="O1343" s="186" t="s">
        <v>723</v>
      </c>
      <c r="S1343" s="8" t="s">
        <v>307</v>
      </c>
      <c r="U1343" s="10">
        <v>1.02</v>
      </c>
      <c r="V1343" s="12">
        <v>30</v>
      </c>
      <c r="W1343" s="12">
        <f>U1343*V1343</f>
        <v>30.6</v>
      </c>
    </row>
    <row r="1344" spans="2:23">
      <c r="G1344" s="8"/>
      <c r="S1344" s="8"/>
      <c r="U1344" s="10"/>
      <c r="V1344" s="12"/>
      <c r="W1344" s="34">
        <f>SUM(W1341:W1343)</f>
        <v>398.21200000000005</v>
      </c>
    </row>
    <row r="1345" spans="7:23">
      <c r="G1345" s="8"/>
      <c r="O1345" s="35" t="s">
        <v>309</v>
      </c>
    </row>
    <row r="1346" spans="7:23">
      <c r="G1346" s="8"/>
      <c r="H1346" s="9"/>
      <c r="I1346" s="10"/>
      <c r="J1346" s="12"/>
      <c r="K1346" s="12"/>
      <c r="O1346" t="s">
        <v>310</v>
      </c>
      <c r="S1346" s="8" t="s">
        <v>311</v>
      </c>
      <c r="U1346" s="10">
        <v>3</v>
      </c>
      <c r="V1346" s="12">
        <f>W1339</f>
        <v>66.768000000000001</v>
      </c>
      <c r="W1346" s="12">
        <f>U1346%*V1346</f>
        <v>2.0030399999999999</v>
      </c>
    </row>
    <row r="1347" spans="7:23">
      <c r="O1347" s="186" t="s">
        <v>724</v>
      </c>
      <c r="S1347" s="8" t="s">
        <v>337</v>
      </c>
      <c r="T1347" s="9">
        <v>1</v>
      </c>
      <c r="U1347" s="10">
        <f>T1347*8/$Q$1333</f>
        <v>0.4</v>
      </c>
      <c r="V1347" s="12">
        <v>6.93</v>
      </c>
      <c r="W1347" s="12">
        <f>U1347*V1347</f>
        <v>2.7720000000000002</v>
      </c>
    </row>
    <row r="1348" spans="7:23">
      <c r="N1348" s="14"/>
      <c r="O1348" s="14"/>
      <c r="P1348" s="14"/>
      <c r="Q1348" s="14"/>
      <c r="R1348" s="14"/>
      <c r="S1348" s="14"/>
      <c r="T1348" s="14"/>
      <c r="U1348" s="14"/>
      <c r="V1348" s="14"/>
      <c r="W1348" s="36">
        <f>SUM(W1346:W1347)</f>
        <v>4.7750400000000006</v>
      </c>
    </row>
    <row r="1350" spans="7:23">
      <c r="N1350" s="31" t="s">
        <v>735</v>
      </c>
      <c r="O1350" s="31"/>
      <c r="P1350" s="31" t="s">
        <v>739</v>
      </c>
      <c r="Q1350" s="31"/>
    </row>
    <row r="1351" spans="7:23">
      <c r="N1351" s="31" t="s">
        <v>278</v>
      </c>
      <c r="O1351" s="31" t="s">
        <v>279</v>
      </c>
      <c r="P1351" s="32" t="s">
        <v>280</v>
      </c>
      <c r="Q1351" s="33">
        <v>250</v>
      </c>
      <c r="R1351" s="32" t="s">
        <v>281</v>
      </c>
      <c r="S1351" s="33">
        <f>Q1351</f>
        <v>250</v>
      </c>
      <c r="T1351" s="31" t="s">
        <v>282</v>
      </c>
      <c r="V1351" s="32" t="s">
        <v>133</v>
      </c>
      <c r="W1351" s="34">
        <f>W1356+W1360+W1364</f>
        <v>8.7959183999999997</v>
      </c>
    </row>
    <row r="1352" spans="7:23">
      <c r="N1352" s="31" t="s">
        <v>283</v>
      </c>
      <c r="O1352" s="31" t="s">
        <v>284</v>
      </c>
      <c r="S1352" s="32" t="s">
        <v>122</v>
      </c>
      <c r="T1352" s="32" t="s">
        <v>285</v>
      </c>
      <c r="U1352" s="32" t="s">
        <v>286</v>
      </c>
      <c r="V1352" s="32" t="s">
        <v>287</v>
      </c>
      <c r="W1352" s="32" t="s">
        <v>288</v>
      </c>
    </row>
    <row r="1353" spans="7:23">
      <c r="O1353" s="35" t="s">
        <v>289</v>
      </c>
    </row>
    <row r="1354" spans="7:23">
      <c r="O1354" t="s">
        <v>290</v>
      </c>
      <c r="S1354" s="8" t="s">
        <v>291</v>
      </c>
      <c r="T1354" s="9">
        <v>1</v>
      </c>
      <c r="U1354" s="10">
        <f>T1354*8/$Q$1351</f>
        <v>3.2000000000000001E-2</v>
      </c>
      <c r="V1354" s="12">
        <v>28.94</v>
      </c>
      <c r="W1354" s="12">
        <f>U1354*V1354</f>
        <v>0.92608000000000001</v>
      </c>
    </row>
    <row r="1355" spans="7:23">
      <c r="O1355" t="s">
        <v>679</v>
      </c>
      <c r="S1355" s="8" t="s">
        <v>291</v>
      </c>
      <c r="T1355" s="9">
        <v>1</v>
      </c>
      <c r="U1355" s="10">
        <f>T1355*8/$Q$1351</f>
        <v>3.2000000000000001E-2</v>
      </c>
      <c r="V1355" s="12">
        <v>23.6</v>
      </c>
      <c r="W1355" s="12">
        <f>U1355*V1355</f>
        <v>0.75520000000000009</v>
      </c>
    </row>
    <row r="1356" spans="7:23">
      <c r="S1356" s="8"/>
      <c r="T1356" s="9"/>
      <c r="W1356" s="34">
        <f>SUM(W1354:W1355)</f>
        <v>1.6812800000000001</v>
      </c>
    </row>
    <row r="1357" spans="7:23">
      <c r="O1357" s="35" t="s">
        <v>294</v>
      </c>
      <c r="S1357" s="8"/>
      <c r="T1357" s="9"/>
      <c r="U1357" s="18"/>
    </row>
    <row r="1358" spans="7:23">
      <c r="O1358" t="s">
        <v>295</v>
      </c>
      <c r="S1358" s="8" t="s">
        <v>296</v>
      </c>
      <c r="T1358" s="9"/>
      <c r="U1358" s="18">
        <v>0.03</v>
      </c>
      <c r="V1358" s="12">
        <v>2.64</v>
      </c>
      <c r="W1358" s="12">
        <f>U1358*V1358</f>
        <v>7.9200000000000007E-2</v>
      </c>
    </row>
    <row r="1359" spans="7:23">
      <c r="O1359" t="s">
        <v>680</v>
      </c>
      <c r="S1359" s="8" t="s">
        <v>296</v>
      </c>
      <c r="T1359" s="9"/>
      <c r="U1359" s="18">
        <v>1.05</v>
      </c>
      <c r="V1359" s="12">
        <v>6.5</v>
      </c>
      <c r="W1359" s="12">
        <f>U1359*V1359</f>
        <v>6.8250000000000002</v>
      </c>
    </row>
    <row r="1360" spans="7:23">
      <c r="S1360" s="8"/>
      <c r="T1360" s="9"/>
      <c r="W1360" s="34">
        <f>SUM(W1358:W1359)</f>
        <v>6.9042000000000003</v>
      </c>
    </row>
    <row r="1361" spans="14:23">
      <c r="O1361" s="35" t="s">
        <v>317</v>
      </c>
      <c r="S1361" s="8"/>
      <c r="T1361" s="9"/>
    </row>
    <row r="1362" spans="14:23">
      <c r="O1362" t="s">
        <v>310</v>
      </c>
      <c r="S1362" s="8" t="s">
        <v>311</v>
      </c>
      <c r="U1362" s="10">
        <v>3</v>
      </c>
      <c r="V1362" s="12">
        <f>W1356</f>
        <v>1.6812800000000001</v>
      </c>
      <c r="W1362" s="12">
        <f>U1362%*V1362</f>
        <v>5.0438400000000001E-2</v>
      </c>
    </row>
    <row r="1363" spans="14:23">
      <c r="O1363" t="s">
        <v>681</v>
      </c>
      <c r="S1363" s="8" t="s">
        <v>291</v>
      </c>
      <c r="T1363" s="9">
        <v>1</v>
      </c>
      <c r="U1363" s="10">
        <f>T1363*8/$Q$1351</f>
        <v>3.2000000000000001E-2</v>
      </c>
      <c r="V1363" s="12">
        <v>5</v>
      </c>
      <c r="W1363" s="12">
        <f>U1363*V1363</f>
        <v>0.16</v>
      </c>
    </row>
    <row r="1364" spans="14:23">
      <c r="N1364" s="14"/>
      <c r="O1364" s="14"/>
      <c r="P1364" s="14"/>
      <c r="Q1364" s="14"/>
      <c r="R1364" s="14"/>
      <c r="S1364" s="14"/>
      <c r="T1364" s="14"/>
      <c r="U1364" s="14"/>
      <c r="V1364" s="14"/>
      <c r="W1364" s="36">
        <f>SUM(W1362:W1363)</f>
        <v>0.2104384</v>
      </c>
    </row>
    <row r="1365" spans="14:23">
      <c r="S1365" s="8"/>
      <c r="U1365" s="10"/>
      <c r="W1365" s="12"/>
    </row>
    <row r="1366" spans="14:23">
      <c r="N1366" s="31" t="s">
        <v>735</v>
      </c>
      <c r="O1366" s="31"/>
      <c r="P1366" s="31" t="s">
        <v>747</v>
      </c>
      <c r="Q1366" s="31"/>
    </row>
    <row r="1367" spans="14:23">
      <c r="N1367" s="31" t="s">
        <v>278</v>
      </c>
      <c r="O1367" s="31" t="s">
        <v>279</v>
      </c>
      <c r="P1367" s="32" t="s">
        <v>280</v>
      </c>
      <c r="Q1367" s="33">
        <v>20</v>
      </c>
      <c r="R1367" s="32" t="s">
        <v>281</v>
      </c>
      <c r="S1367" s="33">
        <f>Q1367</f>
        <v>20</v>
      </c>
      <c r="T1367" s="31" t="s">
        <v>282</v>
      </c>
      <c r="V1367" s="32" t="s">
        <v>133</v>
      </c>
      <c r="W1367" s="34">
        <f>W1373+W1378+W1381</f>
        <v>79.243380000000002</v>
      </c>
    </row>
    <row r="1368" spans="14:23">
      <c r="N1368" s="31" t="s">
        <v>283</v>
      </c>
      <c r="O1368" s="31" t="s">
        <v>284</v>
      </c>
      <c r="S1368" s="32" t="s">
        <v>122</v>
      </c>
      <c r="T1368" s="32" t="s">
        <v>285</v>
      </c>
      <c r="U1368" s="32" t="s">
        <v>286</v>
      </c>
      <c r="V1368" s="32" t="s">
        <v>287</v>
      </c>
      <c r="W1368" s="32" t="s">
        <v>288</v>
      </c>
    </row>
    <row r="1369" spans="14:23">
      <c r="O1369" s="35" t="s">
        <v>289</v>
      </c>
    </row>
    <row r="1370" spans="14:23">
      <c r="O1370" t="s">
        <v>290</v>
      </c>
      <c r="S1370" s="8" t="s">
        <v>291</v>
      </c>
      <c r="T1370" s="9">
        <v>2</v>
      </c>
      <c r="U1370" s="10">
        <f>T1370*8/$Q$1367</f>
        <v>0.8</v>
      </c>
      <c r="V1370" s="12">
        <v>28.94</v>
      </c>
      <c r="W1370" s="12">
        <f>U1370*V1370</f>
        <v>23.152000000000001</v>
      </c>
    </row>
    <row r="1371" spans="14:23">
      <c r="O1371" t="s">
        <v>292</v>
      </c>
      <c r="S1371" s="8" t="s">
        <v>291</v>
      </c>
      <c r="T1371" s="9">
        <v>2</v>
      </c>
      <c r="U1371" s="10">
        <f>T1371*8/$Q$1367</f>
        <v>0.8</v>
      </c>
      <c r="V1371" s="12">
        <v>23.6</v>
      </c>
      <c r="W1371" s="12">
        <f>U1371*V1371</f>
        <v>18.880000000000003</v>
      </c>
    </row>
    <row r="1372" spans="14:23">
      <c r="O1372" t="s">
        <v>293</v>
      </c>
      <c r="S1372" s="8" t="s">
        <v>291</v>
      </c>
      <c r="T1372" s="9">
        <v>1</v>
      </c>
      <c r="U1372" s="10">
        <f>T1372*8/$Q$1367</f>
        <v>0.4</v>
      </c>
      <c r="V1372" s="12">
        <v>21.36</v>
      </c>
      <c r="W1372" s="12">
        <f>U1372*V1372</f>
        <v>8.5440000000000005</v>
      </c>
    </row>
    <row r="1373" spans="14:23">
      <c r="S1373" s="8"/>
      <c r="T1373" s="9"/>
      <c r="U1373" s="10"/>
      <c r="W1373" s="34">
        <f>SUM(W1370:W1372)</f>
        <v>50.576000000000008</v>
      </c>
    </row>
    <row r="1374" spans="14:23">
      <c r="O1374" s="35" t="s">
        <v>653</v>
      </c>
      <c r="S1374" s="8"/>
      <c r="T1374" s="9"/>
      <c r="U1374" s="10"/>
      <c r="W1374" s="12"/>
    </row>
    <row r="1375" spans="14:23">
      <c r="O1375" t="s">
        <v>688</v>
      </c>
      <c r="S1375" s="8" t="s">
        <v>296</v>
      </c>
      <c r="U1375" s="10">
        <v>0.3</v>
      </c>
      <c r="V1375" s="12">
        <v>2.64</v>
      </c>
      <c r="W1375" s="12">
        <f>U1375*V1375</f>
        <v>0.79200000000000004</v>
      </c>
    </row>
    <row r="1376" spans="14:23">
      <c r="O1376" t="s">
        <v>301</v>
      </c>
      <c r="S1376" s="8" t="s">
        <v>296</v>
      </c>
      <c r="U1376" s="10">
        <v>0.31</v>
      </c>
      <c r="V1376" s="12">
        <v>5.51</v>
      </c>
      <c r="W1376" s="12">
        <f>U1376*V1376</f>
        <v>1.7081</v>
      </c>
    </row>
    <row r="1377" spans="14:23">
      <c r="O1377" t="s">
        <v>669</v>
      </c>
      <c r="S1377" s="8" t="s">
        <v>305</v>
      </c>
      <c r="U1377" s="10">
        <v>4.25</v>
      </c>
      <c r="V1377" s="12">
        <v>5.8</v>
      </c>
      <c r="W1377" s="12">
        <f>U1377*V1377</f>
        <v>24.65</v>
      </c>
    </row>
    <row r="1378" spans="14:23">
      <c r="S1378" s="8"/>
      <c r="U1378" s="10"/>
      <c r="V1378" s="12"/>
      <c r="W1378" s="34">
        <f>SUM(W1375:W1377)</f>
        <v>27.150099999999998</v>
      </c>
    </row>
    <row r="1379" spans="14:23">
      <c r="O1379" s="35" t="s">
        <v>309</v>
      </c>
    </row>
    <row r="1380" spans="14:23">
      <c r="O1380" t="s">
        <v>310</v>
      </c>
      <c r="S1380" s="8" t="s">
        <v>311</v>
      </c>
      <c r="U1380" s="10">
        <v>3</v>
      </c>
      <c r="V1380" s="12">
        <f>W1373</f>
        <v>50.576000000000008</v>
      </c>
      <c r="W1380" s="12">
        <f>U1380%*V1380</f>
        <v>1.5172800000000002</v>
      </c>
    </row>
    <row r="1381" spans="14:23">
      <c r="N1381" s="14"/>
      <c r="O1381" s="14"/>
      <c r="P1381" s="14"/>
      <c r="Q1381" s="14"/>
      <c r="R1381" s="14"/>
      <c r="S1381" s="14"/>
      <c r="T1381" s="14"/>
      <c r="U1381" s="14"/>
      <c r="V1381" s="14"/>
      <c r="W1381" s="36">
        <f>SUM(W1380)</f>
        <v>1.5172800000000002</v>
      </c>
    </row>
    <row r="1382" spans="14:23">
      <c r="S1382" s="8"/>
      <c r="U1382" s="10"/>
      <c r="W1382" s="12"/>
    </row>
    <row r="1383" spans="14:23">
      <c r="N1383" s="31" t="s">
        <v>735</v>
      </c>
      <c r="O1383" s="31"/>
      <c r="P1383" s="31" t="s">
        <v>748</v>
      </c>
      <c r="Q1383" s="31"/>
    </row>
    <row r="1384" spans="14:23">
      <c r="N1384" s="31" t="s">
        <v>278</v>
      </c>
      <c r="O1384" s="31" t="s">
        <v>416</v>
      </c>
      <c r="P1384" s="32" t="s">
        <v>280</v>
      </c>
      <c r="Q1384" s="33">
        <v>10</v>
      </c>
      <c r="R1384" s="32" t="s">
        <v>281</v>
      </c>
      <c r="S1384" s="33">
        <f>Q1384</f>
        <v>10</v>
      </c>
      <c r="T1384" s="31" t="s">
        <v>282</v>
      </c>
      <c r="V1384" s="32" t="s">
        <v>203</v>
      </c>
      <c r="W1384" s="34">
        <f>W1390+W1397+W1402</f>
        <v>549.09188000000006</v>
      </c>
    </row>
    <row r="1385" spans="14:23">
      <c r="N1385" s="31" t="s">
        <v>283</v>
      </c>
      <c r="O1385" s="31" t="s">
        <v>284</v>
      </c>
      <c r="S1385" s="32" t="s">
        <v>122</v>
      </c>
      <c r="T1385" s="32" t="s">
        <v>285</v>
      </c>
      <c r="U1385" s="32" t="s">
        <v>286</v>
      </c>
      <c r="V1385" s="32" t="s">
        <v>287</v>
      </c>
      <c r="W1385" s="32" t="s">
        <v>288</v>
      </c>
    </row>
    <row r="1386" spans="14:23">
      <c r="O1386" s="35" t="s">
        <v>289</v>
      </c>
    </row>
    <row r="1387" spans="14:23">
      <c r="O1387" t="s">
        <v>290</v>
      </c>
      <c r="S1387" s="8" t="s">
        <v>291</v>
      </c>
      <c r="T1387" s="9">
        <v>2</v>
      </c>
      <c r="U1387" s="10">
        <f>T1387*8/$Q$1384</f>
        <v>1.6</v>
      </c>
      <c r="V1387" s="12">
        <v>28.94</v>
      </c>
      <c r="W1387" s="12">
        <f>U1387*V1387</f>
        <v>46.304000000000002</v>
      </c>
    </row>
    <row r="1388" spans="14:23">
      <c r="O1388" t="s">
        <v>292</v>
      </c>
      <c r="S1388" s="8" t="s">
        <v>291</v>
      </c>
      <c r="T1388" s="9">
        <v>2</v>
      </c>
      <c r="U1388" s="10">
        <f>T1388*8/$Q$1384</f>
        <v>1.6</v>
      </c>
      <c r="V1388" s="12">
        <v>23.6</v>
      </c>
      <c r="W1388" s="12">
        <f>U1388*V1388</f>
        <v>37.760000000000005</v>
      </c>
    </row>
    <row r="1389" spans="14:23">
      <c r="O1389" t="s">
        <v>293</v>
      </c>
      <c r="S1389" s="8" t="s">
        <v>291</v>
      </c>
      <c r="T1389" s="9">
        <v>8</v>
      </c>
      <c r="U1389" s="10">
        <f>T1389*8/$Q$1384</f>
        <v>6.4</v>
      </c>
      <c r="V1389" s="12">
        <v>21.36</v>
      </c>
      <c r="W1389" s="12">
        <f>U1389*V1389</f>
        <v>136.70400000000001</v>
      </c>
    </row>
    <row r="1390" spans="14:23">
      <c r="S1390" s="8"/>
      <c r="T1390" s="9"/>
      <c r="U1390" s="10"/>
      <c r="W1390" s="34">
        <f>SUM(W1387:W1389)</f>
        <v>220.76800000000003</v>
      </c>
    </row>
    <row r="1391" spans="14:23">
      <c r="O1391" s="35" t="s">
        <v>653</v>
      </c>
      <c r="S1391" s="8"/>
      <c r="T1391" s="9"/>
      <c r="U1391" s="10"/>
      <c r="W1391" s="12"/>
    </row>
    <row r="1392" spans="14:23">
      <c r="O1392" t="s">
        <v>672</v>
      </c>
      <c r="S1392" s="8" t="s">
        <v>203</v>
      </c>
      <c r="U1392" s="10">
        <v>0.53</v>
      </c>
      <c r="V1392" s="12">
        <v>55.08</v>
      </c>
      <c r="W1392" s="12">
        <f>U1392*V1392</f>
        <v>29.192399999999999</v>
      </c>
    </row>
    <row r="1393" spans="14:23">
      <c r="O1393" t="s">
        <v>673</v>
      </c>
      <c r="S1393" s="8" t="s">
        <v>203</v>
      </c>
      <c r="U1393" s="10">
        <v>0.52</v>
      </c>
      <c r="V1393" s="12">
        <v>47</v>
      </c>
      <c r="W1393" s="12">
        <f>U1393*V1393</f>
        <v>24.44</v>
      </c>
    </row>
    <row r="1394" spans="14:23">
      <c r="O1394" t="s">
        <v>306</v>
      </c>
      <c r="S1394" s="8" t="s">
        <v>307</v>
      </c>
      <c r="U1394" s="10">
        <v>9.73</v>
      </c>
      <c r="V1394" s="12">
        <v>24.52</v>
      </c>
      <c r="W1394" s="12">
        <f>U1394*V1394</f>
        <v>238.5796</v>
      </c>
    </row>
    <row r="1395" spans="14:23">
      <c r="O1395" t="s">
        <v>655</v>
      </c>
      <c r="S1395" s="8" t="s">
        <v>203</v>
      </c>
      <c r="U1395" s="10">
        <v>0.186</v>
      </c>
      <c r="V1395">
        <v>6.14</v>
      </c>
      <c r="W1395" s="12">
        <f>U1395*V1395</f>
        <v>1.1420399999999999</v>
      </c>
    </row>
    <row r="1396" spans="14:23">
      <c r="O1396" t="s">
        <v>665</v>
      </c>
      <c r="S1396" s="8" t="s">
        <v>439</v>
      </c>
      <c r="U1396" s="10">
        <v>0.36</v>
      </c>
      <c r="V1396">
        <v>13.93</v>
      </c>
      <c r="W1396" s="12">
        <f>U1396*V1396</f>
        <v>5.0148000000000001</v>
      </c>
    </row>
    <row r="1397" spans="14:23">
      <c r="S1397" s="8"/>
      <c r="U1397" s="10"/>
      <c r="V1397" s="12"/>
      <c r="W1397" s="34">
        <f>SUM(W1392:W1396)</f>
        <v>298.36883999999998</v>
      </c>
    </row>
    <row r="1398" spans="14:23">
      <c r="O1398" s="35" t="s">
        <v>309</v>
      </c>
    </row>
    <row r="1399" spans="14:23">
      <c r="O1399" t="s">
        <v>310</v>
      </c>
      <c r="S1399" s="8" t="s">
        <v>311</v>
      </c>
      <c r="U1399" s="10">
        <v>3</v>
      </c>
      <c r="V1399" s="12">
        <f>W1390</f>
        <v>220.76800000000003</v>
      </c>
      <c r="W1399" s="12">
        <f>U1399%*V1399</f>
        <v>6.6230400000000005</v>
      </c>
    </row>
    <row r="1400" spans="14:23">
      <c r="O1400" t="s">
        <v>667</v>
      </c>
      <c r="S1400" s="8" t="s">
        <v>337</v>
      </c>
      <c r="T1400" s="9">
        <v>1</v>
      </c>
      <c r="U1400" s="10">
        <f>T1400*8/$Q$1384</f>
        <v>0.8</v>
      </c>
      <c r="V1400" s="12">
        <v>25.63</v>
      </c>
      <c r="W1400" s="12">
        <f>U1400*V1400</f>
        <v>20.504000000000001</v>
      </c>
    </row>
    <row r="1401" spans="14:23">
      <c r="O1401" t="s">
        <v>675</v>
      </c>
      <c r="S1401" s="8" t="s">
        <v>337</v>
      </c>
      <c r="T1401" s="9">
        <v>0.5</v>
      </c>
      <c r="U1401" s="10">
        <f>T1401*8/$Q$1384</f>
        <v>0.4</v>
      </c>
      <c r="V1401" s="12">
        <v>7.07</v>
      </c>
      <c r="W1401" s="12">
        <f>U1401*V1401</f>
        <v>2.8280000000000003</v>
      </c>
    </row>
    <row r="1402" spans="14:23">
      <c r="N1402" s="14"/>
      <c r="O1402" s="14"/>
      <c r="P1402" s="14"/>
      <c r="Q1402" s="14"/>
      <c r="R1402" s="14"/>
      <c r="S1402" s="14"/>
      <c r="T1402" s="14"/>
      <c r="U1402" s="14"/>
      <c r="V1402" s="14"/>
      <c r="W1402" s="36">
        <f>SUM(W1399:W1401)</f>
        <v>29.95504</v>
      </c>
    </row>
    <row r="1403" spans="14:23">
      <c r="S1403" s="8"/>
      <c r="U1403" s="10"/>
      <c r="W1403" s="12"/>
    </row>
    <row r="1404" spans="14:23">
      <c r="N1404" s="31" t="s">
        <v>735</v>
      </c>
      <c r="O1404" s="31"/>
      <c r="P1404" s="31" t="s">
        <v>749</v>
      </c>
      <c r="Q1404" s="31"/>
    </row>
    <row r="1405" spans="14:23">
      <c r="N1405" s="31" t="s">
        <v>278</v>
      </c>
      <c r="O1405" s="31" t="s">
        <v>279</v>
      </c>
      <c r="P1405" s="32" t="s">
        <v>280</v>
      </c>
      <c r="Q1405" s="33">
        <v>250</v>
      </c>
      <c r="R1405" s="32" t="s">
        <v>281</v>
      </c>
      <c r="S1405" s="33">
        <f>Q1405</f>
        <v>250</v>
      </c>
      <c r="T1405" s="31" t="s">
        <v>282</v>
      </c>
      <c r="V1405" s="32" t="s">
        <v>133</v>
      </c>
      <c r="W1405" s="34">
        <f>W1410+W1414+W1418</f>
        <v>8.7959183999999997</v>
      </c>
    </row>
    <row r="1406" spans="14:23">
      <c r="N1406" s="31" t="s">
        <v>283</v>
      </c>
      <c r="O1406" s="31" t="s">
        <v>284</v>
      </c>
      <c r="S1406" s="32" t="s">
        <v>122</v>
      </c>
      <c r="T1406" s="32" t="s">
        <v>285</v>
      </c>
      <c r="U1406" s="32" t="s">
        <v>286</v>
      </c>
      <c r="V1406" s="32" t="s">
        <v>287</v>
      </c>
      <c r="W1406" s="32" t="s">
        <v>288</v>
      </c>
    </row>
    <row r="1407" spans="14:23">
      <c r="O1407" s="35" t="s">
        <v>289</v>
      </c>
    </row>
    <row r="1408" spans="14:23">
      <c r="O1408" t="s">
        <v>290</v>
      </c>
      <c r="S1408" s="8" t="s">
        <v>291</v>
      </c>
      <c r="T1408" s="9">
        <v>1</v>
      </c>
      <c r="U1408" s="10">
        <f>T1408*8/$Q$1405</f>
        <v>3.2000000000000001E-2</v>
      </c>
      <c r="V1408" s="12">
        <v>28.94</v>
      </c>
      <c r="W1408" s="12">
        <f>U1408*V1408</f>
        <v>0.92608000000000001</v>
      </c>
    </row>
    <row r="1409" spans="14:23">
      <c r="O1409" t="s">
        <v>679</v>
      </c>
      <c r="S1409" s="8" t="s">
        <v>291</v>
      </c>
      <c r="T1409" s="9">
        <v>1</v>
      </c>
      <c r="U1409" s="10">
        <f>T1409*8/$Q$1405</f>
        <v>3.2000000000000001E-2</v>
      </c>
      <c r="V1409" s="12">
        <v>23.6</v>
      </c>
      <c r="W1409" s="12">
        <f>U1409*V1409</f>
        <v>0.75520000000000009</v>
      </c>
    </row>
    <row r="1410" spans="14:23">
      <c r="S1410" s="8"/>
      <c r="T1410" s="9"/>
      <c r="W1410" s="34">
        <f>SUM(W1408:W1409)</f>
        <v>1.6812800000000001</v>
      </c>
    </row>
    <row r="1411" spans="14:23">
      <c r="O1411" s="35" t="s">
        <v>294</v>
      </c>
      <c r="S1411" s="8"/>
      <c r="T1411" s="9"/>
      <c r="U1411" s="18"/>
    </row>
    <row r="1412" spans="14:23">
      <c r="O1412" t="s">
        <v>295</v>
      </c>
      <c r="S1412" s="8" t="s">
        <v>296</v>
      </c>
      <c r="T1412" s="9"/>
      <c r="U1412" s="18">
        <v>0.03</v>
      </c>
      <c r="V1412" s="12">
        <v>2.64</v>
      </c>
      <c r="W1412" s="12">
        <f>U1412*V1412</f>
        <v>7.9200000000000007E-2</v>
      </c>
    </row>
    <row r="1413" spans="14:23">
      <c r="O1413" t="s">
        <v>680</v>
      </c>
      <c r="S1413" s="8" t="s">
        <v>296</v>
      </c>
      <c r="T1413" s="9"/>
      <c r="U1413" s="18">
        <v>1.05</v>
      </c>
      <c r="V1413" s="12">
        <v>6.5</v>
      </c>
      <c r="W1413" s="12">
        <f>U1413*V1413</f>
        <v>6.8250000000000002</v>
      </c>
    </row>
    <row r="1414" spans="14:23">
      <c r="S1414" s="8"/>
      <c r="T1414" s="9"/>
      <c r="W1414" s="34">
        <f>SUM(W1412:W1413)</f>
        <v>6.9042000000000003</v>
      </c>
    </row>
    <row r="1415" spans="14:23">
      <c r="O1415" s="35" t="s">
        <v>317</v>
      </c>
      <c r="S1415" s="8"/>
      <c r="T1415" s="9"/>
    </row>
    <row r="1416" spans="14:23">
      <c r="O1416" t="s">
        <v>310</v>
      </c>
      <c r="S1416" s="8" t="s">
        <v>311</v>
      </c>
      <c r="U1416" s="10">
        <v>3</v>
      </c>
      <c r="V1416" s="12">
        <f>W1410</f>
        <v>1.6812800000000001</v>
      </c>
      <c r="W1416" s="12">
        <f>U1416%*V1416</f>
        <v>5.0438400000000001E-2</v>
      </c>
    </row>
    <row r="1417" spans="14:23">
      <c r="O1417" t="s">
        <v>681</v>
      </c>
      <c r="S1417" s="8" t="s">
        <v>291</v>
      </c>
      <c r="T1417" s="9">
        <v>1</v>
      </c>
      <c r="U1417" s="10">
        <f>T1417*8/$Q$1405</f>
        <v>3.2000000000000001E-2</v>
      </c>
      <c r="V1417" s="12">
        <v>5</v>
      </c>
      <c r="W1417" s="12">
        <f>U1417*V1417</f>
        <v>0.16</v>
      </c>
    </row>
    <row r="1418" spans="14:23">
      <c r="N1418" s="14"/>
      <c r="O1418" s="14"/>
      <c r="P1418" s="14"/>
      <c r="Q1418" s="14"/>
      <c r="R1418" s="14"/>
      <c r="S1418" s="14"/>
      <c r="T1418" s="14"/>
      <c r="U1418" s="14"/>
      <c r="V1418" s="14"/>
      <c r="W1418" s="36">
        <f>SUM(W1416:W1417)</f>
        <v>0.2104384</v>
      </c>
    </row>
    <row r="1419" spans="14:23">
      <c r="W1419" s="34"/>
    </row>
    <row r="1420" spans="14:23">
      <c r="N1420" s="31" t="s">
        <v>735</v>
      </c>
      <c r="O1420" s="31"/>
      <c r="P1420" s="31" t="s">
        <v>750</v>
      </c>
      <c r="Q1420" s="31"/>
    </row>
    <row r="1421" spans="14:23">
      <c r="N1421" s="31" t="s">
        <v>278</v>
      </c>
      <c r="O1421" s="31" t="s">
        <v>279</v>
      </c>
      <c r="P1421" s="32" t="s">
        <v>280</v>
      </c>
      <c r="Q1421" s="33">
        <v>18</v>
      </c>
      <c r="R1421" s="32" t="s">
        <v>281</v>
      </c>
      <c r="S1421" s="33">
        <f>Q1421</f>
        <v>18</v>
      </c>
      <c r="T1421" s="31" t="s">
        <v>282</v>
      </c>
      <c r="V1421" s="32" t="s">
        <v>133</v>
      </c>
      <c r="W1421" s="34">
        <f>W1426+W1431+W1434</f>
        <v>79.016844444444445</v>
      </c>
    </row>
    <row r="1422" spans="14:23">
      <c r="N1422" s="31" t="s">
        <v>283</v>
      </c>
      <c r="O1422" s="31" t="s">
        <v>284</v>
      </c>
      <c r="S1422" s="32" t="s">
        <v>122</v>
      </c>
      <c r="T1422" s="32" t="s">
        <v>285</v>
      </c>
      <c r="U1422" s="32" t="s">
        <v>286</v>
      </c>
      <c r="V1422" s="32" t="s">
        <v>287</v>
      </c>
      <c r="W1422" s="32" t="s">
        <v>288</v>
      </c>
    </row>
    <row r="1423" spans="14:23">
      <c r="O1423" s="35" t="s">
        <v>289</v>
      </c>
    </row>
    <row r="1424" spans="14:23">
      <c r="O1424" t="s">
        <v>290</v>
      </c>
      <c r="S1424" s="8" t="s">
        <v>291</v>
      </c>
      <c r="T1424" s="9">
        <v>2</v>
      </c>
      <c r="U1424" s="10">
        <f>T1424*8/$Q$1421</f>
        <v>0.88888888888888884</v>
      </c>
      <c r="V1424" s="12">
        <v>28.94</v>
      </c>
      <c r="W1424" s="12">
        <f>U1424*V1424</f>
        <v>25.724444444444444</v>
      </c>
    </row>
    <row r="1425" spans="14:23">
      <c r="O1425" t="s">
        <v>293</v>
      </c>
      <c r="S1425" s="8" t="s">
        <v>291</v>
      </c>
      <c r="T1425" s="9">
        <v>2</v>
      </c>
      <c r="U1425" s="10">
        <f>T1425*8/$Q$1421</f>
        <v>0.88888888888888884</v>
      </c>
      <c r="V1425" s="12">
        <v>21.36</v>
      </c>
      <c r="W1425" s="12">
        <f>U1425*V1425</f>
        <v>18.986666666666665</v>
      </c>
    </row>
    <row r="1426" spans="14:23">
      <c r="S1426" s="8"/>
      <c r="T1426" s="9"/>
      <c r="U1426" s="10"/>
      <c r="V1426" s="12"/>
      <c r="W1426" s="34">
        <f>SUM(W1424:W1425)</f>
        <v>44.711111111111109</v>
      </c>
    </row>
    <row r="1427" spans="14:23">
      <c r="O1427" s="35" t="s">
        <v>653</v>
      </c>
      <c r="S1427" s="8"/>
      <c r="T1427" s="9"/>
      <c r="U1427" s="10"/>
      <c r="W1427" s="12"/>
    </row>
    <row r="1428" spans="14:23">
      <c r="O1428" t="s">
        <v>688</v>
      </c>
      <c r="S1428" s="8" t="s">
        <v>296</v>
      </c>
      <c r="U1428" s="10">
        <v>0.1</v>
      </c>
      <c r="V1428" s="12">
        <v>2.64</v>
      </c>
      <c r="W1428" s="12">
        <f>U1428*V1428</f>
        <v>0.26400000000000001</v>
      </c>
    </row>
    <row r="1429" spans="14:23">
      <c r="O1429" t="s">
        <v>301</v>
      </c>
      <c r="S1429" s="8" t="s">
        <v>296</v>
      </c>
      <c r="U1429" s="10">
        <v>0.24</v>
      </c>
      <c r="V1429" s="12">
        <v>5.51</v>
      </c>
      <c r="W1429" s="12">
        <f>U1429*V1429</f>
        <v>1.3223999999999998</v>
      </c>
    </row>
    <row r="1430" spans="14:23">
      <c r="O1430" t="s">
        <v>669</v>
      </c>
      <c r="S1430" s="8" t="s">
        <v>305</v>
      </c>
      <c r="U1430" s="10">
        <v>5.41</v>
      </c>
      <c r="V1430" s="12">
        <v>5.8</v>
      </c>
      <c r="W1430" s="12">
        <f>U1430*V1430</f>
        <v>31.378</v>
      </c>
    </row>
    <row r="1431" spans="14:23">
      <c r="S1431" s="8"/>
      <c r="U1431" s="10"/>
      <c r="V1431" s="12"/>
      <c r="W1431" s="34">
        <f>SUM(W1428:W1430)</f>
        <v>32.964399999999998</v>
      </c>
    </row>
    <row r="1432" spans="14:23">
      <c r="O1432" s="35" t="s">
        <v>309</v>
      </c>
    </row>
    <row r="1433" spans="14:23">
      <c r="O1433" t="s">
        <v>310</v>
      </c>
      <c r="S1433" s="8" t="s">
        <v>311</v>
      </c>
      <c r="U1433" s="10">
        <v>3</v>
      </c>
      <c r="V1433" s="12">
        <f>W1426</f>
        <v>44.711111111111109</v>
      </c>
      <c r="W1433" s="12">
        <f>U1433%*V1433</f>
        <v>1.3413333333333333</v>
      </c>
    </row>
    <row r="1434" spans="14:23">
      <c r="N1434" s="14"/>
      <c r="O1434" s="14"/>
      <c r="P1434" s="14"/>
      <c r="Q1434" s="14"/>
      <c r="R1434" s="14"/>
      <c r="S1434" s="14"/>
      <c r="T1434" s="14"/>
      <c r="U1434" s="14"/>
      <c r="V1434" s="14"/>
      <c r="W1434" s="36">
        <f>SUM(W1433)</f>
        <v>1.3413333333333333</v>
      </c>
    </row>
    <row r="1435" spans="14:23">
      <c r="W1435" s="34"/>
    </row>
    <row r="1436" spans="14:23">
      <c r="N1436" s="31" t="s">
        <v>735</v>
      </c>
      <c r="O1436" s="31"/>
      <c r="P1436" s="31" t="s">
        <v>751</v>
      </c>
      <c r="Q1436" s="31"/>
    </row>
    <row r="1437" spans="14:23">
      <c r="N1437" s="31" t="s">
        <v>278</v>
      </c>
      <c r="O1437" s="31" t="s">
        <v>416</v>
      </c>
      <c r="P1437" s="32" t="s">
        <v>280</v>
      </c>
      <c r="Q1437" s="33">
        <v>20</v>
      </c>
      <c r="R1437" s="32" t="s">
        <v>281</v>
      </c>
      <c r="S1437" s="33">
        <f>Q1437</f>
        <v>20</v>
      </c>
      <c r="T1437" s="31" t="s">
        <v>282</v>
      </c>
      <c r="V1437" s="32" t="s">
        <v>203</v>
      </c>
      <c r="W1437" s="34">
        <f>W1443+W1450+W1456</f>
        <v>419.77836000000002</v>
      </c>
    </row>
    <row r="1438" spans="14:23">
      <c r="N1438" s="31" t="s">
        <v>283</v>
      </c>
      <c r="O1438" s="31" t="s">
        <v>284</v>
      </c>
      <c r="S1438" s="32" t="s">
        <v>122</v>
      </c>
      <c r="T1438" s="32" t="s">
        <v>285</v>
      </c>
      <c r="U1438" s="32" t="s">
        <v>286</v>
      </c>
      <c r="V1438" s="32" t="s">
        <v>287</v>
      </c>
      <c r="W1438" s="32" t="s">
        <v>288</v>
      </c>
    </row>
    <row r="1439" spans="14:23">
      <c r="O1439" s="35" t="s">
        <v>289</v>
      </c>
    </row>
    <row r="1440" spans="14:23">
      <c r="O1440" t="s">
        <v>290</v>
      </c>
      <c r="S1440" s="8" t="s">
        <v>291</v>
      </c>
      <c r="T1440" s="9">
        <v>2</v>
      </c>
      <c r="U1440" s="10">
        <f>T1440*8/$Q$1437</f>
        <v>0.8</v>
      </c>
      <c r="V1440" s="12">
        <v>28.94</v>
      </c>
      <c r="W1440" s="12">
        <f>U1440*V1440</f>
        <v>23.152000000000001</v>
      </c>
    </row>
    <row r="1441" spans="14:23">
      <c r="O1441" t="s">
        <v>292</v>
      </c>
      <c r="S1441" s="8" t="s">
        <v>291</v>
      </c>
      <c r="T1441" s="9">
        <v>1</v>
      </c>
      <c r="U1441" s="10">
        <f>T1441*8/$Q$1437</f>
        <v>0.4</v>
      </c>
      <c r="V1441" s="12">
        <v>23.6</v>
      </c>
      <c r="W1441" s="12">
        <f>U1441*V1441</f>
        <v>9.4400000000000013</v>
      </c>
    </row>
    <row r="1442" spans="14:23">
      <c r="O1442" t="s">
        <v>293</v>
      </c>
      <c r="S1442" s="8" t="s">
        <v>291</v>
      </c>
      <c r="T1442" s="9">
        <v>8</v>
      </c>
      <c r="U1442" s="10">
        <f>T1442*8/$Q$1437</f>
        <v>3.2</v>
      </c>
      <c r="V1442" s="12">
        <v>21.36</v>
      </c>
      <c r="W1442" s="12">
        <f>U1442*V1442</f>
        <v>68.352000000000004</v>
      </c>
    </row>
    <row r="1443" spans="14:23">
      <c r="S1443" s="8"/>
      <c r="T1443" s="9"/>
      <c r="U1443" s="10"/>
      <c r="W1443" s="34">
        <f>SUM(W1440:W1442)</f>
        <v>100.944</v>
      </c>
    </row>
    <row r="1444" spans="14:23">
      <c r="O1444" s="35" t="s">
        <v>653</v>
      </c>
      <c r="S1444" s="8"/>
      <c r="T1444" s="9"/>
      <c r="U1444" s="10"/>
      <c r="W1444" s="12"/>
    </row>
    <row r="1445" spans="14:23">
      <c r="O1445" t="s">
        <v>672</v>
      </c>
      <c r="S1445" s="8" t="s">
        <v>203</v>
      </c>
      <c r="U1445" s="10">
        <v>0.53</v>
      </c>
      <c r="V1445" s="12">
        <v>55.08</v>
      </c>
      <c r="W1445" s="12">
        <f>U1445*V1445</f>
        <v>29.192399999999999</v>
      </c>
    </row>
    <row r="1446" spans="14:23">
      <c r="O1446" t="s">
        <v>673</v>
      </c>
      <c r="S1446" s="8" t="s">
        <v>203</v>
      </c>
      <c r="U1446" s="10">
        <v>0.52</v>
      </c>
      <c r="V1446" s="12">
        <v>47</v>
      </c>
      <c r="W1446" s="12">
        <f>U1446*V1446</f>
        <v>24.44</v>
      </c>
    </row>
    <row r="1447" spans="14:23">
      <c r="O1447" t="s">
        <v>306</v>
      </c>
      <c r="S1447" s="8" t="s">
        <v>307</v>
      </c>
      <c r="U1447" s="10">
        <v>9.73</v>
      </c>
      <c r="V1447" s="12">
        <v>24.52</v>
      </c>
      <c r="W1447" s="12">
        <f>U1447*V1447</f>
        <v>238.5796</v>
      </c>
    </row>
    <row r="1448" spans="14:23">
      <c r="O1448" t="s">
        <v>655</v>
      </c>
      <c r="S1448" s="8" t="s">
        <v>203</v>
      </c>
      <c r="U1448" s="10">
        <v>0.186</v>
      </c>
      <c r="V1448">
        <v>6.14</v>
      </c>
      <c r="W1448" s="12">
        <f>U1448*V1448</f>
        <v>1.1420399999999999</v>
      </c>
    </row>
    <row r="1449" spans="14:23">
      <c r="O1449" t="s">
        <v>665</v>
      </c>
      <c r="S1449" s="8" t="s">
        <v>439</v>
      </c>
      <c r="U1449" s="10">
        <v>0.2</v>
      </c>
      <c r="V1449">
        <v>13.93</v>
      </c>
      <c r="W1449" s="12">
        <f>U1449*V1449</f>
        <v>2.786</v>
      </c>
    </row>
    <row r="1450" spans="14:23">
      <c r="S1450" s="8"/>
      <c r="U1450" s="10"/>
      <c r="V1450" s="12"/>
      <c r="W1450" s="34">
        <f>SUM(W1445:W1449)</f>
        <v>296.14004</v>
      </c>
    </row>
    <row r="1451" spans="14:23">
      <c r="O1451" s="35" t="s">
        <v>309</v>
      </c>
    </row>
    <row r="1452" spans="14:23">
      <c r="O1452" t="s">
        <v>310</v>
      </c>
      <c r="S1452" s="8" t="s">
        <v>311</v>
      </c>
      <c r="U1452" s="10">
        <v>3</v>
      </c>
      <c r="V1452" s="12">
        <f>W1443</f>
        <v>100.944</v>
      </c>
      <c r="W1452" s="12">
        <f>U1452%*V1452</f>
        <v>3.0283199999999999</v>
      </c>
    </row>
    <row r="1453" spans="14:23">
      <c r="O1453" t="s">
        <v>667</v>
      </c>
      <c r="S1453" s="8" t="s">
        <v>337</v>
      </c>
      <c r="T1453" s="9">
        <v>1</v>
      </c>
      <c r="U1453" s="10">
        <f>T1453*8/$Q$1437</f>
        <v>0.4</v>
      </c>
      <c r="V1453" s="12">
        <v>25.63</v>
      </c>
      <c r="W1453" s="12">
        <f>U1453*V1453</f>
        <v>10.252000000000001</v>
      </c>
    </row>
    <row r="1454" spans="14:23">
      <c r="O1454" t="s">
        <v>690</v>
      </c>
      <c r="S1454" s="8" t="s">
        <v>337</v>
      </c>
      <c r="T1454" s="9">
        <v>1</v>
      </c>
      <c r="U1454" s="10">
        <f>T1454*8/$Q$1437</f>
        <v>0.4</v>
      </c>
      <c r="V1454" s="12">
        <v>20</v>
      </c>
      <c r="W1454" s="12">
        <f>U1454*V1454</f>
        <v>8</v>
      </c>
    </row>
    <row r="1455" spans="14:23">
      <c r="O1455" t="s">
        <v>675</v>
      </c>
      <c r="S1455" s="8" t="s">
        <v>337</v>
      </c>
      <c r="T1455" s="9">
        <v>0.5</v>
      </c>
      <c r="U1455" s="10">
        <f>T1455*8/$Q$1437</f>
        <v>0.2</v>
      </c>
      <c r="V1455">
        <v>7.07</v>
      </c>
      <c r="W1455" s="12">
        <f>U1455*V1455</f>
        <v>1.4140000000000001</v>
      </c>
    </row>
    <row r="1456" spans="14:23">
      <c r="N1456" s="14"/>
      <c r="O1456" s="14"/>
      <c r="P1456" s="14"/>
      <c r="Q1456" s="14"/>
      <c r="R1456" s="14"/>
      <c r="S1456" s="14"/>
      <c r="T1456" s="14"/>
      <c r="U1456" s="14"/>
      <c r="V1456" s="14"/>
      <c r="W1456" s="36">
        <f>SUM(W1452:W1455)</f>
        <v>22.694320000000001</v>
      </c>
    </row>
    <row r="1457" spans="2:23">
      <c r="S1457" s="8"/>
      <c r="U1457" s="10"/>
      <c r="W1457" s="12"/>
    </row>
    <row r="1458" spans="2:23">
      <c r="N1458" s="31" t="s">
        <v>735</v>
      </c>
      <c r="O1458" s="31"/>
      <c r="P1458" s="31" t="s">
        <v>752</v>
      </c>
      <c r="Q1458" s="31"/>
    </row>
    <row r="1459" spans="2:23">
      <c r="N1459" s="31" t="s">
        <v>278</v>
      </c>
      <c r="O1459" s="31" t="s">
        <v>678</v>
      </c>
      <c r="P1459" s="32" t="s">
        <v>280</v>
      </c>
      <c r="Q1459" s="33">
        <v>250</v>
      </c>
      <c r="R1459" s="32" t="s">
        <v>281</v>
      </c>
      <c r="S1459" s="33">
        <f>Q1459</f>
        <v>250</v>
      </c>
      <c r="T1459" s="31" t="s">
        <v>282</v>
      </c>
      <c r="V1459" s="32" t="s">
        <v>296</v>
      </c>
      <c r="W1459" s="34">
        <f>W1464+W1468+W1472</f>
        <v>8.7959183999999997</v>
      </c>
    </row>
    <row r="1460" spans="2:23">
      <c r="N1460" s="31" t="s">
        <v>283</v>
      </c>
      <c r="O1460" s="31" t="s">
        <v>284</v>
      </c>
      <c r="S1460" s="32" t="s">
        <v>122</v>
      </c>
      <c r="T1460" s="32" t="s">
        <v>285</v>
      </c>
      <c r="U1460" s="32" t="s">
        <v>286</v>
      </c>
      <c r="V1460" s="32" t="s">
        <v>287</v>
      </c>
      <c r="W1460" s="32" t="s">
        <v>288</v>
      </c>
    </row>
    <row r="1461" spans="2:23">
      <c r="O1461" s="35" t="s">
        <v>289</v>
      </c>
    </row>
    <row r="1462" spans="2:23">
      <c r="O1462" t="s">
        <v>290</v>
      </c>
      <c r="S1462" s="8" t="s">
        <v>291</v>
      </c>
      <c r="T1462" s="9">
        <v>1</v>
      </c>
      <c r="U1462" s="10">
        <f>T1462*8/$Q$1459</f>
        <v>3.2000000000000001E-2</v>
      </c>
      <c r="V1462" s="12">
        <v>28.94</v>
      </c>
      <c r="W1462" s="12">
        <f>U1462*V1462</f>
        <v>0.92608000000000001</v>
      </c>
    </row>
    <row r="1463" spans="2:23">
      <c r="O1463" t="s">
        <v>679</v>
      </c>
      <c r="S1463" s="8" t="s">
        <v>291</v>
      </c>
      <c r="T1463" s="9">
        <v>1</v>
      </c>
      <c r="U1463" s="10">
        <f>T1463*8/$Q$1459</f>
        <v>3.2000000000000001E-2</v>
      </c>
      <c r="V1463" s="12">
        <v>23.6</v>
      </c>
      <c r="W1463" s="12">
        <f>U1463*V1463</f>
        <v>0.75520000000000009</v>
      </c>
    </row>
    <row r="1464" spans="2:23">
      <c r="S1464" s="8"/>
      <c r="T1464" s="9"/>
      <c r="W1464" s="34">
        <f>SUM(W1462:W1463)</f>
        <v>1.6812800000000001</v>
      </c>
    </row>
    <row r="1465" spans="2:23">
      <c r="O1465" s="35" t="s">
        <v>294</v>
      </c>
      <c r="S1465" s="8"/>
      <c r="T1465" s="9"/>
      <c r="U1465" s="18"/>
    </row>
    <row r="1466" spans="2:23">
      <c r="O1466" t="s">
        <v>295</v>
      </c>
      <c r="S1466" s="8" t="s">
        <v>296</v>
      </c>
      <c r="T1466" s="9"/>
      <c r="U1466" s="18">
        <v>0.03</v>
      </c>
      <c r="V1466" s="12">
        <v>2.64</v>
      </c>
      <c r="W1466" s="12">
        <f>U1466*V1466</f>
        <v>7.9200000000000007E-2</v>
      </c>
    </row>
    <row r="1467" spans="2:23">
      <c r="O1467" t="s">
        <v>680</v>
      </c>
      <c r="S1467" s="8" t="s">
        <v>296</v>
      </c>
      <c r="T1467" s="9"/>
      <c r="U1467" s="18">
        <v>1.05</v>
      </c>
      <c r="V1467" s="12">
        <v>6.5</v>
      </c>
      <c r="W1467" s="12">
        <f>U1467*V1467</f>
        <v>6.8250000000000002</v>
      </c>
    </row>
    <row r="1468" spans="2:23">
      <c r="S1468" s="8"/>
      <c r="T1468" s="9"/>
      <c r="W1468" s="34">
        <f>SUM(W1466:W1467)</f>
        <v>6.9042000000000003</v>
      </c>
    </row>
    <row r="1469" spans="2:23">
      <c r="O1469" s="35" t="s">
        <v>317</v>
      </c>
      <c r="S1469" s="8"/>
      <c r="T1469" s="9"/>
    </row>
    <row r="1470" spans="2:23">
      <c r="O1470" t="s">
        <v>310</v>
      </c>
      <c r="S1470" s="8" t="s">
        <v>311</v>
      </c>
      <c r="U1470" s="10">
        <v>3</v>
      </c>
      <c r="V1470" s="12">
        <f>W1464</f>
        <v>1.6812800000000001</v>
      </c>
      <c r="W1470" s="12">
        <f>U1470%*V1470</f>
        <v>5.0438400000000001E-2</v>
      </c>
    </row>
    <row r="1471" spans="2:23">
      <c r="B1471" s="2" t="s">
        <v>277</v>
      </c>
      <c r="C1471" s="2" t="str">
        <f>ESTRUCTURA!A109</f>
        <v>02.04.06.04</v>
      </c>
      <c r="D1471" s="2" t="s">
        <v>647</v>
      </c>
      <c r="E1471" s="2"/>
      <c r="F1471" s="2"/>
      <c r="G1471" s="2"/>
      <c r="H1471" s="2"/>
      <c r="I1471" s="2"/>
      <c r="J1471" s="2"/>
      <c r="O1471" t="s">
        <v>681</v>
      </c>
      <c r="S1471" s="8" t="s">
        <v>291</v>
      </c>
      <c r="T1471" s="9">
        <v>1</v>
      </c>
      <c r="U1471" s="10">
        <f>T1471*8/$Q$1459</f>
        <v>3.2000000000000001E-2</v>
      </c>
      <c r="V1471" s="12">
        <v>5</v>
      </c>
      <c r="W1471" s="12">
        <f>U1471*V1471</f>
        <v>0.16</v>
      </c>
    </row>
    <row r="1472" spans="2:23">
      <c r="B1472" s="2" t="s">
        <v>278</v>
      </c>
      <c r="C1472" s="2" t="s">
        <v>313</v>
      </c>
      <c r="D1472" s="4" t="s">
        <v>280</v>
      </c>
      <c r="E1472" s="5">
        <v>100</v>
      </c>
      <c r="F1472" s="4" t="s">
        <v>281</v>
      </c>
      <c r="G1472" s="5">
        <f>E1472</f>
        <v>100</v>
      </c>
      <c r="H1472" s="2" t="s">
        <v>282</v>
      </c>
      <c r="J1472" s="4" t="s">
        <v>144</v>
      </c>
      <c r="K1472" s="6">
        <f>K1477+K1481+K1484</f>
        <v>18.857006400000003</v>
      </c>
      <c r="N1472" s="14"/>
      <c r="O1472" s="14"/>
      <c r="P1472" s="14"/>
      <c r="Q1472" s="14"/>
      <c r="R1472" s="14"/>
      <c r="S1472" s="14"/>
      <c r="T1472" s="14"/>
      <c r="U1472" s="14"/>
      <c r="V1472" s="14"/>
      <c r="W1472" s="36">
        <f>SUM(W1470:W1471)</f>
        <v>0.2104384</v>
      </c>
    </row>
    <row r="1473" spans="2:25">
      <c r="B1473" s="2" t="s">
        <v>283</v>
      </c>
      <c r="C1473" s="2" t="s">
        <v>284</v>
      </c>
      <c r="G1473" s="4" t="s">
        <v>122</v>
      </c>
      <c r="H1473" s="4" t="s">
        <v>285</v>
      </c>
      <c r="I1473" s="4" t="s">
        <v>286</v>
      </c>
      <c r="J1473" s="4" t="s">
        <v>287</v>
      </c>
      <c r="K1473" s="4" t="s">
        <v>288</v>
      </c>
    </row>
    <row r="1474" spans="2:25">
      <c r="C1474" s="7" t="s">
        <v>289</v>
      </c>
    </row>
    <row r="1475" spans="2:25">
      <c r="C1475" t="s">
        <v>650</v>
      </c>
      <c r="G1475" s="8" t="s">
        <v>291</v>
      </c>
      <c r="H1475" s="9">
        <v>0.2</v>
      </c>
      <c r="I1475" s="10">
        <f>H1475*8/$E$1472</f>
        <v>1.6E-2</v>
      </c>
      <c r="J1475" s="12">
        <v>34.729999999999997</v>
      </c>
      <c r="K1475" s="12">
        <f>I1475*J1475</f>
        <v>0.55567999999999995</v>
      </c>
    </row>
    <row r="1476" spans="2:25">
      <c r="C1476" t="s">
        <v>290</v>
      </c>
      <c r="G1476" s="8" t="s">
        <v>291</v>
      </c>
      <c r="H1476" s="9">
        <v>1</v>
      </c>
      <c r="I1476" s="10">
        <f>H1476*8/$E$1472</f>
        <v>0.08</v>
      </c>
      <c r="J1476" s="12">
        <v>28.94</v>
      </c>
      <c r="K1476" s="12">
        <f>I1476*J1476</f>
        <v>2.3152000000000004</v>
      </c>
    </row>
    <row r="1477" spans="2:25">
      <c r="G1477" s="8"/>
      <c r="H1477" s="9"/>
      <c r="I1477" s="10"/>
      <c r="J1477" s="12"/>
      <c r="K1477" s="6">
        <f>SUM(K1475:K1476)</f>
        <v>2.8708800000000005</v>
      </c>
    </row>
    <row r="1478" spans="2:25">
      <c r="C1478" s="7" t="s">
        <v>294</v>
      </c>
      <c r="G1478" s="8"/>
    </row>
    <row r="1479" spans="2:25">
      <c r="C1479" t="s">
        <v>729</v>
      </c>
      <c r="G1479" s="8" t="s">
        <v>133</v>
      </c>
      <c r="I1479" s="10">
        <v>0.05</v>
      </c>
      <c r="J1479" s="12">
        <v>18</v>
      </c>
      <c r="K1479" s="12">
        <f>I1479*J1479</f>
        <v>0.9</v>
      </c>
    </row>
    <row r="1480" spans="2:25">
      <c r="C1480" t="s">
        <v>730</v>
      </c>
      <c r="G1480" s="8" t="s">
        <v>439</v>
      </c>
      <c r="I1480" s="10">
        <v>0.1</v>
      </c>
      <c r="J1480" s="12">
        <v>150</v>
      </c>
      <c r="K1480" s="12">
        <f>I1480*J1480</f>
        <v>15</v>
      </c>
    </row>
    <row r="1481" spans="2:25">
      <c r="K1481" s="6">
        <f>SUM(K1479:K1480)</f>
        <v>15.9</v>
      </c>
    </row>
    <row r="1482" spans="2:25">
      <c r="C1482" s="7" t="s">
        <v>317</v>
      </c>
    </row>
    <row r="1483" spans="2:25">
      <c r="C1483" t="s">
        <v>310</v>
      </c>
      <c r="G1483" s="8" t="s">
        <v>311</v>
      </c>
      <c r="I1483" s="10">
        <v>3</v>
      </c>
      <c r="J1483" s="12">
        <f>K1477</f>
        <v>2.8708800000000005</v>
      </c>
      <c r="K1483" s="12">
        <f>I1483%*J1483</f>
        <v>8.612640000000002E-2</v>
      </c>
    </row>
    <row r="1484" spans="2:25">
      <c r="B1484" s="14"/>
      <c r="C1484" s="14"/>
      <c r="D1484" s="14"/>
      <c r="E1484" s="14"/>
      <c r="F1484" s="14"/>
      <c r="G1484" s="14"/>
      <c r="H1484" s="14"/>
      <c r="I1484" s="14"/>
      <c r="J1484" s="14"/>
      <c r="K1484" s="36">
        <f>SUM(K1483)</f>
        <v>8.612640000000002E-2</v>
      </c>
    </row>
    <row r="1486" spans="2:25">
      <c r="P1486" s="2"/>
      <c r="Q1486" s="2"/>
      <c r="R1486" s="2"/>
      <c r="S1486" s="2"/>
      <c r="T1486" s="2"/>
      <c r="U1486" s="2"/>
      <c r="V1486" s="2"/>
      <c r="W1486" s="2"/>
      <c r="X1486" s="2"/>
    </row>
    <row r="1487" spans="2:25">
      <c r="B1487" s="2" t="s">
        <v>277</v>
      </c>
      <c r="C1487" s="2" t="str">
        <f>ESTRUCTURA!A111</f>
        <v>02.04.07.01</v>
      </c>
      <c r="D1487" s="2" t="s">
        <v>753</v>
      </c>
      <c r="E1487" s="2"/>
      <c r="F1487" s="2"/>
      <c r="G1487" s="2"/>
      <c r="H1487" s="2"/>
      <c r="I1487" s="2"/>
      <c r="J1487" s="2"/>
      <c r="P1487" s="2"/>
      <c r="Q1487" s="2"/>
      <c r="R1487" s="4"/>
      <c r="S1487" s="5"/>
      <c r="T1487" s="4"/>
      <c r="U1487" s="5"/>
      <c r="V1487" s="2"/>
      <c r="X1487" s="4"/>
      <c r="Y1487" s="6"/>
    </row>
    <row r="1488" spans="2:25">
      <c r="B1488" s="2" t="s">
        <v>278</v>
      </c>
      <c r="C1488" s="2" t="s">
        <v>331</v>
      </c>
      <c r="D1488" s="4" t="s">
        <v>280</v>
      </c>
      <c r="E1488" s="5">
        <v>1</v>
      </c>
      <c r="F1488" s="4" t="s">
        <v>281</v>
      </c>
      <c r="G1488" s="5">
        <f>E1488</f>
        <v>1</v>
      </c>
      <c r="H1488" s="2" t="s">
        <v>282</v>
      </c>
      <c r="J1488" s="4" t="s">
        <v>154</v>
      </c>
      <c r="K1488" s="6">
        <f>K1492</f>
        <v>29580.58810716619</v>
      </c>
      <c r="P1488" s="2"/>
      <c r="Q1488" s="2"/>
      <c r="U1488" s="4"/>
      <c r="V1488" s="4"/>
      <c r="W1488" s="4"/>
      <c r="X1488" s="4"/>
      <c r="Y1488" s="4"/>
    </row>
    <row r="1489" spans="2:25">
      <c r="B1489" s="2" t="s">
        <v>283</v>
      </c>
      <c r="C1489" s="2" t="s">
        <v>284</v>
      </c>
      <c r="G1489" s="4" t="s">
        <v>122</v>
      </c>
      <c r="H1489" s="4" t="s">
        <v>285</v>
      </c>
      <c r="I1489" s="4" t="s">
        <v>286</v>
      </c>
      <c r="J1489" s="4" t="s">
        <v>287</v>
      </c>
      <c r="K1489" s="4" t="s">
        <v>288</v>
      </c>
      <c r="Q1489" s="7"/>
    </row>
    <row r="1490" spans="2:25">
      <c r="C1490" s="7" t="s">
        <v>294</v>
      </c>
      <c r="U1490" s="8"/>
      <c r="V1490" s="9"/>
      <c r="W1490" s="10"/>
      <c r="X1490" s="12"/>
      <c r="Y1490" s="12"/>
    </row>
    <row r="1491" spans="2:25">
      <c r="C1491" t="s">
        <v>753</v>
      </c>
      <c r="G1491" s="8" t="s">
        <v>154</v>
      </c>
      <c r="H1491" s="9"/>
      <c r="I1491" s="10">
        <v>1</v>
      </c>
      <c r="J1491" s="12">
        <v>29580.58810716619</v>
      </c>
      <c r="K1491" s="12">
        <f>I1491*J1491</f>
        <v>29580.58810716619</v>
      </c>
      <c r="U1491" s="8"/>
      <c r="V1491" s="9"/>
      <c r="W1491" s="10"/>
      <c r="X1491" s="12"/>
      <c r="Y1491" s="6"/>
    </row>
    <row r="1492" spans="2:25">
      <c r="B1492" s="14"/>
      <c r="C1492" s="14"/>
      <c r="D1492" s="14"/>
      <c r="E1492" s="14"/>
      <c r="F1492" s="14"/>
      <c r="G1492" s="14"/>
      <c r="H1492" s="14"/>
      <c r="I1492" s="14"/>
      <c r="J1492" s="14"/>
      <c r="K1492" s="16">
        <f>SUM(K1491)</f>
        <v>29580.58810716619</v>
      </c>
      <c r="Q1492" s="7"/>
    </row>
    <row r="1493" spans="2:25">
      <c r="U1493" s="8"/>
      <c r="W1493" s="10"/>
      <c r="X1493" s="12"/>
      <c r="Y1493" s="12"/>
    </row>
    <row r="1494" spans="2:25">
      <c r="Y1494" s="6"/>
    </row>
    <row r="1495" spans="2:25">
      <c r="Q1495" s="7"/>
    </row>
    <row r="1496" spans="2:25">
      <c r="U1496" s="8"/>
      <c r="W1496" s="10"/>
      <c r="X1496" s="12"/>
      <c r="Y1496" s="12"/>
    </row>
    <row r="1497" spans="2:25">
      <c r="P1497" s="14"/>
      <c r="Q1497" s="14"/>
      <c r="R1497" s="14"/>
      <c r="S1497" s="14"/>
      <c r="T1497" s="14"/>
      <c r="U1497" s="14"/>
      <c r="V1497" s="14"/>
      <c r="W1497" s="14"/>
      <c r="X1497" s="14"/>
      <c r="Y1497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05CF-8462-47BB-AB8E-6F5D2403CF3C}">
  <sheetPr>
    <tabColor rgb="FFFF0000"/>
  </sheetPr>
  <dimension ref="A1:AE121"/>
  <sheetViews>
    <sheetView workbookViewId="0">
      <selection activeCell="G19" sqref="G19"/>
    </sheetView>
  </sheetViews>
  <sheetFormatPr defaultRowHeight="15"/>
  <cols>
    <col min="1" max="1" width="13.28515625" customWidth="1"/>
    <col min="8" max="8" width="13" customWidth="1"/>
    <col min="10" max="10" width="16.140625" customWidth="1"/>
    <col min="11" max="11" width="15.28515625" customWidth="1"/>
  </cols>
  <sheetData>
    <row r="1" spans="1:31">
      <c r="G1" s="4" t="s">
        <v>122</v>
      </c>
      <c r="H1" s="4" t="s">
        <v>123</v>
      </c>
      <c r="I1" s="4" t="s">
        <v>124</v>
      </c>
      <c r="J1" s="4" t="s">
        <v>125</v>
      </c>
      <c r="K1" s="4" t="s">
        <v>126</v>
      </c>
    </row>
    <row r="2" spans="1:31">
      <c r="A2" s="2">
        <v>3</v>
      </c>
      <c r="B2" s="233" t="s">
        <v>754</v>
      </c>
      <c r="H2" s="19"/>
      <c r="I2" s="19"/>
      <c r="J2" s="19"/>
      <c r="K2" s="288">
        <f>J3+J9+J18+J25+J32+J38+J42</f>
        <v>762896.31476175203</v>
      </c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</row>
    <row r="3" spans="1:31">
      <c r="A3" s="2">
        <v>3.01</v>
      </c>
      <c r="B3" s="67" t="s">
        <v>755</v>
      </c>
      <c r="F3" s="10"/>
      <c r="J3" s="235">
        <f>SUM(J4:J8)</f>
        <v>163739.99389007688</v>
      </c>
      <c r="K3" s="1"/>
      <c r="M3" s="2"/>
      <c r="N3" s="2"/>
      <c r="T3" s="1"/>
    </row>
    <row r="4" spans="1:31">
      <c r="A4" t="s">
        <v>756</v>
      </c>
      <c r="B4" t="s">
        <v>757</v>
      </c>
      <c r="F4" s="10"/>
      <c r="G4" s="289" t="s">
        <v>133</v>
      </c>
      <c r="H4" s="12">
        <f>SUM(BIBLIOTECA:INGRESO!G6)</f>
        <v>634.07739594567761</v>
      </c>
      <c r="I4" s="12">
        <f>'APUS ARQUITECTURA'!J5</f>
        <v>135.824337926792</v>
      </c>
      <c r="J4" s="29">
        <f>H4*I4</f>
        <v>86123.142498665999</v>
      </c>
      <c r="N4" s="2"/>
    </row>
    <row r="5" spans="1:31">
      <c r="A5" t="s">
        <v>758</v>
      </c>
      <c r="B5" t="s">
        <v>759</v>
      </c>
      <c r="F5" s="10"/>
      <c r="G5" s="289" t="s">
        <v>133</v>
      </c>
      <c r="H5" s="12">
        <f>SUM(BIBLIOTECA:INGRESO!G7)</f>
        <v>256.72980219260148</v>
      </c>
      <c r="I5" s="12">
        <f>'APUS ARQUITECTURA'!J32</f>
        <v>150.06569999999999</v>
      </c>
      <c r="J5" s="29">
        <f t="shared" ref="J5:J8" si="0">H5*I5</f>
        <v>38526.337476894274</v>
      </c>
      <c r="N5" s="2"/>
      <c r="O5" s="285"/>
      <c r="R5" s="12"/>
    </row>
    <row r="6" spans="1:31">
      <c r="A6" t="s">
        <v>760</v>
      </c>
      <c r="B6" t="s">
        <v>761</v>
      </c>
      <c r="F6" s="10"/>
      <c r="G6" s="289" t="s">
        <v>133</v>
      </c>
      <c r="H6" s="12">
        <f>SUM(BIBLIOTECA:INGRESO!G8)</f>
        <v>152.47049601468041</v>
      </c>
      <c r="I6" s="12">
        <f>'APUS ARQUITECTURA'!J50</f>
        <v>141.06679428571431</v>
      </c>
      <c r="J6" s="29">
        <f t="shared" si="0"/>
        <v>21508.524095943743</v>
      </c>
      <c r="O6" s="285"/>
    </row>
    <row r="7" spans="1:31">
      <c r="A7" t="s">
        <v>762</v>
      </c>
      <c r="B7" t="s">
        <v>763</v>
      </c>
      <c r="G7" s="289" t="s">
        <v>133</v>
      </c>
      <c r="H7" s="12">
        <f>SUM(BIBLIOTECA:INGRESO!G9)</f>
        <v>78.307712418300639</v>
      </c>
      <c r="I7" s="12">
        <f>'APUS ARQUITECTURA'!J74</f>
        <v>200.94213799999997</v>
      </c>
      <c r="J7" s="29">
        <f t="shared" si="0"/>
        <v>15735.319155222478</v>
      </c>
      <c r="O7" s="285"/>
    </row>
    <row r="8" spans="1:31">
      <c r="A8" t="s">
        <v>764</v>
      </c>
      <c r="B8" t="s">
        <v>765</v>
      </c>
      <c r="G8" s="289" t="s">
        <v>133</v>
      </c>
      <c r="H8" s="12">
        <f>SUM(BIBLIOTECA:INGRESO!G10)</f>
        <v>6.1508951406649617</v>
      </c>
      <c r="I8" s="12">
        <f>'APUS ARQUITECTURA'!J92</f>
        <v>300.22795400000001</v>
      </c>
      <c r="J8" s="29">
        <f t="shared" si="0"/>
        <v>1846.6706633503836</v>
      </c>
    </row>
    <row r="9" spans="1:31">
      <c r="A9" s="2">
        <v>3.02</v>
      </c>
      <c r="B9" s="67" t="s">
        <v>766</v>
      </c>
      <c r="F9" s="22"/>
      <c r="G9" s="19"/>
      <c r="H9" s="12"/>
      <c r="I9" s="12"/>
      <c r="J9" s="235">
        <f>J10+J13+J15</f>
        <v>186294.12389027735</v>
      </c>
      <c r="T9" s="20"/>
    </row>
    <row r="10" spans="1:31">
      <c r="A10" s="2" t="s">
        <v>767</v>
      </c>
      <c r="B10" s="284" t="s">
        <v>768</v>
      </c>
      <c r="G10" s="19"/>
      <c r="H10" s="12"/>
      <c r="I10" s="12"/>
      <c r="J10" s="285">
        <f>SUM(J11:J12)</f>
        <v>45365.669798831063</v>
      </c>
      <c r="K10" s="1"/>
      <c r="T10" s="1"/>
    </row>
    <row r="11" spans="1:31">
      <c r="A11" t="s">
        <v>769</v>
      </c>
      <c r="B11" t="s">
        <v>770</v>
      </c>
      <c r="F11" s="12"/>
      <c r="G11" s="19" t="s">
        <v>133</v>
      </c>
      <c r="H11" s="12">
        <f>SUM(BIBLIOTECA:INGRESO!G13)</f>
        <v>932.62508008907298</v>
      </c>
      <c r="I11" s="12">
        <f>'APUS ARQUITECTURA'!J127</f>
        <v>27.122965133333338</v>
      </c>
      <c r="J11" s="29">
        <f>H11*I11</f>
        <v>25295.557529728139</v>
      </c>
      <c r="N11" s="2"/>
    </row>
    <row r="12" spans="1:31">
      <c r="A12" t="s">
        <v>771</v>
      </c>
      <c r="B12" t="s">
        <v>772</v>
      </c>
      <c r="F12" s="12"/>
      <c r="G12" s="19" t="s">
        <v>133</v>
      </c>
      <c r="H12" s="12">
        <f>SUM(BIBLIOTECA:INGRESO!G14)</f>
        <v>559.97693074714266</v>
      </c>
      <c r="I12" s="12">
        <f>'APUS ARQUITECTURA'!J148</f>
        <v>35.840962666666663</v>
      </c>
      <c r="J12" s="29">
        <f>H12*I12</f>
        <v>20070.112269102923</v>
      </c>
    </row>
    <row r="13" spans="1:31">
      <c r="A13" s="2" t="s">
        <v>773</v>
      </c>
      <c r="B13" s="284" t="s">
        <v>774</v>
      </c>
      <c r="F13" s="12"/>
      <c r="G13" s="19"/>
      <c r="H13" s="12"/>
      <c r="I13" s="12"/>
      <c r="J13" s="285">
        <f>SUM(J14)</f>
        <v>41619.287264112943</v>
      </c>
      <c r="T13" s="28"/>
    </row>
    <row r="14" spans="1:31">
      <c r="A14" t="s">
        <v>775</v>
      </c>
      <c r="B14" t="s">
        <v>776</v>
      </c>
      <c r="F14" s="12"/>
      <c r="G14" s="19" t="s">
        <v>133</v>
      </c>
      <c r="H14" s="12">
        <f>SUM(BIBLIOTECA:INGRESO!G16)</f>
        <v>458.23158844277583</v>
      </c>
      <c r="I14" s="12">
        <f>'APUS ARQUITECTURA'!J168</f>
        <v>90.825879999999998</v>
      </c>
      <c r="J14" s="29">
        <f>H14*I14</f>
        <v>41619.287264112943</v>
      </c>
    </row>
    <row r="15" spans="1:31">
      <c r="A15" s="2" t="s">
        <v>777</v>
      </c>
      <c r="B15" s="284" t="s">
        <v>778</v>
      </c>
      <c r="E15" s="10"/>
      <c r="G15" s="283"/>
      <c r="H15" s="12"/>
      <c r="J15" s="285">
        <f>SUM(J16:J17)</f>
        <v>99309.166827333334</v>
      </c>
      <c r="K15" s="1"/>
      <c r="T15" s="28"/>
    </row>
    <row r="16" spans="1:31">
      <c r="A16" t="s">
        <v>779</v>
      </c>
      <c r="B16" t="s">
        <v>780</v>
      </c>
      <c r="F16" s="10"/>
      <c r="G16" s="19" t="s">
        <v>203</v>
      </c>
      <c r="H16" s="12">
        <f>SUM(BIBLIOTECA:INGRESO!G18)</f>
        <v>340</v>
      </c>
      <c r="I16" s="12">
        <f>'APUS ARQUITECTURA'!J188</f>
        <v>212.28215533333332</v>
      </c>
      <c r="J16" s="29">
        <f>H16*I16</f>
        <v>72175.932813333333</v>
      </c>
    </row>
    <row r="17" spans="1:20">
      <c r="A17" t="s">
        <v>781</v>
      </c>
      <c r="B17" t="s">
        <v>782</v>
      </c>
      <c r="G17" s="19" t="s">
        <v>203</v>
      </c>
      <c r="H17" s="12">
        <f>SUM(BIBLIOTECA:INGRESO!G19)</f>
        <v>433</v>
      </c>
      <c r="I17" s="12">
        <f>'APUS ARQUITECTURA'!J212</f>
        <v>62.663358000000002</v>
      </c>
      <c r="J17" s="29">
        <f>H17*I17</f>
        <v>27133.234014000001</v>
      </c>
    </row>
    <row r="18" spans="1:20">
      <c r="A18" s="2">
        <v>3.03</v>
      </c>
      <c r="B18" s="67" t="s">
        <v>783</v>
      </c>
      <c r="F18" s="10"/>
      <c r="G18" s="19"/>
      <c r="H18" s="12"/>
      <c r="J18" s="235">
        <f>SUM(J19:J24)</f>
        <v>155946.8476604</v>
      </c>
      <c r="K18" s="1"/>
      <c r="T18" s="1"/>
    </row>
    <row r="19" spans="1:20">
      <c r="A19" t="s">
        <v>784</v>
      </c>
      <c r="B19" t="s">
        <v>785</v>
      </c>
      <c r="G19" s="19" t="s">
        <v>133</v>
      </c>
      <c r="H19" s="12">
        <f>SUM(BIBLIOTECA:INGRESO!G21)</f>
        <v>760</v>
      </c>
      <c r="I19" s="12">
        <f>'APUS ARQUITECTURA'!J232</f>
        <v>40.184685790000003</v>
      </c>
      <c r="J19" s="29">
        <f>H19*I19</f>
        <v>30540.361200400002</v>
      </c>
    </row>
    <row r="20" spans="1:20">
      <c r="A20" t="s">
        <v>786</v>
      </c>
      <c r="B20" t="s">
        <v>787</v>
      </c>
      <c r="G20" s="19" t="s">
        <v>133</v>
      </c>
      <c r="H20" s="12">
        <f>SUM(BIBLIOTECA:INGRESO!G22)</f>
        <v>420</v>
      </c>
      <c r="I20" s="12">
        <f>'APUS ARQUITECTURA'!J252</f>
        <v>206.77337199999999</v>
      </c>
      <c r="J20" s="29">
        <f t="shared" ref="J20:J24" si="1">H20*I20</f>
        <v>86844.81624</v>
      </c>
      <c r="N20" s="2"/>
    </row>
    <row r="21" spans="1:20">
      <c r="A21" t="s">
        <v>788</v>
      </c>
      <c r="B21" t="s">
        <v>789</v>
      </c>
      <c r="G21" s="19" t="s">
        <v>133</v>
      </c>
      <c r="H21" s="12">
        <f>SUM(BIBLIOTECA:INGRESO!G23)</f>
        <v>190</v>
      </c>
      <c r="I21" s="12">
        <f>'APUS ARQUITECTURA'!J272</f>
        <v>102.65602799999999</v>
      </c>
      <c r="J21" s="29">
        <f t="shared" si="1"/>
        <v>19504.64532</v>
      </c>
    </row>
    <row r="22" spans="1:20">
      <c r="A22" t="s">
        <v>790</v>
      </c>
      <c r="B22" t="s">
        <v>791</v>
      </c>
      <c r="G22" s="19" t="s">
        <v>133</v>
      </c>
      <c r="H22" s="12">
        <f>SUM(BIBLIOTECA:INGRESO!G24)</f>
        <v>50</v>
      </c>
      <c r="I22" s="12">
        <f>'APUS ARQUITECTURA'!J292</f>
        <v>47.432200000000002</v>
      </c>
      <c r="J22" s="29">
        <f t="shared" si="1"/>
        <v>2371.61</v>
      </c>
    </row>
    <row r="23" spans="1:20">
      <c r="A23" t="s">
        <v>792</v>
      </c>
      <c r="B23" t="s">
        <v>793</v>
      </c>
      <c r="G23" s="19" t="s">
        <v>133</v>
      </c>
      <c r="H23" s="12">
        <f>SUM(BIBLIOTECA:INGRESO!G25)</f>
        <v>50</v>
      </c>
      <c r="I23" s="12">
        <f>'APUS ARQUITECTURA'!J318</f>
        <v>51.986298000000005</v>
      </c>
      <c r="J23" s="29">
        <f t="shared" si="1"/>
        <v>2599.3149000000003</v>
      </c>
      <c r="O23" s="19"/>
    </row>
    <row r="24" spans="1:20">
      <c r="A24" t="s">
        <v>794</v>
      </c>
      <c r="B24" t="s">
        <v>795</v>
      </c>
      <c r="G24" s="19" t="s">
        <v>133</v>
      </c>
      <c r="H24" s="12">
        <f>SUM(BIBLIOTECA:INGRESO!G26)</f>
        <v>70</v>
      </c>
      <c r="I24" s="12">
        <f>'APUS ARQUITECTURA'!J340</f>
        <v>201.23</v>
      </c>
      <c r="J24" s="29">
        <f t="shared" si="1"/>
        <v>14086.099999999999</v>
      </c>
      <c r="O24" s="19"/>
    </row>
    <row r="25" spans="1:20">
      <c r="A25" s="2">
        <v>3.04</v>
      </c>
      <c r="B25" s="67" t="s">
        <v>796</v>
      </c>
      <c r="G25" s="19"/>
      <c r="H25" s="12"/>
      <c r="J25" s="235">
        <f>SUM(J26:J31)</f>
        <v>27632.59664793899</v>
      </c>
      <c r="O25" s="19"/>
      <c r="T25" s="1"/>
    </row>
    <row r="26" spans="1:20">
      <c r="A26" t="s">
        <v>797</v>
      </c>
      <c r="B26" t="s">
        <v>798</v>
      </c>
      <c r="G26" s="19" t="s">
        <v>144</v>
      </c>
      <c r="H26" s="12">
        <f>SUM(BIBLIOTECA:INGRESO!G28)</f>
        <v>45.55282126549249</v>
      </c>
      <c r="I26" s="12">
        <f>'APUS ARQUITECTURA'!J347</f>
        <v>20.569980000000001</v>
      </c>
      <c r="J26" s="29">
        <f>H26*I26</f>
        <v>937.02062237475525</v>
      </c>
      <c r="O26" s="19"/>
    </row>
    <row r="27" spans="1:20">
      <c r="A27" t="s">
        <v>799</v>
      </c>
      <c r="B27" t="s">
        <v>800</v>
      </c>
      <c r="G27" s="19" t="s">
        <v>144</v>
      </c>
      <c r="H27" s="12">
        <f>SUM(BIBLIOTECA:INGRESO!G29)</f>
        <v>303.25161290322598</v>
      </c>
      <c r="I27" s="12">
        <f>'APUS ARQUITECTURA'!J364</f>
        <v>26.687480000000001</v>
      </c>
      <c r="J27" s="29">
        <f t="shared" ref="J27:J40" si="2">H27*I27</f>
        <v>8093.0213543225855</v>
      </c>
      <c r="N27" s="2"/>
      <c r="O27" s="19"/>
    </row>
    <row r="28" spans="1:20">
      <c r="A28" t="s">
        <v>801</v>
      </c>
      <c r="B28" t="s">
        <v>802</v>
      </c>
      <c r="G28" s="19" t="s">
        <v>144</v>
      </c>
      <c r="H28" s="12">
        <f>SUM(BIBLIOTECA:INGRESO!G30)</f>
        <v>167.70375187243127</v>
      </c>
      <c r="I28" s="12">
        <f>'APUS ARQUITECTURA'!J383</f>
        <v>36.537022000000007</v>
      </c>
      <c r="J28" s="29">
        <f t="shared" si="2"/>
        <v>6127.3956716455641</v>
      </c>
      <c r="O28" s="19"/>
    </row>
    <row r="29" spans="1:20">
      <c r="A29" t="s">
        <v>803</v>
      </c>
      <c r="B29" t="s">
        <v>804</v>
      </c>
      <c r="G29" s="19" t="s">
        <v>144</v>
      </c>
      <c r="H29" s="12">
        <f>SUM(BIBLIOTECA:INGRESO!G31)</f>
        <v>31.9375</v>
      </c>
      <c r="I29" s="12">
        <f>'APUS ARQUITECTURA'!J403</f>
        <v>25</v>
      </c>
      <c r="J29" s="29">
        <f t="shared" si="2"/>
        <v>798.4375</v>
      </c>
      <c r="O29" s="19"/>
    </row>
    <row r="30" spans="1:20">
      <c r="A30" t="s">
        <v>805</v>
      </c>
      <c r="B30" t="s">
        <v>806</v>
      </c>
      <c r="G30" s="19" t="s">
        <v>144</v>
      </c>
      <c r="H30" s="12">
        <f>SUM(BIBLIOTECA:INGRESO!G32)</f>
        <v>58.919301140882965</v>
      </c>
      <c r="I30" s="12">
        <f>'APUS ARQUITECTURA'!J410</f>
        <v>44.192746666666665</v>
      </c>
      <c r="J30" s="29">
        <f t="shared" si="2"/>
        <v>2603.805749096085</v>
      </c>
      <c r="O30" s="19"/>
    </row>
    <row r="31" spans="1:20">
      <c r="A31" t="s">
        <v>807</v>
      </c>
      <c r="B31" t="s">
        <v>808</v>
      </c>
      <c r="G31" s="19" t="s">
        <v>144</v>
      </c>
      <c r="H31" s="12">
        <f>SUM(BIBLIOTECA:INGRESO!G33)</f>
        <v>107.45000000000003</v>
      </c>
      <c r="I31" s="12">
        <f>'APUS ARQUITECTURA'!J430</f>
        <v>84.438490000000002</v>
      </c>
      <c r="J31" s="29">
        <f t="shared" si="2"/>
        <v>9072.9157505000021</v>
      </c>
      <c r="O31" s="19"/>
    </row>
    <row r="32" spans="1:20">
      <c r="A32" s="2">
        <v>3.05</v>
      </c>
      <c r="B32" s="67" t="s">
        <v>809</v>
      </c>
      <c r="G32" s="19"/>
      <c r="H32" s="12"/>
      <c r="I32" s="12"/>
      <c r="J32" s="235">
        <f>SUM(J33:J37)</f>
        <v>163386.83958087818</v>
      </c>
      <c r="O32" s="19"/>
      <c r="T32" s="1"/>
    </row>
    <row r="33" spans="1:21">
      <c r="A33" t="s">
        <v>810</v>
      </c>
      <c r="B33" t="s">
        <v>811</v>
      </c>
      <c r="G33" s="19" t="s">
        <v>133</v>
      </c>
      <c r="H33" s="12">
        <f>SUM(BIBLIOTECA:INGRESO!G35)</f>
        <v>80.585156366390194</v>
      </c>
      <c r="I33" s="12">
        <f>'APUS ARQUITECTURA'!J449</f>
        <v>560.62260000000003</v>
      </c>
      <c r="J33" s="29">
        <f t="shared" si="2"/>
        <v>45177.859883532226</v>
      </c>
      <c r="O33" s="19"/>
    </row>
    <row r="34" spans="1:21">
      <c r="A34" t="s">
        <v>812</v>
      </c>
      <c r="B34" t="s">
        <v>813</v>
      </c>
      <c r="G34" s="19" t="s">
        <v>133</v>
      </c>
      <c r="H34" s="12">
        <f>SUM(BIBLIOTECA:INGRESO!G36)</f>
        <v>111.83469107223017</v>
      </c>
      <c r="I34" s="12">
        <f>'APUS ARQUITECTURA'!J456</f>
        <v>367.87083424090611</v>
      </c>
      <c r="J34" s="29">
        <f t="shared" si="2"/>
        <v>41140.721101815325</v>
      </c>
      <c r="N34" s="2"/>
      <c r="O34" s="19"/>
    </row>
    <row r="35" spans="1:21">
      <c r="A35" t="s">
        <v>814</v>
      </c>
      <c r="B35" t="s">
        <v>815</v>
      </c>
      <c r="G35" s="19" t="s">
        <v>133</v>
      </c>
      <c r="H35" s="12">
        <f>SUM(BIBLIOTECA:INGRESO!G37)</f>
        <v>33.174417301658451</v>
      </c>
      <c r="I35" s="12">
        <f>'APUS ARQUITECTURA'!J463</f>
        <v>514.53719413716362</v>
      </c>
      <c r="J35" s="29">
        <f t="shared" si="2"/>
        <v>17069.471595530715</v>
      </c>
      <c r="O35" s="19"/>
    </row>
    <row r="36" spans="1:21">
      <c r="A36" t="s">
        <v>816</v>
      </c>
      <c r="B36" t="s">
        <v>817</v>
      </c>
      <c r="G36" s="19" t="s">
        <v>144</v>
      </c>
      <c r="H36" s="12">
        <f>SUM(BIBLIOTECA:INGRESO!G38)</f>
        <v>94.899999999999878</v>
      </c>
      <c r="I36" s="12">
        <f>'APUS ARQUITECTURA'!J470</f>
        <v>622.13</v>
      </c>
      <c r="J36" s="29">
        <f t="shared" si="2"/>
        <v>59040.136999999922</v>
      </c>
      <c r="O36" s="19"/>
    </row>
    <row r="37" spans="1:21">
      <c r="A37" t="s">
        <v>818</v>
      </c>
      <c r="B37" t="s">
        <v>819</v>
      </c>
      <c r="G37" s="19" t="s">
        <v>133</v>
      </c>
      <c r="H37" s="12">
        <f>SUM(BIBLIOTECA:INGRESO!G39)</f>
        <v>17.5</v>
      </c>
      <c r="I37" s="12">
        <f>'APUS ARQUITECTURA'!J477</f>
        <v>54.78</v>
      </c>
      <c r="J37" s="29">
        <f t="shared" si="2"/>
        <v>958.65</v>
      </c>
      <c r="O37" s="19"/>
    </row>
    <row r="38" spans="1:21">
      <c r="A38" s="2">
        <v>3.06</v>
      </c>
      <c r="B38" s="67" t="s">
        <v>820</v>
      </c>
      <c r="G38" s="19"/>
      <c r="H38" s="12"/>
      <c r="J38" s="235">
        <f>SUM(J39:J40)</f>
        <v>34387.400869579003</v>
      </c>
      <c r="O38" s="19"/>
      <c r="T38" s="1"/>
    </row>
    <row r="39" spans="1:21">
      <c r="A39" t="s">
        <v>821</v>
      </c>
      <c r="B39" t="s">
        <v>822</v>
      </c>
      <c r="G39" s="19" t="s">
        <v>133</v>
      </c>
      <c r="H39" s="12">
        <f>SUM(BIBLIOTECA:INGRESO!G41)</f>
        <v>1638.2632754764895</v>
      </c>
      <c r="I39" s="12">
        <f>'APUS ARQUITECTURA'!J484</f>
        <v>15.625164000000002</v>
      </c>
      <c r="J39" s="29">
        <f t="shared" si="2"/>
        <v>25598.132354497331</v>
      </c>
      <c r="O39" s="19"/>
    </row>
    <row r="40" spans="1:21">
      <c r="A40" t="s">
        <v>823</v>
      </c>
      <c r="B40" t="s">
        <v>824</v>
      </c>
      <c r="C40" s="105"/>
      <c r="D40" s="105"/>
      <c r="E40" s="105"/>
      <c r="G40" s="290" t="s">
        <v>133</v>
      </c>
      <c r="H40" s="12">
        <f>SUM(BIBLIOTECA:INGRESO!G42)</f>
        <v>550.83424899357635</v>
      </c>
      <c r="I40" s="12">
        <f>'APUS ARQUITECTURA'!J504</f>
        <v>15.956285454545455</v>
      </c>
      <c r="J40" s="29">
        <f t="shared" si="2"/>
        <v>8789.2685150816724</v>
      </c>
      <c r="N40" s="2"/>
      <c r="O40" s="19"/>
      <c r="U40" s="105"/>
    </row>
    <row r="41" spans="1:21">
      <c r="C41" s="105"/>
      <c r="D41" s="105"/>
      <c r="E41" s="105"/>
      <c r="G41" s="290"/>
      <c r="H41" s="12"/>
      <c r="I41" s="12"/>
      <c r="J41" s="29"/>
      <c r="O41" s="19"/>
    </row>
    <row r="42" spans="1:21">
      <c r="A42" s="2">
        <v>3.07</v>
      </c>
      <c r="B42" s="67" t="s">
        <v>590</v>
      </c>
      <c r="G42" s="19"/>
      <c r="H42" s="12"/>
      <c r="J42" s="235">
        <f>J43+J47+J49+J51+J53+J55+J57+J62+J64</f>
        <v>31508.512222601716</v>
      </c>
      <c r="O42" s="19"/>
    </row>
    <row r="43" spans="1:21">
      <c r="A43" s="2" t="s">
        <v>825</v>
      </c>
      <c r="B43" s="284" t="s">
        <v>74</v>
      </c>
      <c r="G43" s="19"/>
      <c r="H43" s="12"/>
      <c r="I43" s="12"/>
      <c r="J43" s="285">
        <f>SUM(J44:J46)</f>
        <v>22486.831503214984</v>
      </c>
      <c r="K43" s="221"/>
      <c r="N43" s="2"/>
      <c r="O43" s="19"/>
    </row>
    <row r="44" spans="1:21">
      <c r="A44" t="s">
        <v>826</v>
      </c>
      <c r="B44" t="s">
        <v>827</v>
      </c>
      <c r="G44" s="19" t="s">
        <v>133</v>
      </c>
      <c r="H44" s="12">
        <f>'Obras exteriores '!D5</f>
        <v>450</v>
      </c>
      <c r="I44" s="12">
        <f>'APUS ARQUITECTURA'!J525</f>
        <v>13.478588693356565</v>
      </c>
      <c r="J44" s="29">
        <f>H44*I44</f>
        <v>6065.3649120104546</v>
      </c>
      <c r="O44" s="19"/>
    </row>
    <row r="45" spans="1:21">
      <c r="A45" t="s">
        <v>828</v>
      </c>
      <c r="B45" t="s">
        <v>829</v>
      </c>
      <c r="G45" s="19" t="s">
        <v>149</v>
      </c>
      <c r="H45" s="12">
        <f>'Obras exteriores '!D6</f>
        <v>150</v>
      </c>
      <c r="I45" s="12">
        <f>'APUS ARQUITECTURA'!J541</f>
        <v>73.852121493356563</v>
      </c>
      <c r="J45" s="29">
        <f t="shared" ref="J45:J46" si="3">H45*I45</f>
        <v>11077.818224003484</v>
      </c>
      <c r="O45" s="19"/>
    </row>
    <row r="46" spans="1:21">
      <c r="A46" t="s">
        <v>830</v>
      </c>
      <c r="B46" t="s">
        <v>831</v>
      </c>
      <c r="G46" s="19" t="s">
        <v>149</v>
      </c>
      <c r="H46" s="12">
        <f>'Obras exteriores '!D7</f>
        <v>45</v>
      </c>
      <c r="I46" s="12">
        <f>'APUS ARQUITECTURA'!J558</f>
        <v>118.74774149335656</v>
      </c>
      <c r="J46" s="29">
        <f t="shared" si="3"/>
        <v>5343.6483672010454</v>
      </c>
      <c r="O46" s="19"/>
    </row>
    <row r="47" spans="1:21">
      <c r="A47" s="2" t="s">
        <v>832</v>
      </c>
      <c r="B47" s="284" t="s">
        <v>75</v>
      </c>
      <c r="G47" s="19"/>
      <c r="H47" s="12"/>
      <c r="I47" s="12"/>
      <c r="J47" s="285">
        <f>SUM(J48)</f>
        <v>12.764607999999999</v>
      </c>
      <c r="K47" s="221"/>
      <c r="O47" s="19"/>
      <c r="R47" s="8"/>
    </row>
    <row r="48" spans="1:21">
      <c r="A48" t="s">
        <v>833</v>
      </c>
      <c r="B48" t="s">
        <v>834</v>
      </c>
      <c r="G48" s="19" t="s">
        <v>144</v>
      </c>
      <c r="H48" s="12">
        <f>'Obras exteriores '!D21</f>
        <v>0.25</v>
      </c>
      <c r="I48" s="12">
        <f>'APUS ARQUITECTURA'!J575</f>
        <v>51.058431999999996</v>
      </c>
      <c r="J48" s="29">
        <f>H48*I48</f>
        <v>12.764607999999999</v>
      </c>
      <c r="O48" s="19"/>
      <c r="R48" s="8"/>
    </row>
    <row r="49" spans="1:18">
      <c r="A49" s="2" t="s">
        <v>835</v>
      </c>
      <c r="B49" s="284" t="s">
        <v>836</v>
      </c>
      <c r="G49" s="19"/>
      <c r="H49" s="12"/>
      <c r="I49" s="12"/>
      <c r="J49" s="285">
        <f>SUM(J50)</f>
        <v>12.764607999999999</v>
      </c>
      <c r="K49" s="221"/>
      <c r="O49" s="19"/>
    </row>
    <row r="50" spans="1:18">
      <c r="A50" t="s">
        <v>837</v>
      </c>
      <c r="B50" t="s">
        <v>838</v>
      </c>
      <c r="G50" s="19" t="s">
        <v>144</v>
      </c>
      <c r="H50" s="12">
        <f>'Obras exteriores '!D37</f>
        <v>0.25</v>
      </c>
      <c r="I50" s="12">
        <f>'APUS ARQUITECTURA'!J591</f>
        <v>51.058431999999996</v>
      </c>
      <c r="J50" s="29">
        <f>H50*I50</f>
        <v>12.764607999999999</v>
      </c>
      <c r="O50" s="19"/>
      <c r="Q50" s="10"/>
      <c r="R50" s="8"/>
    </row>
    <row r="51" spans="1:18">
      <c r="A51" s="2" t="s">
        <v>839</v>
      </c>
      <c r="B51" s="284" t="s">
        <v>80</v>
      </c>
      <c r="G51" s="19"/>
      <c r="H51" s="12"/>
      <c r="I51" s="12"/>
      <c r="J51" s="285">
        <f>SUM(J52)</f>
        <v>98.809960000000018</v>
      </c>
      <c r="K51" s="221"/>
      <c r="O51" s="19"/>
      <c r="Q51" s="10"/>
      <c r="R51" s="8"/>
    </row>
    <row r="52" spans="1:18">
      <c r="A52" t="s">
        <v>840</v>
      </c>
      <c r="B52" t="s">
        <v>841</v>
      </c>
      <c r="G52" s="19" t="s">
        <v>133</v>
      </c>
      <c r="H52" s="12">
        <f>'Obras exteriores '!D51</f>
        <v>10</v>
      </c>
      <c r="I52" s="12">
        <f>'APUS ARQUITECTURA'!J607</f>
        <v>9.8809960000000014</v>
      </c>
      <c r="J52" s="29">
        <f>H52*I52</f>
        <v>98.809960000000018</v>
      </c>
      <c r="O52" s="19"/>
      <c r="Q52" s="10"/>
      <c r="R52" s="8"/>
    </row>
    <row r="53" spans="1:18">
      <c r="A53" s="2" t="s">
        <v>842</v>
      </c>
      <c r="B53" s="284" t="s">
        <v>81</v>
      </c>
      <c r="G53" s="19"/>
      <c r="H53" s="12"/>
      <c r="J53" s="285">
        <f>SUM(J54)</f>
        <v>220</v>
      </c>
      <c r="K53" s="221"/>
      <c r="O53" s="19"/>
      <c r="Q53" s="10"/>
      <c r="R53" s="8"/>
    </row>
    <row r="54" spans="1:18">
      <c r="A54" t="s">
        <v>843</v>
      </c>
      <c r="B54" t="s">
        <v>844</v>
      </c>
      <c r="G54" s="19" t="s">
        <v>154</v>
      </c>
      <c r="H54" s="12">
        <f>'Obras exteriores '!D60</f>
        <v>10</v>
      </c>
      <c r="I54" s="12">
        <f>'APUS ARQUITECTURA'!J618</f>
        <v>22</v>
      </c>
      <c r="J54" s="29">
        <f>H54*I54</f>
        <v>220</v>
      </c>
      <c r="O54" s="19"/>
      <c r="Q54" s="10"/>
      <c r="R54" s="8"/>
    </row>
    <row r="55" spans="1:18">
      <c r="A55" s="2" t="s">
        <v>845</v>
      </c>
      <c r="B55" s="284" t="s">
        <v>82</v>
      </c>
      <c r="G55" s="19"/>
      <c r="H55" s="12"/>
      <c r="J55" s="285">
        <f>SUM(J56)</f>
        <v>754.59999999999991</v>
      </c>
      <c r="K55" s="221"/>
      <c r="O55" s="19"/>
      <c r="Q55" s="10"/>
      <c r="R55" s="8"/>
    </row>
    <row r="56" spans="1:18">
      <c r="A56" t="s">
        <v>846</v>
      </c>
      <c r="B56" t="s">
        <v>82</v>
      </c>
      <c r="G56" s="19" t="s">
        <v>133</v>
      </c>
      <c r="H56" s="12">
        <f>'Obras exteriores '!D66</f>
        <v>10</v>
      </c>
      <c r="I56" s="12">
        <f>'APUS ARQUITECTURA'!J625</f>
        <v>75.459999999999994</v>
      </c>
      <c r="J56" s="29">
        <f>H56*I56</f>
        <v>754.59999999999991</v>
      </c>
      <c r="O56" s="19"/>
      <c r="Q56" s="10"/>
      <c r="R56" s="8"/>
    </row>
    <row r="57" spans="1:18">
      <c r="A57" s="2" t="s">
        <v>847</v>
      </c>
      <c r="B57" s="284" t="s">
        <v>639</v>
      </c>
      <c r="G57" s="19"/>
      <c r="H57" s="12"/>
      <c r="J57" s="285">
        <f>SUM(J58)</f>
        <v>2385.7412121212119</v>
      </c>
      <c r="K57" s="221"/>
      <c r="O57" s="19"/>
      <c r="Q57" s="10"/>
      <c r="R57" s="8"/>
    </row>
    <row r="58" spans="1:18">
      <c r="A58" t="s">
        <v>848</v>
      </c>
      <c r="B58" t="s">
        <v>849</v>
      </c>
      <c r="G58" s="19" t="s">
        <v>144</v>
      </c>
      <c r="H58" s="12">
        <f>'Obras exteriores '!D86</f>
        <v>21.606060606060602</v>
      </c>
      <c r="I58" s="12">
        <f>'APUS ARQUITECTURA'!J632</f>
        <v>110.42</v>
      </c>
      <c r="J58" s="29">
        <f>H58*I58</f>
        <v>2385.7412121212119</v>
      </c>
      <c r="O58" s="19"/>
      <c r="Q58" s="10"/>
      <c r="R58" s="8"/>
    </row>
    <row r="59" spans="1:18">
      <c r="A59" t="s">
        <v>850</v>
      </c>
      <c r="B59" t="s">
        <v>851</v>
      </c>
      <c r="G59" s="19" t="s">
        <v>133</v>
      </c>
      <c r="H59" s="12">
        <f>'Obras exteriores '!D88</f>
        <v>3.8636363636363602</v>
      </c>
      <c r="I59" s="12">
        <f>'APUS ARQUITECTURA'!J639</f>
        <v>67.768372461538462</v>
      </c>
      <c r="J59" s="29">
        <f>H59*I59</f>
        <v>261.83234814685289</v>
      </c>
      <c r="Q59" s="10"/>
      <c r="R59" s="8"/>
    </row>
    <row r="60" spans="1:18">
      <c r="A60" t="s">
        <v>852</v>
      </c>
      <c r="B60" t="s">
        <v>853</v>
      </c>
      <c r="G60" s="19" t="s">
        <v>133</v>
      </c>
      <c r="H60" s="12">
        <f>'Obras exteriores '!D89</f>
        <v>4</v>
      </c>
      <c r="I60" s="12">
        <f>'APUS ARQUITECTURA'!J659</f>
        <v>39.51</v>
      </c>
      <c r="J60" s="29">
        <f>H60*I60</f>
        <v>158.04</v>
      </c>
      <c r="Q60" s="10"/>
      <c r="R60" s="8"/>
    </row>
    <row r="61" spans="1:18">
      <c r="A61" t="s">
        <v>854</v>
      </c>
      <c r="B61" t="s">
        <v>855</v>
      </c>
      <c r="G61" s="19" t="s">
        <v>133</v>
      </c>
      <c r="H61" s="12">
        <f>'Obras exteriores '!D90</f>
        <v>56</v>
      </c>
      <c r="I61" s="12">
        <f>'APUS ARQUITECTURA'!J666</f>
        <v>17.38</v>
      </c>
      <c r="J61" s="29">
        <f>H61*I61</f>
        <v>973.28</v>
      </c>
      <c r="Q61" s="10"/>
      <c r="R61" s="8"/>
    </row>
    <row r="62" spans="1:18">
      <c r="A62" s="2" t="s">
        <v>856</v>
      </c>
      <c r="B62" s="284" t="s">
        <v>79</v>
      </c>
      <c r="G62" s="19"/>
      <c r="H62" s="12"/>
      <c r="J62" s="285">
        <f>SUM(J63)</f>
        <v>2147.2003312655197</v>
      </c>
      <c r="K62" s="221"/>
      <c r="Q62" s="10"/>
      <c r="R62" s="8"/>
    </row>
    <row r="63" spans="1:18">
      <c r="A63" t="s">
        <v>857</v>
      </c>
      <c r="B63" t="s">
        <v>79</v>
      </c>
      <c r="G63" s="19" t="s">
        <v>149</v>
      </c>
      <c r="H63" s="12">
        <f>'Obras exteriores '!D40</f>
        <v>1</v>
      </c>
      <c r="I63" s="12">
        <f>'APUS ARQUITECTURA'!J673</f>
        <v>2147.2003312655197</v>
      </c>
      <c r="J63" s="29">
        <f>H63*I63</f>
        <v>2147.2003312655197</v>
      </c>
      <c r="Q63" s="10"/>
      <c r="R63" s="8"/>
    </row>
    <row r="64" spans="1:18">
      <c r="A64" s="2" t="s">
        <v>858</v>
      </c>
      <c r="B64" s="284" t="s">
        <v>859</v>
      </c>
      <c r="G64" s="19"/>
      <c r="H64" s="12"/>
      <c r="J64" s="285">
        <f>SUM(J65:J66)</f>
        <v>3389.8</v>
      </c>
      <c r="K64" s="221"/>
      <c r="R64" s="8"/>
    </row>
    <row r="65" spans="1:18">
      <c r="A65" t="s">
        <v>860</v>
      </c>
      <c r="B65" t="s">
        <v>861</v>
      </c>
      <c r="G65" s="19" t="s">
        <v>133</v>
      </c>
      <c r="H65" s="12">
        <f>'Obras exteriores '!D22</f>
        <v>10</v>
      </c>
      <c r="I65" s="12">
        <f>'APUS ARQUITECTURA'!J705</f>
        <v>169.49</v>
      </c>
      <c r="J65" s="29">
        <f>H65*I65</f>
        <v>1694.9</v>
      </c>
    </row>
    <row r="66" spans="1:18">
      <c r="A66" t="s">
        <v>862</v>
      </c>
      <c r="B66" t="s">
        <v>863</v>
      </c>
      <c r="C66" s="209"/>
      <c r="G66" s="19" t="s">
        <v>133</v>
      </c>
      <c r="H66" s="12">
        <f>'Obras exteriores '!D38</f>
        <v>10</v>
      </c>
      <c r="I66" s="12">
        <f>'APUS ARQUITECTURA'!J712</f>
        <v>169.49</v>
      </c>
      <c r="J66" s="29">
        <f>H66*I66</f>
        <v>1694.9</v>
      </c>
    </row>
    <row r="67" spans="1:18">
      <c r="C67" s="209"/>
      <c r="G67" s="19"/>
      <c r="H67" s="12"/>
    </row>
    <row r="68" spans="1:18">
      <c r="C68" s="209"/>
      <c r="H68" s="12"/>
      <c r="Q68" s="10"/>
      <c r="R68" s="8"/>
    </row>
    <row r="69" spans="1:18">
      <c r="C69" s="209"/>
      <c r="H69" s="12"/>
      <c r="Q69" s="10"/>
      <c r="R69" s="8"/>
    </row>
    <row r="70" spans="1:18">
      <c r="C70" s="209"/>
      <c r="H70" s="12"/>
      <c r="Q70" s="10"/>
      <c r="R70" s="8"/>
    </row>
    <row r="71" spans="1:18">
      <c r="C71" s="209"/>
      <c r="H71" s="12"/>
      <c r="Q71" s="10"/>
      <c r="R71" s="8"/>
    </row>
    <row r="72" spans="1:18">
      <c r="B72" s="221"/>
      <c r="H72" s="12"/>
      <c r="Q72" s="10"/>
      <c r="R72" s="8"/>
    </row>
    <row r="73" spans="1:18">
      <c r="H73" s="12"/>
      <c r="Q73" s="10"/>
      <c r="R73" s="8"/>
    </row>
    <row r="74" spans="1:18">
      <c r="H74" s="12"/>
      <c r="Q74" s="10"/>
      <c r="R74" s="8"/>
    </row>
    <row r="75" spans="1:18">
      <c r="H75" s="12"/>
      <c r="Q75" s="10"/>
      <c r="R75" s="8"/>
    </row>
    <row r="76" spans="1:18">
      <c r="H76" s="12"/>
      <c r="Q76" s="10"/>
      <c r="R76" s="8"/>
    </row>
    <row r="77" spans="1:18">
      <c r="Q77" s="10"/>
      <c r="R77" s="8"/>
    </row>
    <row r="78" spans="1:18">
      <c r="B78" s="221"/>
      <c r="Q78" s="10"/>
      <c r="R78" s="8"/>
    </row>
    <row r="79" spans="1:18">
      <c r="Q79" s="10"/>
      <c r="R79" s="8"/>
    </row>
    <row r="80" spans="1:18">
      <c r="B80" s="221"/>
      <c r="R80" s="8"/>
    </row>
    <row r="86" spans="16:18">
      <c r="P86" s="104"/>
      <c r="Q86" s="230"/>
      <c r="R86" s="8"/>
    </row>
    <row r="87" spans="16:18">
      <c r="P87" s="104"/>
      <c r="Q87" s="230"/>
      <c r="R87" s="8"/>
    </row>
    <row r="88" spans="16:18">
      <c r="P88" s="104"/>
      <c r="Q88" s="230"/>
      <c r="R88" s="8"/>
    </row>
    <row r="89" spans="16:18">
      <c r="P89" s="205"/>
      <c r="Q89" s="231"/>
      <c r="R89" s="8"/>
    </row>
    <row r="90" spans="16:18">
      <c r="P90" s="208"/>
      <c r="Q90" s="232"/>
      <c r="R90" s="8"/>
    </row>
    <row r="91" spans="16:18">
      <c r="P91" s="208"/>
      <c r="Q91" s="232"/>
      <c r="R91" s="8"/>
    </row>
    <row r="92" spans="16:18">
      <c r="P92" s="208"/>
      <c r="Q92" s="232"/>
      <c r="R92" s="8"/>
    </row>
    <row r="93" spans="16:18">
      <c r="P93" s="208"/>
      <c r="Q93" s="232"/>
      <c r="R93" s="8"/>
    </row>
    <row r="94" spans="16:18">
      <c r="P94" s="208"/>
      <c r="Q94" s="232"/>
      <c r="R94" s="8"/>
    </row>
    <row r="95" spans="16:18">
      <c r="P95" s="208"/>
      <c r="Q95" s="232"/>
      <c r="R95" s="8"/>
    </row>
    <row r="96" spans="16:18">
      <c r="P96" s="208"/>
      <c r="Q96" s="232"/>
      <c r="R96" s="8"/>
    </row>
    <row r="99" spans="16:18">
      <c r="P99" s="215"/>
      <c r="R99" s="8"/>
    </row>
    <row r="100" spans="16:18">
      <c r="P100" s="215"/>
      <c r="R100" s="8"/>
    </row>
    <row r="101" spans="16:18">
      <c r="P101" s="215"/>
      <c r="R101" s="8"/>
    </row>
    <row r="102" spans="16:18">
      <c r="P102" s="217"/>
      <c r="R102" s="8"/>
    </row>
    <row r="103" spans="16:18">
      <c r="P103" s="214"/>
      <c r="R103" s="8"/>
    </row>
    <row r="104" spans="16:18">
      <c r="P104" s="214"/>
      <c r="R104" s="8"/>
    </row>
    <row r="105" spans="16:18">
      <c r="P105" s="214"/>
      <c r="R105" s="8"/>
    </row>
    <row r="106" spans="16:18">
      <c r="P106" s="214"/>
      <c r="R106" s="8"/>
    </row>
    <row r="107" spans="16:18">
      <c r="P107" s="214"/>
      <c r="R107" s="8"/>
    </row>
    <row r="108" spans="16:18">
      <c r="P108" s="214"/>
      <c r="R108" s="8"/>
    </row>
    <row r="114" spans="16:16">
      <c r="P114" s="1"/>
    </row>
    <row r="119" spans="16:16">
      <c r="P119" s="1"/>
    </row>
    <row r="120" spans="16:16">
      <c r="P120" s="77"/>
    </row>
    <row r="121" spans="16:16">
      <c r="P121" s="7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37DB-7DBD-4638-BEAF-AB106C9CDD17}">
  <sheetPr>
    <tabColor rgb="FFFF0000"/>
  </sheetPr>
  <dimension ref="A4:AA716"/>
  <sheetViews>
    <sheetView workbookViewId="0">
      <selection activeCell="K709" sqref="K709"/>
    </sheetView>
  </sheetViews>
  <sheetFormatPr defaultRowHeight="15"/>
  <cols>
    <col min="2" max="2" width="11.140625" customWidth="1"/>
    <col min="9" max="9" width="9.28515625" bestFit="1" customWidth="1"/>
    <col min="12" max="12" width="10.5703125" customWidth="1"/>
    <col min="16" max="17" width="10.85546875" bestFit="1" customWidth="1"/>
  </cols>
  <sheetData>
    <row r="4" spans="1:27">
      <c r="A4" s="31" t="s">
        <v>277</v>
      </c>
      <c r="B4" s="31" t="str">
        <f>ARQUITECTURA!A4</f>
        <v>03.01.01</v>
      </c>
      <c r="C4" s="31" t="s">
        <v>757</v>
      </c>
      <c r="D4" s="31"/>
      <c r="R4" s="31" t="s">
        <v>277</v>
      </c>
      <c r="S4" s="31"/>
      <c r="T4" s="31" t="s">
        <v>864</v>
      </c>
      <c r="U4" s="31"/>
    </row>
    <row r="5" spans="1:27">
      <c r="A5" s="31" t="s">
        <v>278</v>
      </c>
      <c r="B5" s="31" t="s">
        <v>279</v>
      </c>
      <c r="C5" s="32" t="s">
        <v>280</v>
      </c>
      <c r="D5" s="33">
        <v>16</v>
      </c>
      <c r="E5" s="32" t="s">
        <v>281</v>
      </c>
      <c r="F5" s="33">
        <f>D5</f>
        <v>16</v>
      </c>
      <c r="G5" s="31" t="s">
        <v>282</v>
      </c>
      <c r="I5" s="32" t="s">
        <v>133</v>
      </c>
      <c r="J5" s="34">
        <f>J10+J16+J20+J29</f>
        <v>135.824337926792</v>
      </c>
      <c r="R5" s="31" t="s">
        <v>278</v>
      </c>
      <c r="S5" s="31" t="s">
        <v>416</v>
      </c>
      <c r="T5" s="32" t="s">
        <v>280</v>
      </c>
      <c r="U5" s="33">
        <v>10</v>
      </c>
      <c r="V5" s="32" t="s">
        <v>281</v>
      </c>
      <c r="W5" s="33">
        <f>U5</f>
        <v>10</v>
      </c>
      <c r="X5" s="31" t="s">
        <v>282</v>
      </c>
      <c r="Z5" s="32" t="s">
        <v>203</v>
      </c>
      <c r="AA5" s="34">
        <f>AA11+AA18+AA23</f>
        <v>493.42718000000002</v>
      </c>
    </row>
    <row r="6" spans="1:27">
      <c r="A6" s="31" t="s">
        <v>283</v>
      </c>
      <c r="B6" s="31" t="s">
        <v>284</v>
      </c>
      <c r="F6" s="32" t="s">
        <v>122</v>
      </c>
      <c r="G6" s="32" t="s">
        <v>285</v>
      </c>
      <c r="H6" s="32" t="s">
        <v>286</v>
      </c>
      <c r="I6" s="32" t="s">
        <v>287</v>
      </c>
      <c r="J6" s="32" t="s">
        <v>288</v>
      </c>
      <c r="R6" s="31" t="s">
        <v>283</v>
      </c>
      <c r="S6" s="31" t="s">
        <v>284</v>
      </c>
      <c r="W6" s="32" t="s">
        <v>122</v>
      </c>
      <c r="X6" s="32" t="s">
        <v>285</v>
      </c>
      <c r="Y6" s="32" t="s">
        <v>286</v>
      </c>
      <c r="Z6" s="32" t="s">
        <v>287</v>
      </c>
      <c r="AA6" s="32" t="s">
        <v>288</v>
      </c>
    </row>
    <row r="7" spans="1:27">
      <c r="B7" s="35" t="s">
        <v>289</v>
      </c>
      <c r="S7" s="35" t="s">
        <v>289</v>
      </c>
    </row>
    <row r="8" spans="1:27" ht="15" customHeight="1">
      <c r="B8" t="s">
        <v>290</v>
      </c>
      <c r="F8" s="8" t="s">
        <v>291</v>
      </c>
      <c r="G8" s="9">
        <v>2</v>
      </c>
      <c r="H8" s="10">
        <f>G8*8/$D$5</f>
        <v>1</v>
      </c>
      <c r="I8" s="12">
        <v>34.729999999999997</v>
      </c>
      <c r="J8" s="12">
        <f>H8*I8</f>
        <v>34.729999999999997</v>
      </c>
      <c r="S8" t="s">
        <v>290</v>
      </c>
      <c r="W8" s="8" t="s">
        <v>291</v>
      </c>
      <c r="X8" s="9">
        <v>2</v>
      </c>
      <c r="Y8" s="10">
        <f>X8*8/$U$5</f>
        <v>1.6</v>
      </c>
      <c r="Z8" s="12">
        <v>28.94</v>
      </c>
      <c r="AA8" s="12">
        <f>Y8*Z8</f>
        <v>46.304000000000002</v>
      </c>
    </row>
    <row r="9" spans="1:27">
      <c r="B9" t="s">
        <v>293</v>
      </c>
      <c r="F9" s="8" t="s">
        <v>291</v>
      </c>
      <c r="G9" s="9">
        <v>1</v>
      </c>
      <c r="H9" s="10">
        <f>G9*8/$D$5</f>
        <v>0.5</v>
      </c>
      <c r="I9" s="12">
        <v>20.51</v>
      </c>
      <c r="J9" s="12">
        <f>H9*I9</f>
        <v>10.255000000000001</v>
      </c>
      <c r="S9" t="s">
        <v>292</v>
      </c>
      <c r="W9" s="8" t="s">
        <v>291</v>
      </c>
      <c r="X9" s="9">
        <v>1</v>
      </c>
      <c r="Y9" s="10">
        <f>X9*8/$U$5</f>
        <v>0.8</v>
      </c>
      <c r="Z9" s="12">
        <v>22.66</v>
      </c>
      <c r="AA9" s="12">
        <f>Y9*Z9</f>
        <v>18.128</v>
      </c>
    </row>
    <row r="10" spans="1:27">
      <c r="F10" s="8"/>
      <c r="G10" s="9"/>
      <c r="H10" s="10"/>
      <c r="I10" s="12"/>
      <c r="J10" s="34">
        <f>SUM(J8:J9)</f>
        <v>44.984999999999999</v>
      </c>
      <c r="S10" t="s">
        <v>293</v>
      </c>
      <c r="W10" s="8" t="s">
        <v>291</v>
      </c>
      <c r="X10" s="9">
        <v>8</v>
      </c>
      <c r="Y10" s="10">
        <f>X10*8/$U$5</f>
        <v>6.4</v>
      </c>
      <c r="Z10" s="12">
        <v>20.51</v>
      </c>
      <c r="AA10" s="12">
        <f>Y10*Z10</f>
        <v>131.26400000000001</v>
      </c>
    </row>
    <row r="11" spans="1:27">
      <c r="B11" s="35" t="s">
        <v>653</v>
      </c>
      <c r="F11" s="8"/>
      <c r="G11" s="9"/>
      <c r="H11" s="10"/>
      <c r="J11" s="12"/>
      <c r="W11" s="8"/>
      <c r="X11" s="9"/>
      <c r="Y11" s="10"/>
      <c r="AA11" s="34">
        <f>SUM(AA8:AA10)</f>
        <v>195.69600000000003</v>
      </c>
    </row>
    <row r="12" spans="1:27">
      <c r="B12" t="s">
        <v>655</v>
      </c>
      <c r="F12" s="8" t="s">
        <v>203</v>
      </c>
      <c r="H12" s="10">
        <v>6.7999999999999996E-3</v>
      </c>
      <c r="I12">
        <v>6.14</v>
      </c>
      <c r="J12" s="12">
        <f>H12*I12</f>
        <v>4.1751999999999997E-2</v>
      </c>
      <c r="S12" s="35" t="s">
        <v>653</v>
      </c>
      <c r="W12" s="8"/>
      <c r="X12" s="9"/>
      <c r="Y12" s="10"/>
      <c r="AA12" s="12"/>
    </row>
    <row r="13" spans="1:27" ht="15" customHeight="1">
      <c r="B13" t="s">
        <v>673</v>
      </c>
      <c r="F13" s="8" t="s">
        <v>203</v>
      </c>
      <c r="H13" s="10">
        <v>2.69E-2</v>
      </c>
      <c r="I13" s="12">
        <v>47</v>
      </c>
      <c r="J13" s="12">
        <f>H13*I13</f>
        <v>1.2643</v>
      </c>
      <c r="S13" t="s">
        <v>672</v>
      </c>
      <c r="W13" s="8" t="s">
        <v>203</v>
      </c>
      <c r="Y13" s="10">
        <v>0.55000000000000004</v>
      </c>
      <c r="Z13" s="12">
        <v>55.08</v>
      </c>
      <c r="AA13" s="12">
        <f>Y13*Z13</f>
        <v>30.294</v>
      </c>
    </row>
    <row r="14" spans="1:27">
      <c r="B14" t="s">
        <v>306</v>
      </c>
      <c r="F14" s="8" t="s">
        <v>307</v>
      </c>
      <c r="H14">
        <v>0.22109999999999999</v>
      </c>
      <c r="I14" s="12">
        <v>24.52</v>
      </c>
      <c r="J14" s="12">
        <f>H14*I14</f>
        <v>5.4213719999999999</v>
      </c>
      <c r="S14" t="s">
        <v>673</v>
      </c>
      <c r="W14" s="8" t="s">
        <v>203</v>
      </c>
      <c r="Y14" s="10">
        <v>0.54</v>
      </c>
      <c r="Z14" s="12">
        <v>47</v>
      </c>
      <c r="AA14" s="12">
        <f>Y14*Z14</f>
        <v>25.380000000000003</v>
      </c>
    </row>
    <row r="15" spans="1:27">
      <c r="B15" t="s">
        <v>865</v>
      </c>
      <c r="F15" s="8" t="s">
        <v>149</v>
      </c>
      <c r="H15" s="12">
        <v>39</v>
      </c>
      <c r="I15">
        <v>1.02</v>
      </c>
      <c r="J15" s="12">
        <f>H15*I15</f>
        <v>39.78</v>
      </c>
      <c r="S15" t="s">
        <v>306</v>
      </c>
      <c r="W15" s="8" t="s">
        <v>307</v>
      </c>
      <c r="Y15" s="10">
        <v>8.43</v>
      </c>
      <c r="Z15" s="12">
        <v>24.52</v>
      </c>
      <c r="AA15" s="12">
        <f>Y15*Z15</f>
        <v>206.70359999999999</v>
      </c>
    </row>
    <row r="16" spans="1:27" ht="15" customHeight="1">
      <c r="F16" s="8"/>
      <c r="H16" s="10"/>
      <c r="I16" s="12"/>
      <c r="J16" s="34">
        <f>SUM(J12:J15)</f>
        <v>46.507424</v>
      </c>
      <c r="S16" t="s">
        <v>655</v>
      </c>
      <c r="W16" s="8" t="s">
        <v>203</v>
      </c>
      <c r="Y16" s="10">
        <v>0.185</v>
      </c>
      <c r="Z16">
        <v>6.14</v>
      </c>
      <c r="AA16" s="12">
        <f>Y16*Z16</f>
        <v>1.1358999999999999</v>
      </c>
    </row>
    <row r="17" spans="1:27">
      <c r="B17" s="35" t="s">
        <v>309</v>
      </c>
      <c r="S17" t="s">
        <v>665</v>
      </c>
      <c r="W17" s="8" t="s">
        <v>439</v>
      </c>
      <c r="Y17" s="10">
        <v>0.36</v>
      </c>
      <c r="Z17">
        <v>13.93</v>
      </c>
      <c r="AA17" s="12">
        <f>Y17*Z17</f>
        <v>5.0148000000000001</v>
      </c>
    </row>
    <row r="18" spans="1:27" ht="15" customHeight="1">
      <c r="B18" t="s">
        <v>310</v>
      </c>
      <c r="F18" s="8" t="s">
        <v>311</v>
      </c>
      <c r="H18" s="10">
        <v>3</v>
      </c>
      <c r="I18" s="12">
        <f>J10</f>
        <v>44.984999999999999</v>
      </c>
      <c r="J18" s="12">
        <f>H18%*I18</f>
        <v>1.34955</v>
      </c>
      <c r="W18" s="8"/>
      <c r="Y18" s="10"/>
      <c r="Z18" s="12"/>
      <c r="AA18" s="34">
        <f>SUM(AA13:AA17)</f>
        <v>268.5283</v>
      </c>
    </row>
    <row r="19" spans="1:27" ht="15" customHeight="1">
      <c r="B19" t="s">
        <v>866</v>
      </c>
      <c r="F19" s="8" t="s">
        <v>867</v>
      </c>
      <c r="G19" s="9">
        <v>2</v>
      </c>
      <c r="H19" s="10">
        <f>G19*8/$D$5</f>
        <v>1</v>
      </c>
      <c r="I19">
        <v>10.34</v>
      </c>
      <c r="J19" s="12">
        <f>H19%*I19</f>
        <v>0.10340000000000001</v>
      </c>
      <c r="S19" s="35" t="s">
        <v>309</v>
      </c>
    </row>
    <row r="20" spans="1:27" ht="15" customHeight="1">
      <c r="J20" s="34">
        <f>SUM(J18:J19)</f>
        <v>1.45295</v>
      </c>
      <c r="S20" t="s">
        <v>310</v>
      </c>
      <c r="W20" s="8" t="s">
        <v>311</v>
      </c>
      <c r="Y20" s="10">
        <v>3</v>
      </c>
      <c r="Z20" s="12">
        <f>AA11</f>
        <v>195.69600000000003</v>
      </c>
      <c r="AA20" s="12">
        <f>Y20%*Z20</f>
        <v>5.8708800000000005</v>
      </c>
    </row>
    <row r="21" spans="1:27" ht="15" customHeight="1">
      <c r="B21" s="35" t="s">
        <v>737</v>
      </c>
      <c r="J21" s="34"/>
      <c r="S21" t="s">
        <v>667</v>
      </c>
      <c r="W21" s="8" t="s">
        <v>337</v>
      </c>
      <c r="X21" s="9">
        <v>1</v>
      </c>
      <c r="Y21" s="10">
        <f>X21*8/$U$5</f>
        <v>0.8</v>
      </c>
      <c r="Z21" s="12">
        <v>25.63</v>
      </c>
      <c r="AA21" s="12">
        <f>Y21*Z21</f>
        <v>20.504000000000001</v>
      </c>
    </row>
    <row r="22" spans="1:27" ht="15" customHeight="1">
      <c r="B22" t="s">
        <v>868</v>
      </c>
      <c r="F22" s="8" t="s">
        <v>203</v>
      </c>
      <c r="H22" s="12">
        <v>1.1005409438537585E-2</v>
      </c>
      <c r="I22" s="12">
        <f>AA5</f>
        <v>493.42718000000002</v>
      </c>
      <c r="J22" s="12">
        <f>H22*I22</f>
        <v>5.4303681440029843</v>
      </c>
      <c r="S22" t="s">
        <v>675</v>
      </c>
      <c r="W22" s="8" t="s">
        <v>337</v>
      </c>
      <c r="X22" s="9">
        <v>0.5</v>
      </c>
      <c r="Y22" s="10">
        <f>X22*8/$U$5</f>
        <v>0.4</v>
      </c>
      <c r="Z22" s="12">
        <v>7.07</v>
      </c>
      <c r="AA22" s="12">
        <f>Y22*Z22</f>
        <v>2.8280000000000003</v>
      </c>
    </row>
    <row r="23" spans="1:27" ht="15" customHeight="1">
      <c r="B23" t="s">
        <v>869</v>
      </c>
      <c r="F23" s="8" t="s">
        <v>133</v>
      </c>
      <c r="H23" s="12">
        <v>0.10694522166262511</v>
      </c>
      <c r="I23" s="12">
        <f>AA26</f>
        <v>56.161166666666666</v>
      </c>
      <c r="J23" s="12">
        <f t="shared" ref="J23:J28" si="0">H23*I23</f>
        <v>6.0061684179982997</v>
      </c>
      <c r="R23" s="14"/>
      <c r="S23" s="14"/>
      <c r="T23" s="14"/>
      <c r="U23" s="14"/>
      <c r="V23" s="14"/>
      <c r="W23" s="14"/>
      <c r="X23" s="14"/>
      <c r="Y23" s="14"/>
      <c r="Z23" s="14"/>
      <c r="AA23" s="36">
        <f>SUM(AA20:AA22)</f>
        <v>29.20288</v>
      </c>
    </row>
    <row r="24" spans="1:27" ht="15" customHeight="1">
      <c r="B24" t="s">
        <v>870</v>
      </c>
      <c r="F24" s="8" t="s">
        <v>296</v>
      </c>
      <c r="H24" s="12">
        <v>0.93309705900640416</v>
      </c>
      <c r="I24" s="12">
        <f>AA42</f>
        <v>5.5329804445000006</v>
      </c>
      <c r="J24" s="12">
        <f t="shared" si="0"/>
        <v>5.1628077803028978</v>
      </c>
    </row>
    <row r="25" spans="1:27" ht="15" customHeight="1">
      <c r="B25" t="s">
        <v>871</v>
      </c>
      <c r="F25" s="8" t="s">
        <v>203</v>
      </c>
      <c r="H25" s="12">
        <v>5.8081514642790511E-3</v>
      </c>
      <c r="I25" s="12">
        <f>AA58</f>
        <v>377.33894000000004</v>
      </c>
      <c r="J25" s="12">
        <f t="shared" si="0"/>
        <v>2.1916417168905054</v>
      </c>
      <c r="R25" s="31" t="s">
        <v>277</v>
      </c>
      <c r="S25" s="31"/>
      <c r="T25" s="31" t="s">
        <v>872</v>
      </c>
      <c r="U25" s="31"/>
    </row>
    <row r="26" spans="1:27" ht="15" customHeight="1">
      <c r="B26" t="s">
        <v>873</v>
      </c>
      <c r="F26" s="8" t="s">
        <v>133</v>
      </c>
      <c r="H26" s="12">
        <v>7.7442019523720679E-2</v>
      </c>
      <c r="I26" s="12">
        <f>AA79</f>
        <v>71.158619999999999</v>
      </c>
      <c r="J26" s="12">
        <f t="shared" si="0"/>
        <v>5.5106672393210205</v>
      </c>
      <c r="R26" s="31" t="s">
        <v>278</v>
      </c>
      <c r="S26" s="31" t="s">
        <v>279</v>
      </c>
      <c r="T26" s="32" t="s">
        <v>280</v>
      </c>
      <c r="U26" s="33">
        <v>12</v>
      </c>
      <c r="V26" s="32" t="s">
        <v>281</v>
      </c>
      <c r="W26" s="33">
        <f>U26</f>
        <v>12</v>
      </c>
      <c r="X26" s="31" t="s">
        <v>282</v>
      </c>
      <c r="Z26" s="32" t="s">
        <v>133</v>
      </c>
      <c r="AA26" s="34">
        <f>AA31+AA36+AA39</f>
        <v>56.161166666666666</v>
      </c>
    </row>
    <row r="27" spans="1:27" ht="15" customHeight="1">
      <c r="B27" t="s">
        <v>874</v>
      </c>
      <c r="F27" s="8" t="s">
        <v>296</v>
      </c>
      <c r="H27" s="12">
        <v>0.90090882712595066</v>
      </c>
      <c r="I27" s="12">
        <f>AA96</f>
        <v>5.4621164445000003</v>
      </c>
      <c r="J27" s="12">
        <f t="shared" si="0"/>
        <v>4.9208689196398634</v>
      </c>
      <c r="R27" s="31" t="s">
        <v>283</v>
      </c>
      <c r="S27" s="31" t="s">
        <v>284</v>
      </c>
      <c r="W27" s="32" t="s">
        <v>122</v>
      </c>
      <c r="X27" s="32" t="s">
        <v>285</v>
      </c>
      <c r="Y27" s="32" t="s">
        <v>286</v>
      </c>
      <c r="Z27" s="32" t="s">
        <v>287</v>
      </c>
      <c r="AA27" s="32" t="s">
        <v>288</v>
      </c>
    </row>
    <row r="28" spans="1:27" ht="15" customHeight="1">
      <c r="B28" t="s">
        <v>875</v>
      </c>
      <c r="F28" s="8" t="s">
        <v>144</v>
      </c>
      <c r="H28" s="12">
        <v>0.24870981782005841</v>
      </c>
      <c r="I28" s="12">
        <f>AA112</f>
        <v>54.909137999999999</v>
      </c>
      <c r="J28" s="12">
        <f t="shared" si="0"/>
        <v>13.656441708636446</v>
      </c>
      <c r="N28" s="65"/>
      <c r="O28" s="65"/>
      <c r="P28" s="65"/>
      <c r="Q28" s="65"/>
      <c r="S28" s="35" t="s">
        <v>289</v>
      </c>
    </row>
    <row r="29" spans="1:27" ht="15" customHeight="1">
      <c r="A29" s="14"/>
      <c r="B29" s="66"/>
      <c r="C29" s="66"/>
      <c r="D29" s="66"/>
      <c r="E29" s="66"/>
      <c r="F29" s="66"/>
      <c r="G29" s="66"/>
      <c r="H29" s="66"/>
      <c r="I29" s="14"/>
      <c r="J29" s="36">
        <f>SUM(J22:J28)</f>
        <v>42.878963926792011</v>
      </c>
      <c r="N29" s="65"/>
      <c r="O29" s="65"/>
      <c r="P29" s="65"/>
      <c r="Q29" s="65"/>
      <c r="S29" t="s">
        <v>290</v>
      </c>
      <c r="W29" s="8" t="s">
        <v>291</v>
      </c>
      <c r="X29" s="9">
        <v>1</v>
      </c>
      <c r="Y29" s="10">
        <f>X29*8/$U$26</f>
        <v>0.66666666666666663</v>
      </c>
      <c r="Z29" s="12">
        <v>28.94</v>
      </c>
      <c r="AA29" s="12">
        <f>Y29*Z29</f>
        <v>19.293333333333333</v>
      </c>
    </row>
    <row r="30" spans="1:27">
      <c r="O30" s="65"/>
      <c r="P30" s="65"/>
      <c r="Q30" s="65"/>
      <c r="S30" t="s">
        <v>293</v>
      </c>
      <c r="W30" s="8" t="s">
        <v>291</v>
      </c>
      <c r="X30" s="9">
        <v>1</v>
      </c>
      <c r="Y30" s="10">
        <f>X30*8/$U$26</f>
        <v>0.66666666666666663</v>
      </c>
      <c r="Z30">
        <v>20.51</v>
      </c>
      <c r="AA30" s="12">
        <f>Y30*Z30</f>
        <v>13.673333333333334</v>
      </c>
    </row>
    <row r="31" spans="1:27" ht="15" customHeight="1">
      <c r="A31" s="31" t="s">
        <v>277</v>
      </c>
      <c r="B31" s="31" t="str">
        <f>ARQUITECTURA!A5</f>
        <v>03.01.02</v>
      </c>
      <c r="C31" s="31" t="s">
        <v>759</v>
      </c>
      <c r="D31" s="31"/>
      <c r="O31" s="65"/>
      <c r="P31" s="65"/>
      <c r="Q31" s="65"/>
      <c r="W31" s="8"/>
      <c r="X31" s="9"/>
      <c r="Y31" s="10"/>
      <c r="AA31" s="34">
        <f>SUM(AA29:AA30)</f>
        <v>32.966666666666669</v>
      </c>
    </row>
    <row r="32" spans="1:27">
      <c r="A32" s="31" t="s">
        <v>278</v>
      </c>
      <c r="B32" s="31" t="s">
        <v>279</v>
      </c>
      <c r="C32" s="32" t="s">
        <v>280</v>
      </c>
      <c r="D32" s="33">
        <v>10</v>
      </c>
      <c r="E32" s="32" t="s">
        <v>281</v>
      </c>
      <c r="F32" s="33">
        <f>D32</f>
        <v>10</v>
      </c>
      <c r="G32" s="31" t="s">
        <v>282</v>
      </c>
      <c r="I32" s="32" t="s">
        <v>133</v>
      </c>
      <c r="J32" s="34">
        <f>J37+J43+J47</f>
        <v>150.06569999999999</v>
      </c>
      <c r="O32" s="65"/>
      <c r="P32" s="65"/>
      <c r="Q32" s="65"/>
      <c r="S32" s="35" t="s">
        <v>653</v>
      </c>
      <c r="W32" s="8"/>
      <c r="X32" s="9"/>
      <c r="Y32" s="10"/>
      <c r="AA32" s="12"/>
    </row>
    <row r="33" spans="1:27" ht="15" customHeight="1">
      <c r="A33" s="31" t="s">
        <v>283</v>
      </c>
      <c r="B33" s="31" t="s">
        <v>284</v>
      </c>
      <c r="F33" s="32" t="s">
        <v>122</v>
      </c>
      <c r="G33" s="32" t="s">
        <v>285</v>
      </c>
      <c r="H33" s="32" t="s">
        <v>286</v>
      </c>
      <c r="I33" s="32" t="s">
        <v>287</v>
      </c>
      <c r="J33" s="32" t="s">
        <v>288</v>
      </c>
      <c r="O33" s="65"/>
      <c r="P33" s="65"/>
      <c r="Q33" s="65"/>
      <c r="S33" t="s">
        <v>688</v>
      </c>
      <c r="W33" s="8" t="s">
        <v>296</v>
      </c>
      <c r="Y33" s="10">
        <v>0.2</v>
      </c>
      <c r="Z33" s="12">
        <v>2.64</v>
      </c>
      <c r="AA33" s="12">
        <f>Y33*Z33</f>
        <v>0.52800000000000002</v>
      </c>
    </row>
    <row r="34" spans="1:27">
      <c r="B34" s="35" t="s">
        <v>289</v>
      </c>
      <c r="S34" t="s">
        <v>301</v>
      </c>
      <c r="W34" s="8" t="s">
        <v>296</v>
      </c>
      <c r="Y34" s="10">
        <v>0.25</v>
      </c>
      <c r="Z34" s="12">
        <v>5.51</v>
      </c>
      <c r="AA34" s="12">
        <f>Y34*Z34</f>
        <v>1.3774999999999999</v>
      </c>
    </row>
    <row r="35" spans="1:27" ht="15" customHeight="1">
      <c r="B35" t="s">
        <v>290</v>
      </c>
      <c r="F35" s="8" t="s">
        <v>291</v>
      </c>
      <c r="G35" s="9">
        <v>2</v>
      </c>
      <c r="H35" s="10">
        <f>G35*8/$D$32</f>
        <v>1.6</v>
      </c>
      <c r="I35" s="12">
        <v>28.94</v>
      </c>
      <c r="J35" s="12">
        <f>H35*I35</f>
        <v>46.304000000000002</v>
      </c>
      <c r="S35" t="s">
        <v>669</v>
      </c>
      <c r="W35" s="8" t="s">
        <v>305</v>
      </c>
      <c r="Y35" s="10">
        <v>3.5</v>
      </c>
      <c r="Z35" s="12">
        <v>5.8</v>
      </c>
      <c r="AA35" s="12">
        <f>Y35*Z35</f>
        <v>20.3</v>
      </c>
    </row>
    <row r="36" spans="1:27">
      <c r="B36" t="s">
        <v>293</v>
      </c>
      <c r="F36" s="8" t="s">
        <v>291</v>
      </c>
      <c r="G36" s="9">
        <v>1</v>
      </c>
      <c r="H36" s="10">
        <f>G36*8/$D$32</f>
        <v>0.8</v>
      </c>
      <c r="I36" s="12">
        <v>20.51</v>
      </c>
      <c r="J36" s="12">
        <f>H36*I36</f>
        <v>16.408000000000001</v>
      </c>
      <c r="W36" s="8"/>
      <c r="Y36" s="10"/>
      <c r="Z36" s="12"/>
      <c r="AA36" s="34">
        <f>SUM(AA33:AA35)</f>
        <v>22.205500000000001</v>
      </c>
    </row>
    <row r="37" spans="1:27">
      <c r="F37" s="8"/>
      <c r="G37" s="9"/>
      <c r="H37" s="10"/>
      <c r="I37" s="12"/>
      <c r="J37" s="34">
        <f>SUM(J35:J36)</f>
        <v>62.712000000000003</v>
      </c>
      <c r="S37" s="35" t="s">
        <v>309</v>
      </c>
    </row>
    <row r="38" spans="1:27" ht="15" customHeight="1">
      <c r="B38" s="35" t="s">
        <v>653</v>
      </c>
      <c r="F38" s="8"/>
      <c r="G38" s="9"/>
      <c r="H38" s="10"/>
      <c r="J38" s="12"/>
      <c r="S38" t="s">
        <v>310</v>
      </c>
      <c r="W38" s="8" t="s">
        <v>311</v>
      </c>
      <c r="Y38" s="10">
        <v>3</v>
      </c>
      <c r="Z38" s="12">
        <f>AA31</f>
        <v>32.966666666666669</v>
      </c>
      <c r="AA38" s="12">
        <f>Y38%*Z38</f>
        <v>0.98899999999999999</v>
      </c>
    </row>
    <row r="39" spans="1:27" ht="15" customHeight="1">
      <c r="B39" t="s">
        <v>655</v>
      </c>
      <c r="F39" s="8" t="s">
        <v>203</v>
      </c>
      <c r="H39" s="10">
        <v>1.4999999999999999E-2</v>
      </c>
      <c r="I39">
        <v>6.14</v>
      </c>
      <c r="J39" s="12">
        <f>H39*I39</f>
        <v>9.2099999999999987E-2</v>
      </c>
      <c r="R39" s="14"/>
      <c r="S39" s="14"/>
      <c r="T39" s="14"/>
      <c r="U39" s="14"/>
      <c r="V39" s="14"/>
      <c r="W39" s="14"/>
      <c r="X39" s="14"/>
      <c r="Y39" s="14"/>
      <c r="Z39" s="14"/>
      <c r="AA39" s="36">
        <f>SUM(AA38)</f>
        <v>0.98899999999999999</v>
      </c>
    </row>
    <row r="40" spans="1:27">
      <c r="B40" t="s">
        <v>673</v>
      </c>
      <c r="F40" s="8" t="s">
        <v>203</v>
      </c>
      <c r="H40" s="10">
        <v>0.06</v>
      </c>
      <c r="I40" s="12">
        <v>47</v>
      </c>
      <c r="J40" s="12">
        <f>H40*I40</f>
        <v>2.82</v>
      </c>
    </row>
    <row r="41" spans="1:27">
      <c r="B41" t="s">
        <v>306</v>
      </c>
      <c r="F41" s="8" t="s">
        <v>307</v>
      </c>
      <c r="H41">
        <v>0.49</v>
      </c>
      <c r="I41" s="12">
        <v>24.52</v>
      </c>
      <c r="J41" s="12">
        <f>H41*I41</f>
        <v>12.014799999999999</v>
      </c>
      <c r="R41" s="31" t="s">
        <v>277</v>
      </c>
      <c r="S41" s="31"/>
      <c r="T41" s="31" t="s">
        <v>876</v>
      </c>
      <c r="U41" s="31"/>
    </row>
    <row r="42" spans="1:27">
      <c r="B42" t="s">
        <v>865</v>
      </c>
      <c r="F42" s="8" t="s">
        <v>149</v>
      </c>
      <c r="H42" s="12">
        <v>69</v>
      </c>
      <c r="I42">
        <v>1.02</v>
      </c>
      <c r="J42" s="12">
        <f>H42*I42</f>
        <v>70.38</v>
      </c>
      <c r="R42" s="31" t="s">
        <v>278</v>
      </c>
      <c r="S42" s="31" t="s">
        <v>279</v>
      </c>
      <c r="T42" s="32" t="s">
        <v>280</v>
      </c>
      <c r="U42" s="33">
        <v>250</v>
      </c>
      <c r="V42" s="32" t="s">
        <v>281</v>
      </c>
      <c r="W42" s="33">
        <f>U42</f>
        <v>250</v>
      </c>
      <c r="X42" s="31" t="s">
        <v>282</v>
      </c>
      <c r="Z42" s="32" t="s">
        <v>133</v>
      </c>
      <c r="AA42" s="34">
        <f>AA47+AA51+AA55</f>
        <v>5.5329804445000006</v>
      </c>
    </row>
    <row r="43" spans="1:27">
      <c r="F43" s="8"/>
      <c r="H43" s="10"/>
      <c r="I43" s="12"/>
      <c r="J43" s="34">
        <f>SUM(J39:J42)</f>
        <v>85.306899999999999</v>
      </c>
      <c r="R43" s="31" t="s">
        <v>283</v>
      </c>
      <c r="S43" s="31" t="s">
        <v>284</v>
      </c>
      <c r="W43" s="32" t="s">
        <v>122</v>
      </c>
      <c r="X43" s="32" t="s">
        <v>285</v>
      </c>
      <c r="Y43" s="32" t="s">
        <v>286</v>
      </c>
      <c r="Z43" s="32" t="s">
        <v>287</v>
      </c>
      <c r="AA43" s="32" t="s">
        <v>288</v>
      </c>
    </row>
    <row r="44" spans="1:27">
      <c r="B44" s="35" t="s">
        <v>309</v>
      </c>
      <c r="S44" s="35" t="s">
        <v>289</v>
      </c>
    </row>
    <row r="45" spans="1:27">
      <c r="B45" t="s">
        <v>310</v>
      </c>
      <c r="F45" s="8" t="s">
        <v>311</v>
      </c>
      <c r="H45" s="10">
        <v>3</v>
      </c>
      <c r="I45" s="12">
        <f>J37</f>
        <v>62.712000000000003</v>
      </c>
      <c r="J45" s="12">
        <f>H45%*I45</f>
        <v>1.8813599999999999</v>
      </c>
      <c r="S45" t="s">
        <v>290</v>
      </c>
      <c r="W45" s="8" t="s">
        <v>291</v>
      </c>
      <c r="X45" s="9">
        <v>1</v>
      </c>
      <c r="Y45" s="10">
        <f>X45*8/$U$42</f>
        <v>3.2000000000000001E-2</v>
      </c>
      <c r="Z45" s="12">
        <v>28.94</v>
      </c>
      <c r="AA45" s="12">
        <f>Y45*Z45</f>
        <v>0.92608000000000001</v>
      </c>
    </row>
    <row r="46" spans="1:27">
      <c r="B46" t="s">
        <v>866</v>
      </c>
      <c r="F46" s="8" t="s">
        <v>867</v>
      </c>
      <c r="G46" s="9">
        <v>2</v>
      </c>
      <c r="H46" s="10">
        <f>G46*8/$D$32</f>
        <v>1.6</v>
      </c>
      <c r="I46">
        <v>10.34</v>
      </c>
      <c r="J46" s="12">
        <f>H46%*I46</f>
        <v>0.16544</v>
      </c>
      <c r="S46" t="s">
        <v>679</v>
      </c>
      <c r="W46" s="8" t="s">
        <v>291</v>
      </c>
      <c r="X46" s="9">
        <v>1</v>
      </c>
      <c r="Y46" s="10">
        <f>X46*8/$U$42</f>
        <v>3.2000000000000001E-2</v>
      </c>
      <c r="Z46" s="12">
        <v>22.66</v>
      </c>
      <c r="AA46" s="12">
        <f>Y46*Z46</f>
        <v>0.72511999999999999</v>
      </c>
    </row>
    <row r="47" spans="1:27">
      <c r="A47" s="14"/>
      <c r="B47" s="14"/>
      <c r="C47" s="14"/>
      <c r="D47" s="14"/>
      <c r="E47" s="14"/>
      <c r="F47" s="14"/>
      <c r="G47" s="14"/>
      <c r="H47" s="14"/>
      <c r="I47" s="14"/>
      <c r="J47" s="36">
        <f>SUM(J45:J46)</f>
        <v>2.0467999999999997</v>
      </c>
      <c r="W47" s="8"/>
      <c r="X47" s="9"/>
      <c r="AA47" s="48">
        <f>SUM(AA45:AA46)</f>
        <v>1.6512</v>
      </c>
    </row>
    <row r="48" spans="1:27">
      <c r="S48" s="47" t="s">
        <v>294</v>
      </c>
      <c r="W48" s="8"/>
      <c r="X48" s="9"/>
      <c r="Y48" s="18"/>
    </row>
    <row r="49" spans="1:27">
      <c r="A49" s="31" t="s">
        <v>277</v>
      </c>
      <c r="B49" s="31" t="str">
        <f>ARQUITECTURA!A6</f>
        <v>03.01.03</v>
      </c>
      <c r="C49" s="31" t="s">
        <v>761</v>
      </c>
      <c r="D49" s="31"/>
      <c r="S49" t="s">
        <v>295</v>
      </c>
      <c r="W49" s="8" t="s">
        <v>296</v>
      </c>
      <c r="X49" s="9"/>
      <c r="Y49" s="18">
        <v>0.03</v>
      </c>
      <c r="Z49" s="12">
        <v>2.64</v>
      </c>
      <c r="AA49" s="12">
        <f>Y49*Z49</f>
        <v>7.9200000000000007E-2</v>
      </c>
    </row>
    <row r="50" spans="1:27">
      <c r="A50" s="31" t="s">
        <v>278</v>
      </c>
      <c r="B50" s="31" t="s">
        <v>279</v>
      </c>
      <c r="C50" s="32" t="s">
        <v>280</v>
      </c>
      <c r="D50" s="33">
        <v>14</v>
      </c>
      <c r="E50" s="32" t="s">
        <v>281</v>
      </c>
      <c r="F50" s="33">
        <f>D50</f>
        <v>14</v>
      </c>
      <c r="G50" s="31" t="s">
        <v>282</v>
      </c>
      <c r="I50" s="32" t="s">
        <v>133</v>
      </c>
      <c r="J50" s="34">
        <f>J57+J68+J71</f>
        <v>141.06679428571431</v>
      </c>
      <c r="S50" t="s">
        <v>680</v>
      </c>
      <c r="W50" s="8" t="s">
        <v>296</v>
      </c>
      <c r="X50" s="9"/>
      <c r="Y50" s="18">
        <v>1.05</v>
      </c>
      <c r="Z50" s="12">
        <f>1012.71*3.379/1000</f>
        <v>3.4219470900000002</v>
      </c>
      <c r="AA50" s="12">
        <f>Y50*Z50</f>
        <v>3.5930444445000003</v>
      </c>
    </row>
    <row r="51" spans="1:27">
      <c r="A51" s="31" t="s">
        <v>283</v>
      </c>
      <c r="B51" s="31" t="s">
        <v>284</v>
      </c>
      <c r="F51" s="32" t="s">
        <v>122</v>
      </c>
      <c r="G51" s="32" t="s">
        <v>285</v>
      </c>
      <c r="H51" s="32" t="s">
        <v>286</v>
      </c>
      <c r="I51" s="32" t="s">
        <v>287</v>
      </c>
      <c r="J51" s="32" t="s">
        <v>288</v>
      </c>
      <c r="L51" s="31"/>
      <c r="M51" s="31"/>
      <c r="N51" s="65"/>
      <c r="W51" s="8"/>
      <c r="X51" s="9"/>
      <c r="AA51" s="48">
        <f>SUM(AA49:AA50)</f>
        <v>3.6722444445000004</v>
      </c>
    </row>
    <row r="52" spans="1:27">
      <c r="B52" s="35" t="s">
        <v>289</v>
      </c>
      <c r="M52" s="31"/>
      <c r="N52" s="65"/>
      <c r="S52" s="47" t="s">
        <v>317</v>
      </c>
      <c r="W52" s="8"/>
      <c r="X52" s="9"/>
    </row>
    <row r="53" spans="1:27">
      <c r="B53" t="s">
        <v>877</v>
      </c>
      <c r="F53" s="8" t="s">
        <v>291</v>
      </c>
      <c r="G53" s="9">
        <v>0.1</v>
      </c>
      <c r="H53" s="10">
        <f>G53*8/$D$50</f>
        <v>5.7142857142857148E-2</v>
      </c>
      <c r="I53" s="12">
        <v>34.729999999999997</v>
      </c>
      <c r="J53" s="12">
        <f>H53*I53</f>
        <v>1.9845714285714287</v>
      </c>
      <c r="M53" s="31"/>
      <c r="N53" s="65"/>
      <c r="S53" t="s">
        <v>310</v>
      </c>
      <c r="W53" s="8" t="s">
        <v>311</v>
      </c>
      <c r="Y53" s="10">
        <v>3</v>
      </c>
      <c r="Z53" s="12">
        <f>AA47</f>
        <v>1.6512</v>
      </c>
      <c r="AA53" s="12">
        <f>Y53%*Z53</f>
        <v>4.9535999999999997E-2</v>
      </c>
    </row>
    <row r="54" spans="1:27">
      <c r="B54" t="s">
        <v>290</v>
      </c>
      <c r="F54" s="8" t="s">
        <v>291</v>
      </c>
      <c r="G54" s="9">
        <v>1</v>
      </c>
      <c r="H54" s="10">
        <f>G54*8/$D$50</f>
        <v>0.5714285714285714</v>
      </c>
      <c r="I54" s="12">
        <v>28.94</v>
      </c>
      <c r="J54" s="12">
        <f>H54*I54</f>
        <v>16.537142857142857</v>
      </c>
      <c r="N54" s="65"/>
      <c r="S54" t="s">
        <v>681</v>
      </c>
      <c r="W54" s="8" t="s">
        <v>291</v>
      </c>
      <c r="X54" s="9">
        <v>1</v>
      </c>
      <c r="Y54" s="10">
        <f>X54*8/$U$42</f>
        <v>3.2000000000000001E-2</v>
      </c>
      <c r="Z54" s="50">
        <v>5</v>
      </c>
      <c r="AA54" s="12">
        <f>Y54*Z54</f>
        <v>0.16</v>
      </c>
    </row>
    <row r="55" spans="1:27">
      <c r="B55" t="s">
        <v>292</v>
      </c>
      <c r="F55" s="8" t="s">
        <v>291</v>
      </c>
      <c r="G55" s="9">
        <v>1</v>
      </c>
      <c r="H55" s="10">
        <f>G55*8/$D$50</f>
        <v>0.5714285714285714</v>
      </c>
      <c r="I55" s="12">
        <v>22.66</v>
      </c>
      <c r="J55" s="12">
        <f>H55*I55</f>
        <v>12.948571428571428</v>
      </c>
      <c r="R55" s="14"/>
      <c r="S55" s="14"/>
      <c r="T55" s="14"/>
      <c r="U55" s="14"/>
      <c r="V55" s="14"/>
      <c r="W55" s="14"/>
      <c r="X55" s="14"/>
      <c r="Y55" s="14"/>
      <c r="Z55" s="14"/>
      <c r="AA55" s="49">
        <f>SUM(AA53:AA54)</f>
        <v>0.209536</v>
      </c>
    </row>
    <row r="56" spans="1:27">
      <c r="B56" t="s">
        <v>293</v>
      </c>
      <c r="F56" s="8" t="s">
        <v>291</v>
      </c>
      <c r="G56" s="9">
        <v>1</v>
      </c>
      <c r="H56" s="10">
        <f>G56*8/$D$50</f>
        <v>0.5714285714285714</v>
      </c>
      <c r="I56" s="12">
        <v>20.51</v>
      </c>
      <c r="J56" s="12">
        <f>H56*I56</f>
        <v>11.72</v>
      </c>
      <c r="K56" s="12"/>
    </row>
    <row r="57" spans="1:27">
      <c r="F57" s="8"/>
      <c r="G57" s="9"/>
      <c r="H57" s="10"/>
      <c r="I57" s="12"/>
      <c r="J57" s="34">
        <f>SUM(J53:J56)</f>
        <v>43.190285714285714</v>
      </c>
      <c r="K57" s="12"/>
      <c r="R57" s="31" t="s">
        <v>277</v>
      </c>
      <c r="S57" s="31"/>
      <c r="T57" s="31" t="s">
        <v>878</v>
      </c>
      <c r="U57" s="31"/>
    </row>
    <row r="58" spans="1:27">
      <c r="B58" s="35" t="s">
        <v>653</v>
      </c>
      <c r="F58" s="8"/>
      <c r="G58" s="9"/>
      <c r="H58" s="10"/>
      <c r="J58" s="12"/>
      <c r="K58" s="12"/>
      <c r="R58" s="31" t="s">
        <v>278</v>
      </c>
      <c r="S58" s="31" t="s">
        <v>416</v>
      </c>
      <c r="T58" s="32" t="s">
        <v>280</v>
      </c>
      <c r="U58" s="33">
        <v>20</v>
      </c>
      <c r="V58" s="32" t="s">
        <v>281</v>
      </c>
      <c r="W58" s="33">
        <f>U58</f>
        <v>20</v>
      </c>
      <c r="X58" s="31" t="s">
        <v>282</v>
      </c>
      <c r="Z58" s="32" t="s">
        <v>203</v>
      </c>
      <c r="AA58" s="34">
        <f>AA64+AA71+AA76</f>
        <v>377.33894000000004</v>
      </c>
    </row>
    <row r="59" spans="1:27" ht="15" customHeight="1">
      <c r="B59" t="s">
        <v>879</v>
      </c>
      <c r="F59" s="8" t="s">
        <v>149</v>
      </c>
      <c r="H59" s="10">
        <v>0.4</v>
      </c>
      <c r="I59" s="12">
        <v>5.3</v>
      </c>
      <c r="J59" s="12">
        <f>H59*I59</f>
        <v>2.12</v>
      </c>
      <c r="R59" s="31" t="s">
        <v>283</v>
      </c>
      <c r="S59" s="31" t="s">
        <v>284</v>
      </c>
      <c r="W59" s="32" t="s">
        <v>122</v>
      </c>
      <c r="X59" s="32" t="s">
        <v>285</v>
      </c>
      <c r="Y59" s="32" t="s">
        <v>286</v>
      </c>
      <c r="Z59" s="32" t="s">
        <v>287</v>
      </c>
      <c r="AA59" s="32" t="s">
        <v>288</v>
      </c>
    </row>
    <row r="60" spans="1:27" ht="15" customHeight="1">
      <c r="B60" t="s">
        <v>880</v>
      </c>
      <c r="F60" s="8" t="s">
        <v>149</v>
      </c>
      <c r="H60" s="10">
        <v>8</v>
      </c>
      <c r="I60" s="12">
        <v>0.12</v>
      </c>
      <c r="J60" s="12">
        <f>H60*I60</f>
        <v>0.96</v>
      </c>
      <c r="S60" s="35" t="s">
        <v>289</v>
      </c>
    </row>
    <row r="61" spans="1:27" ht="15" customHeight="1">
      <c r="B61" t="s">
        <v>881</v>
      </c>
      <c r="F61" s="8" t="s">
        <v>149</v>
      </c>
      <c r="H61" s="10">
        <v>2.2000000000000002</v>
      </c>
      <c r="I61" s="12">
        <v>16.2</v>
      </c>
      <c r="J61" s="12">
        <f>H61*I61</f>
        <v>35.64</v>
      </c>
      <c r="S61" t="s">
        <v>290</v>
      </c>
      <c r="W61" s="8" t="s">
        <v>291</v>
      </c>
      <c r="X61" s="9">
        <v>2</v>
      </c>
      <c r="Y61" s="10">
        <f>X61*8/$U$58</f>
        <v>0.8</v>
      </c>
      <c r="Z61" s="12">
        <v>28.94</v>
      </c>
      <c r="AA61" s="12">
        <f>Y61*Z61</f>
        <v>23.152000000000001</v>
      </c>
    </row>
    <row r="62" spans="1:27" ht="15" customHeight="1">
      <c r="B62" t="s">
        <v>882</v>
      </c>
      <c r="F62" s="8" t="s">
        <v>149</v>
      </c>
      <c r="H62" s="10">
        <v>0.12</v>
      </c>
      <c r="I62" s="12">
        <v>9.24</v>
      </c>
      <c r="J62" s="12">
        <f>H62*I62</f>
        <v>1.1088</v>
      </c>
      <c r="S62" t="s">
        <v>292</v>
      </c>
      <c r="W62" s="8" t="s">
        <v>291</v>
      </c>
      <c r="X62" s="9">
        <v>1</v>
      </c>
      <c r="Y62" s="10">
        <f>X62*8/$U$58</f>
        <v>0.4</v>
      </c>
      <c r="Z62" s="12">
        <v>22.66</v>
      </c>
      <c r="AA62" s="12">
        <f>Y62*Z62</f>
        <v>9.0640000000000001</v>
      </c>
    </row>
    <row r="63" spans="1:27" ht="15" customHeight="1">
      <c r="B63" t="s">
        <v>883</v>
      </c>
      <c r="F63" s="8" t="s">
        <v>431</v>
      </c>
      <c r="H63" s="10">
        <v>0.35000000000000003</v>
      </c>
      <c r="I63" s="12">
        <v>39.9</v>
      </c>
      <c r="J63" s="12">
        <f t="shared" ref="J63:J67" si="1">H63*I63</f>
        <v>13.965000000000002</v>
      </c>
      <c r="S63" t="s">
        <v>293</v>
      </c>
      <c r="W63" s="8" t="s">
        <v>291</v>
      </c>
      <c r="X63" s="9">
        <v>8</v>
      </c>
      <c r="Y63" s="10">
        <f>X63*8/$U$58</f>
        <v>3.2</v>
      </c>
      <c r="Z63" s="12">
        <v>20.51</v>
      </c>
      <c r="AA63" s="12">
        <f>Y63*Z63</f>
        <v>65.632000000000005</v>
      </c>
    </row>
    <row r="64" spans="1:27" ht="15" customHeight="1">
      <c r="B64" t="s">
        <v>884</v>
      </c>
      <c r="F64" s="8" t="s">
        <v>149</v>
      </c>
      <c r="H64" s="10">
        <v>6</v>
      </c>
      <c r="I64" s="12">
        <v>0.1</v>
      </c>
      <c r="J64" s="12">
        <f t="shared" si="1"/>
        <v>0.60000000000000009</v>
      </c>
      <c r="W64" s="8"/>
      <c r="X64" s="9"/>
      <c r="Y64" s="10"/>
      <c r="AA64" s="34">
        <f>SUM(AA61:AA63)</f>
        <v>97.848000000000013</v>
      </c>
    </row>
    <row r="65" spans="1:27" ht="15" customHeight="1">
      <c r="B65" t="s">
        <v>885</v>
      </c>
      <c r="F65" s="8" t="s">
        <v>149</v>
      </c>
      <c r="H65" s="10">
        <v>8</v>
      </c>
      <c r="I65" s="12">
        <v>0.02</v>
      </c>
      <c r="J65" s="12">
        <f t="shared" si="1"/>
        <v>0.16</v>
      </c>
      <c r="S65" s="35" t="s">
        <v>653</v>
      </c>
      <c r="W65" s="8"/>
      <c r="X65" s="9"/>
      <c r="Y65" s="10"/>
      <c r="AA65" s="12"/>
    </row>
    <row r="66" spans="1:27" ht="15" customHeight="1">
      <c r="B66" t="s">
        <v>886</v>
      </c>
      <c r="F66" s="8" t="s">
        <v>149</v>
      </c>
      <c r="H66" s="10">
        <v>0.70000000000000007</v>
      </c>
      <c r="I66" s="12">
        <v>53</v>
      </c>
      <c r="J66" s="12">
        <f t="shared" si="1"/>
        <v>37.1</v>
      </c>
      <c r="S66" t="s">
        <v>672</v>
      </c>
      <c r="W66" s="8" t="s">
        <v>203</v>
      </c>
      <c r="Y66" s="10">
        <v>0.55000000000000004</v>
      </c>
      <c r="Z66" s="12">
        <v>55.08</v>
      </c>
      <c r="AA66" s="12">
        <f>Y66*Z66</f>
        <v>30.294</v>
      </c>
    </row>
    <row r="67" spans="1:27" ht="15" customHeight="1">
      <c r="B67" t="s">
        <v>887</v>
      </c>
      <c r="F67" s="8" t="s">
        <v>149</v>
      </c>
      <c r="H67" s="10">
        <v>0.65</v>
      </c>
      <c r="I67" s="12">
        <v>7.58</v>
      </c>
      <c r="J67" s="12">
        <f t="shared" si="1"/>
        <v>4.9270000000000005</v>
      </c>
      <c r="S67" t="s">
        <v>673</v>
      </c>
      <c r="W67" s="8" t="s">
        <v>203</v>
      </c>
      <c r="Y67" s="10">
        <v>0.51</v>
      </c>
      <c r="Z67" s="12">
        <v>47</v>
      </c>
      <c r="AA67" s="12">
        <f>Y67*Z67</f>
        <v>23.97</v>
      </c>
    </row>
    <row r="68" spans="1:27">
      <c r="F68" s="8"/>
      <c r="H68" s="10"/>
      <c r="I68" s="12"/>
      <c r="J68" s="34">
        <f>SUM(J59:J67)</f>
        <v>96.580800000000011</v>
      </c>
      <c r="S68" t="s">
        <v>306</v>
      </c>
      <c r="W68" s="8" t="s">
        <v>307</v>
      </c>
      <c r="Y68" s="10">
        <v>8.43</v>
      </c>
      <c r="Z68" s="12">
        <v>24.52</v>
      </c>
      <c r="AA68" s="12">
        <f>Y68*Z68</f>
        <v>206.70359999999999</v>
      </c>
    </row>
    <row r="69" spans="1:27">
      <c r="B69" s="35" t="s">
        <v>309</v>
      </c>
      <c r="S69" t="s">
        <v>655</v>
      </c>
      <c r="W69" s="8" t="s">
        <v>203</v>
      </c>
      <c r="Y69" s="10">
        <v>0.185</v>
      </c>
      <c r="Z69">
        <v>6.14</v>
      </c>
      <c r="AA69" s="12">
        <f>Y69*Z69</f>
        <v>1.1358999999999999</v>
      </c>
    </row>
    <row r="70" spans="1:27">
      <c r="B70" t="s">
        <v>310</v>
      </c>
      <c r="F70" s="8" t="s">
        <v>311</v>
      </c>
      <c r="H70" s="10">
        <v>3</v>
      </c>
      <c r="I70" s="12">
        <f>J57</f>
        <v>43.190285714285714</v>
      </c>
      <c r="J70" s="12">
        <f>H70%*I70</f>
        <v>1.2957085714285714</v>
      </c>
      <c r="S70" t="s">
        <v>665</v>
      </c>
      <c r="W70" s="8" t="s">
        <v>439</v>
      </c>
      <c r="Y70" s="10">
        <v>0.2</v>
      </c>
      <c r="Z70">
        <v>13.93</v>
      </c>
      <c r="AA70" s="12">
        <f>Y70*Z70</f>
        <v>2.786</v>
      </c>
    </row>
    <row r="71" spans="1:27">
      <c r="A71" s="14"/>
      <c r="B71" s="14"/>
      <c r="C71" s="14"/>
      <c r="D71" s="14"/>
      <c r="E71" s="14"/>
      <c r="F71" s="14"/>
      <c r="G71" s="14"/>
      <c r="H71" s="14"/>
      <c r="I71" s="14"/>
      <c r="J71" s="36">
        <f>SUM(J70:J70)</f>
        <v>1.2957085714285714</v>
      </c>
      <c r="W71" s="8"/>
      <c r="Y71" s="10"/>
      <c r="Z71" s="12"/>
      <c r="AA71" s="34">
        <f>SUM(AA66:AA70)</f>
        <v>264.8895</v>
      </c>
    </row>
    <row r="72" spans="1:27">
      <c r="R72" s="35" t="s">
        <v>309</v>
      </c>
    </row>
    <row r="73" spans="1:27">
      <c r="A73" s="31" t="s">
        <v>277</v>
      </c>
      <c r="B73" s="31" t="str">
        <f>ARQUITECTURA!A7</f>
        <v>03.01.04</v>
      </c>
      <c r="C73" s="31" t="s">
        <v>763</v>
      </c>
      <c r="D73" s="31"/>
      <c r="S73" t="s">
        <v>310</v>
      </c>
      <c r="W73" s="8" t="s">
        <v>311</v>
      </c>
      <c r="Y73" s="10">
        <v>3</v>
      </c>
      <c r="Z73" s="12">
        <f>AA64</f>
        <v>97.848000000000013</v>
      </c>
      <c r="AA73" s="12">
        <f>Y73%*Z73</f>
        <v>2.9354400000000003</v>
      </c>
    </row>
    <row r="74" spans="1:27">
      <c r="A74" s="31" t="s">
        <v>278</v>
      </c>
      <c r="B74" s="31" t="s">
        <v>279</v>
      </c>
      <c r="C74" s="32" t="s">
        <v>280</v>
      </c>
      <c r="D74" s="33">
        <v>8</v>
      </c>
      <c r="E74" s="32" t="s">
        <v>281</v>
      </c>
      <c r="F74" s="33">
        <f>D74</f>
        <v>8</v>
      </c>
      <c r="G74" s="31" t="s">
        <v>282</v>
      </c>
      <c r="I74" s="32" t="s">
        <v>133</v>
      </c>
      <c r="J74" s="34">
        <f>J80+J86+J89</f>
        <v>200.94213799999997</v>
      </c>
      <c r="S74" t="s">
        <v>667</v>
      </c>
      <c r="W74" s="8" t="s">
        <v>337</v>
      </c>
      <c r="X74" s="9">
        <v>1</v>
      </c>
      <c r="Y74" s="10">
        <f>X74*8/$U$58</f>
        <v>0.4</v>
      </c>
      <c r="Z74" s="12">
        <v>25.63</v>
      </c>
      <c r="AA74" s="12">
        <f>Y74*Z74</f>
        <v>10.252000000000001</v>
      </c>
    </row>
    <row r="75" spans="1:27">
      <c r="A75" s="31" t="s">
        <v>283</v>
      </c>
      <c r="B75" s="31" t="s">
        <v>284</v>
      </c>
      <c r="F75" s="32" t="s">
        <v>122</v>
      </c>
      <c r="G75" s="32" t="s">
        <v>285</v>
      </c>
      <c r="H75" s="32" t="s">
        <v>286</v>
      </c>
      <c r="I75" s="32" t="s">
        <v>287</v>
      </c>
      <c r="J75" s="32" t="s">
        <v>288</v>
      </c>
      <c r="S75" t="s">
        <v>675</v>
      </c>
      <c r="W75" s="8" t="s">
        <v>337</v>
      </c>
      <c r="X75" s="9">
        <v>0.5</v>
      </c>
      <c r="Y75" s="10">
        <f>X75*8/$U$58</f>
        <v>0.2</v>
      </c>
      <c r="Z75" s="12">
        <v>7.07</v>
      </c>
      <c r="AA75" s="12">
        <f>Y75*Z75</f>
        <v>1.4140000000000001</v>
      </c>
    </row>
    <row r="76" spans="1:27">
      <c r="B76" s="35" t="s">
        <v>289</v>
      </c>
      <c r="R76" s="14"/>
      <c r="S76" s="14"/>
      <c r="T76" s="14"/>
      <c r="U76" s="14"/>
      <c r="V76" s="14"/>
      <c r="W76" s="14"/>
      <c r="X76" s="14"/>
      <c r="Y76" s="14"/>
      <c r="Z76" s="14"/>
      <c r="AA76" s="36">
        <f>SUM(AA73:AA75)</f>
        <v>14.60144</v>
      </c>
    </row>
    <row r="77" spans="1:27">
      <c r="B77" t="s">
        <v>877</v>
      </c>
      <c r="F77" s="8" t="s">
        <v>291</v>
      </c>
      <c r="G77" s="9">
        <v>0.1</v>
      </c>
      <c r="H77" s="10">
        <f>G77*8/$D$74</f>
        <v>0.1</v>
      </c>
      <c r="I77" s="12">
        <v>34.729999999999997</v>
      </c>
      <c r="J77" s="12">
        <f>H77*I77</f>
        <v>3.4729999999999999</v>
      </c>
    </row>
    <row r="78" spans="1:27">
      <c r="B78" t="s">
        <v>290</v>
      </c>
      <c r="F78" s="8" t="s">
        <v>291</v>
      </c>
      <c r="G78" s="9">
        <v>2</v>
      </c>
      <c r="H78" s="10">
        <f>G78*8/$D$74</f>
        <v>2</v>
      </c>
      <c r="I78" s="12">
        <v>28.94</v>
      </c>
      <c r="J78" s="12">
        <f>H78*I78</f>
        <v>57.88</v>
      </c>
      <c r="R78" s="31" t="s">
        <v>277</v>
      </c>
      <c r="S78" s="31"/>
      <c r="T78" s="31" t="s">
        <v>888</v>
      </c>
      <c r="U78" s="31"/>
    </row>
    <row r="79" spans="1:27">
      <c r="B79" t="s">
        <v>292</v>
      </c>
      <c r="F79" s="8" t="s">
        <v>291</v>
      </c>
      <c r="G79" s="9">
        <v>1</v>
      </c>
      <c r="H79" s="10">
        <f>G79*8/$D$74</f>
        <v>1</v>
      </c>
      <c r="I79" s="12">
        <v>22.66</v>
      </c>
      <c r="J79" s="12">
        <f>H79*I79</f>
        <v>22.66</v>
      </c>
      <c r="R79" s="31" t="s">
        <v>278</v>
      </c>
      <c r="S79" s="31" t="s">
        <v>279</v>
      </c>
      <c r="T79" s="32" t="s">
        <v>280</v>
      </c>
      <c r="U79" s="33">
        <v>10</v>
      </c>
      <c r="V79" s="32" t="s">
        <v>281</v>
      </c>
      <c r="W79" s="33">
        <f>U79</f>
        <v>10</v>
      </c>
      <c r="X79" s="31" t="s">
        <v>282</v>
      </c>
      <c r="Z79" s="32" t="s">
        <v>133</v>
      </c>
      <c r="AA79" s="34">
        <f>AA85+AA90+AA93</f>
        <v>71.158619999999999</v>
      </c>
    </row>
    <row r="80" spans="1:27">
      <c r="F80" s="8"/>
      <c r="G80" s="9"/>
      <c r="H80" s="10"/>
      <c r="I80" s="12"/>
      <c r="J80" s="34">
        <f>SUM(J78:J79)</f>
        <v>80.540000000000006</v>
      </c>
      <c r="R80" s="31" t="s">
        <v>283</v>
      </c>
      <c r="S80" s="31" t="s">
        <v>284</v>
      </c>
      <c r="W80" s="32" t="s">
        <v>122</v>
      </c>
      <c r="X80" s="32" t="s">
        <v>285</v>
      </c>
      <c r="Y80" s="32" t="s">
        <v>286</v>
      </c>
      <c r="Z80" s="32" t="s">
        <v>287</v>
      </c>
      <c r="AA80" s="32" t="s">
        <v>288</v>
      </c>
    </row>
    <row r="81" spans="1:27">
      <c r="B81" s="35" t="s">
        <v>653</v>
      </c>
      <c r="F81" s="8"/>
      <c r="G81" s="9"/>
      <c r="H81" s="10"/>
      <c r="J81" s="12"/>
      <c r="S81" s="35" t="s">
        <v>289</v>
      </c>
    </row>
    <row r="82" spans="1:27">
      <c r="B82" t="s">
        <v>889</v>
      </c>
      <c r="F82" s="8" t="s">
        <v>149</v>
      </c>
      <c r="H82" s="10">
        <v>7</v>
      </c>
      <c r="I82">
        <v>1.01</v>
      </c>
      <c r="J82" s="12">
        <f>H82*I82</f>
        <v>7.07</v>
      </c>
      <c r="S82" t="s">
        <v>290</v>
      </c>
      <c r="W82" s="8" t="s">
        <v>291</v>
      </c>
      <c r="X82" s="9">
        <v>1</v>
      </c>
      <c r="Y82" s="10">
        <f>X82*8/$U$79</f>
        <v>0.8</v>
      </c>
      <c r="Z82" s="12">
        <v>28.94</v>
      </c>
      <c r="AA82" s="12">
        <f>Y82*Z82</f>
        <v>23.152000000000001</v>
      </c>
    </row>
    <row r="83" spans="1:27">
      <c r="B83" t="s">
        <v>890</v>
      </c>
      <c r="F83" s="8" t="s">
        <v>133</v>
      </c>
      <c r="H83" s="10">
        <v>1.5</v>
      </c>
      <c r="I83" s="12">
        <v>39.9</v>
      </c>
      <c r="J83" s="12">
        <f>H83*I83</f>
        <v>59.849999999999994</v>
      </c>
      <c r="S83" t="s">
        <v>292</v>
      </c>
      <c r="W83" s="8" t="s">
        <v>291</v>
      </c>
      <c r="X83" s="9">
        <v>1</v>
      </c>
      <c r="Y83" s="10">
        <f>X83*8/$U$79</f>
        <v>0.8</v>
      </c>
      <c r="Z83" s="12">
        <v>22.66</v>
      </c>
      <c r="AA83" s="12">
        <f>Y83*Z83</f>
        <v>18.128</v>
      </c>
    </row>
    <row r="84" spans="1:27" ht="15" customHeight="1">
      <c r="B84" t="s">
        <v>891</v>
      </c>
      <c r="F84" s="8" t="s">
        <v>144</v>
      </c>
      <c r="H84" s="10">
        <v>4.5</v>
      </c>
      <c r="I84" s="12">
        <v>5.66</v>
      </c>
      <c r="J84" s="12">
        <f>H84*I84</f>
        <v>25.47</v>
      </c>
      <c r="S84" t="s">
        <v>293</v>
      </c>
      <c r="W84" s="8" t="s">
        <v>291</v>
      </c>
      <c r="X84" s="9">
        <v>0.5</v>
      </c>
      <c r="Y84" s="10">
        <f>X84*8/$U$79</f>
        <v>0.4</v>
      </c>
      <c r="Z84" s="12">
        <v>20.51</v>
      </c>
      <c r="AA84" s="12">
        <f>Y84*Z84</f>
        <v>8.2040000000000006</v>
      </c>
    </row>
    <row r="85" spans="1:27">
      <c r="B85" t="s">
        <v>892</v>
      </c>
      <c r="F85" s="8" t="s">
        <v>144</v>
      </c>
      <c r="H85" s="10">
        <v>4.8102</v>
      </c>
      <c r="I85">
        <v>5.79</v>
      </c>
      <c r="J85" s="12">
        <f>H85*I85</f>
        <v>27.851058000000002</v>
      </c>
      <c r="W85" s="8"/>
      <c r="X85" s="9"/>
      <c r="Y85" s="10"/>
      <c r="AA85" s="34">
        <f>SUM(AA82:AA84)</f>
        <v>49.484000000000002</v>
      </c>
    </row>
    <row r="86" spans="1:27">
      <c r="F86" s="8"/>
      <c r="H86" s="10"/>
      <c r="I86" s="12"/>
      <c r="J86" s="34">
        <f>SUM(J82:J85)</f>
        <v>120.24105799999998</v>
      </c>
      <c r="S86" s="35" t="s">
        <v>653</v>
      </c>
      <c r="W86" s="8"/>
      <c r="X86" s="9"/>
      <c r="Y86" s="10"/>
      <c r="AA86" s="12"/>
    </row>
    <row r="87" spans="1:27">
      <c r="B87" s="35" t="s">
        <v>309</v>
      </c>
      <c r="S87" t="s">
        <v>688</v>
      </c>
      <c r="W87" s="8" t="s">
        <v>296</v>
      </c>
      <c r="Y87" s="10">
        <v>0.3</v>
      </c>
      <c r="Z87" s="12">
        <v>2.64</v>
      </c>
      <c r="AA87" s="12">
        <f>Y87*Z87</f>
        <v>0.79200000000000004</v>
      </c>
    </row>
    <row r="88" spans="1:27">
      <c r="B88" t="s">
        <v>310</v>
      </c>
      <c r="F88" s="8" t="s">
        <v>311</v>
      </c>
      <c r="H88" s="10">
        <v>0.2</v>
      </c>
      <c r="I88" s="12">
        <f>J80</f>
        <v>80.540000000000006</v>
      </c>
      <c r="J88" s="12">
        <f>H88%*I88</f>
        <v>0.16108000000000003</v>
      </c>
      <c r="S88" t="s">
        <v>301</v>
      </c>
      <c r="W88" s="8" t="s">
        <v>296</v>
      </c>
      <c r="Y88" s="10">
        <v>0.31</v>
      </c>
      <c r="Z88" s="12">
        <v>5.51</v>
      </c>
      <c r="AA88" s="12">
        <f>Y88*Z88</f>
        <v>1.7081</v>
      </c>
    </row>
    <row r="89" spans="1:27">
      <c r="A89" s="14"/>
      <c r="B89" s="14"/>
      <c r="C89" s="14"/>
      <c r="D89" s="14"/>
      <c r="E89" s="14"/>
      <c r="F89" s="14"/>
      <c r="G89" s="14"/>
      <c r="H89" s="14"/>
      <c r="I89" s="14"/>
      <c r="J89" s="36">
        <f>SUM(J88:J88)</f>
        <v>0.16108000000000003</v>
      </c>
      <c r="S89" t="s">
        <v>669</v>
      </c>
      <c r="W89" s="8" t="s">
        <v>305</v>
      </c>
      <c r="Y89" s="10">
        <v>3.05</v>
      </c>
      <c r="Z89" s="12">
        <v>5.8</v>
      </c>
      <c r="AA89" s="12">
        <f>Y89*Z89</f>
        <v>17.689999999999998</v>
      </c>
    </row>
    <row r="90" spans="1:27">
      <c r="W90" s="8"/>
      <c r="Y90" s="10"/>
      <c r="Z90" s="12"/>
      <c r="AA90" s="34">
        <f>SUM(AA87:AA89)</f>
        <v>20.190099999999997</v>
      </c>
    </row>
    <row r="91" spans="1:27">
      <c r="A91" s="31" t="s">
        <v>277</v>
      </c>
      <c r="B91" s="31" t="str">
        <f>ARQUITECTURA!A8</f>
        <v>03.01.05</v>
      </c>
      <c r="C91" s="31" t="s">
        <v>893</v>
      </c>
      <c r="D91" s="31"/>
      <c r="S91" s="35" t="s">
        <v>309</v>
      </c>
    </row>
    <row r="92" spans="1:27">
      <c r="A92" s="31" t="s">
        <v>278</v>
      </c>
      <c r="B92" s="31" t="s">
        <v>279</v>
      </c>
      <c r="C92" s="32" t="s">
        <v>280</v>
      </c>
      <c r="D92" s="33">
        <v>2</v>
      </c>
      <c r="E92" s="32" t="s">
        <v>281</v>
      </c>
      <c r="F92" s="33">
        <f>D92</f>
        <v>2</v>
      </c>
      <c r="G92" s="31" t="s">
        <v>282</v>
      </c>
      <c r="I92" s="32" t="s">
        <v>133</v>
      </c>
      <c r="J92" s="34">
        <f>J99+J119+J122</f>
        <v>300.22795400000001</v>
      </c>
      <c r="S92" t="s">
        <v>310</v>
      </c>
      <c r="W92" s="8" t="s">
        <v>311</v>
      </c>
      <c r="Y92" s="10">
        <v>3</v>
      </c>
      <c r="Z92" s="12">
        <f>AA85</f>
        <v>49.484000000000002</v>
      </c>
      <c r="AA92" s="12">
        <f>Y92%*Z92</f>
        <v>1.4845200000000001</v>
      </c>
    </row>
    <row r="93" spans="1:27">
      <c r="A93" s="31" t="s">
        <v>283</v>
      </c>
      <c r="B93" s="31" t="s">
        <v>284</v>
      </c>
      <c r="F93" s="32" t="s">
        <v>122</v>
      </c>
      <c r="G93" s="32" t="s">
        <v>285</v>
      </c>
      <c r="H93" s="32" t="s">
        <v>286</v>
      </c>
      <c r="I93" s="32" t="s">
        <v>287</v>
      </c>
      <c r="J93" s="32" t="s">
        <v>288</v>
      </c>
      <c r="R93" s="14"/>
      <c r="S93" s="14"/>
      <c r="T93" s="14"/>
      <c r="U93" s="14"/>
      <c r="V93" s="14"/>
      <c r="W93" s="14"/>
      <c r="X93" s="14"/>
      <c r="Y93" s="14"/>
      <c r="Z93" s="14"/>
      <c r="AA93" s="36">
        <f>SUM(AA92)</f>
        <v>1.4845200000000001</v>
      </c>
    </row>
    <row r="94" spans="1:27">
      <c r="B94" s="35" t="s">
        <v>289</v>
      </c>
    </row>
    <row r="95" spans="1:27">
      <c r="B95" t="s">
        <v>877</v>
      </c>
      <c r="F95" s="8" t="s">
        <v>291</v>
      </c>
      <c r="G95" s="9">
        <v>0.1</v>
      </c>
      <c r="H95" s="10">
        <f>G95*8/$D$92</f>
        <v>0.4</v>
      </c>
      <c r="I95" s="12">
        <v>34.729999999999997</v>
      </c>
      <c r="J95" s="12">
        <f>H95*I95</f>
        <v>13.891999999999999</v>
      </c>
      <c r="R95" s="31" t="s">
        <v>277</v>
      </c>
      <c r="S95" s="31"/>
      <c r="T95" s="31" t="s">
        <v>894</v>
      </c>
      <c r="U95" s="31"/>
    </row>
    <row r="96" spans="1:27">
      <c r="B96" t="s">
        <v>290</v>
      </c>
      <c r="F96" s="8" t="s">
        <v>291</v>
      </c>
      <c r="G96" s="9">
        <v>1</v>
      </c>
      <c r="H96" s="10">
        <f>G96*8/$D$92</f>
        <v>4</v>
      </c>
      <c r="I96" s="12">
        <v>28.94</v>
      </c>
      <c r="J96" s="12">
        <f>H96*I96</f>
        <v>115.76</v>
      </c>
      <c r="R96" s="31" t="s">
        <v>278</v>
      </c>
      <c r="S96" s="31" t="s">
        <v>279</v>
      </c>
      <c r="T96" s="32" t="s">
        <v>280</v>
      </c>
      <c r="U96" s="33">
        <v>250</v>
      </c>
      <c r="V96" s="32" t="s">
        <v>281</v>
      </c>
      <c r="W96" s="33">
        <f>U96</f>
        <v>250</v>
      </c>
      <c r="X96" s="31" t="s">
        <v>282</v>
      </c>
      <c r="Z96" s="32" t="s">
        <v>133</v>
      </c>
      <c r="AA96" s="34">
        <f>AA101+AA105+AA109</f>
        <v>5.4621164445000003</v>
      </c>
    </row>
    <row r="97" spans="2:27">
      <c r="B97" t="s">
        <v>292</v>
      </c>
      <c r="F97" s="8" t="s">
        <v>291</v>
      </c>
      <c r="G97" s="9">
        <v>0.5</v>
      </c>
      <c r="H97" s="10">
        <f>G97*8/$D$92</f>
        <v>2</v>
      </c>
      <c r="I97" s="12">
        <v>22.66</v>
      </c>
      <c r="J97" s="12">
        <f>H97*I97</f>
        <v>45.32</v>
      </c>
      <c r="R97" s="31" t="s">
        <v>283</v>
      </c>
      <c r="S97" s="31" t="s">
        <v>284</v>
      </c>
      <c r="W97" s="32" t="s">
        <v>122</v>
      </c>
      <c r="X97" s="32" t="s">
        <v>285</v>
      </c>
      <c r="Y97" s="32" t="s">
        <v>286</v>
      </c>
      <c r="Z97" s="32" t="s">
        <v>287</v>
      </c>
      <c r="AA97" s="32" t="s">
        <v>288</v>
      </c>
    </row>
    <row r="98" spans="2:27">
      <c r="B98" t="s">
        <v>293</v>
      </c>
      <c r="F98" s="8" t="s">
        <v>291</v>
      </c>
      <c r="G98" s="9">
        <v>1</v>
      </c>
      <c r="H98" s="10">
        <f>G98*8/$D$92</f>
        <v>4</v>
      </c>
      <c r="I98" s="12">
        <v>20.51</v>
      </c>
      <c r="J98" s="12">
        <f>H98*I98</f>
        <v>82.04</v>
      </c>
      <c r="S98" s="35" t="s">
        <v>289</v>
      </c>
    </row>
    <row r="99" spans="2:27">
      <c r="F99" s="8"/>
      <c r="G99" s="9"/>
      <c r="H99" s="10"/>
      <c r="I99" s="12"/>
      <c r="J99" s="34">
        <f>SUM(J95:J98)</f>
        <v>257.012</v>
      </c>
      <c r="S99" t="s">
        <v>290</v>
      </c>
      <c r="W99" s="8" t="s">
        <v>291</v>
      </c>
      <c r="X99" s="9">
        <v>1</v>
      </c>
      <c r="Y99" s="10">
        <f>X99*8/$U$96</f>
        <v>3.2000000000000001E-2</v>
      </c>
      <c r="Z99" s="12">
        <v>28.94</v>
      </c>
      <c r="AA99" s="12">
        <f>Y99*Z99</f>
        <v>0.92608000000000001</v>
      </c>
    </row>
    <row r="100" spans="2:27">
      <c r="B100" s="35" t="s">
        <v>653</v>
      </c>
      <c r="F100" s="8"/>
      <c r="G100" s="9"/>
      <c r="H100" s="10"/>
      <c r="J100" s="12"/>
      <c r="S100" t="s">
        <v>679</v>
      </c>
      <c r="W100" s="8" t="s">
        <v>291</v>
      </c>
      <c r="X100" s="9">
        <v>1</v>
      </c>
      <c r="Y100" s="10">
        <f>X100*8/$U$96</f>
        <v>3.2000000000000001E-2</v>
      </c>
      <c r="Z100" s="12">
        <v>20.51</v>
      </c>
      <c r="AA100" s="12">
        <f>Y100*Z100</f>
        <v>0.65632000000000001</v>
      </c>
    </row>
    <row r="101" spans="2:27">
      <c r="B101" t="s">
        <v>295</v>
      </c>
      <c r="F101" s="8" t="s">
        <v>296</v>
      </c>
      <c r="H101" s="10">
        <v>0.185</v>
      </c>
      <c r="I101">
        <v>2.64</v>
      </c>
      <c r="J101" s="12">
        <f>H101*I101</f>
        <v>0.4884</v>
      </c>
      <c r="W101" s="8"/>
      <c r="X101" s="9"/>
      <c r="AA101" s="48">
        <f>SUM(AA99:AA100)</f>
        <v>1.5824</v>
      </c>
    </row>
    <row r="102" spans="2:27">
      <c r="B102" t="s">
        <v>677</v>
      </c>
      <c r="F102" s="8" t="s">
        <v>296</v>
      </c>
      <c r="H102">
        <v>0.151</v>
      </c>
      <c r="I102">
        <v>2.64</v>
      </c>
      <c r="J102" s="12">
        <f t="shared" ref="J102:J118" si="2">H102*I102</f>
        <v>0.39863999999999999</v>
      </c>
      <c r="S102" s="47" t="s">
        <v>294</v>
      </c>
      <c r="W102" s="8"/>
      <c r="X102" s="9"/>
      <c r="Y102" s="18"/>
    </row>
    <row r="103" spans="2:27">
      <c r="B103" t="s">
        <v>301</v>
      </c>
      <c r="F103" s="8" t="s">
        <v>296</v>
      </c>
      <c r="H103">
        <v>0.26700000000000002</v>
      </c>
      <c r="I103">
        <v>5.51</v>
      </c>
      <c r="J103" s="12">
        <f t="shared" si="2"/>
        <v>1.4711700000000001</v>
      </c>
      <c r="S103" t="s">
        <v>295</v>
      </c>
      <c r="W103" s="8" t="s">
        <v>296</v>
      </c>
      <c r="X103" s="9"/>
      <c r="Y103" s="18">
        <v>0.03</v>
      </c>
      <c r="Z103" s="12">
        <v>2.64</v>
      </c>
      <c r="AA103" s="12">
        <f>Y103*Z103</f>
        <v>7.9200000000000007E-2</v>
      </c>
    </row>
    <row r="104" spans="2:27">
      <c r="B104" t="s">
        <v>895</v>
      </c>
      <c r="F104" s="8" t="s">
        <v>296</v>
      </c>
      <c r="H104">
        <v>7.9619999999999997</v>
      </c>
      <c r="I104">
        <v>3.42</v>
      </c>
      <c r="J104" s="12">
        <f t="shared" si="2"/>
        <v>27.230039999999999</v>
      </c>
      <c r="S104" t="s">
        <v>680</v>
      </c>
      <c r="W104" s="8" t="s">
        <v>296</v>
      </c>
      <c r="X104" s="9"/>
      <c r="Y104" s="18">
        <v>1.05</v>
      </c>
      <c r="Z104" s="12">
        <f>1012.71*3.379/1000</f>
        <v>3.4219470900000002</v>
      </c>
      <c r="AA104" s="12">
        <f>Y104*Z104</f>
        <v>3.5930444445000003</v>
      </c>
    </row>
    <row r="105" spans="2:27">
      <c r="B105" t="s">
        <v>896</v>
      </c>
      <c r="F105" s="8" t="s">
        <v>203</v>
      </c>
      <c r="H105">
        <v>6.5000000000000002E-2</v>
      </c>
      <c r="I105">
        <v>65</v>
      </c>
      <c r="J105" s="12">
        <f t="shared" si="2"/>
        <v>4.2250000000000005</v>
      </c>
      <c r="W105" s="8"/>
      <c r="X105" s="9"/>
      <c r="AA105" s="48">
        <f>SUM(AA103:AA104)</f>
        <v>3.6722444445000004</v>
      </c>
    </row>
    <row r="106" spans="2:27">
      <c r="B106" t="s">
        <v>700</v>
      </c>
      <c r="F106" s="8" t="s">
        <v>203</v>
      </c>
      <c r="H106">
        <v>6.9000000000000006E-2</v>
      </c>
      <c r="I106">
        <v>65</v>
      </c>
      <c r="J106" s="12">
        <f t="shared" si="2"/>
        <v>4.4850000000000003</v>
      </c>
      <c r="S106" s="47" t="s">
        <v>317</v>
      </c>
      <c r="W106" s="8"/>
      <c r="X106" s="9"/>
    </row>
    <row r="107" spans="2:27">
      <c r="B107" t="s">
        <v>672</v>
      </c>
      <c r="F107" s="8" t="s">
        <v>203</v>
      </c>
      <c r="H107">
        <v>6.8000000000000005E-2</v>
      </c>
      <c r="I107">
        <v>55.08</v>
      </c>
      <c r="J107" s="12">
        <f t="shared" si="2"/>
        <v>3.7454400000000003</v>
      </c>
      <c r="S107" t="s">
        <v>310</v>
      </c>
      <c r="W107" s="8" t="s">
        <v>311</v>
      </c>
      <c r="Y107" s="10">
        <v>3</v>
      </c>
      <c r="Z107" s="12">
        <f>AA101</f>
        <v>1.5824</v>
      </c>
      <c r="AA107" s="12">
        <f>Y107%*Z107</f>
        <v>4.7472E-2</v>
      </c>
    </row>
    <row r="108" spans="2:27">
      <c r="B108" t="s">
        <v>328</v>
      </c>
      <c r="F108" s="8" t="s">
        <v>203</v>
      </c>
      <c r="H108">
        <v>7.0000000000000001E-3</v>
      </c>
      <c r="I108">
        <v>80</v>
      </c>
      <c r="J108" s="12">
        <f t="shared" si="2"/>
        <v>0.56000000000000005</v>
      </c>
      <c r="S108" t="s">
        <v>681</v>
      </c>
      <c r="W108" s="8" t="s">
        <v>291</v>
      </c>
      <c r="X108" s="9">
        <v>1</v>
      </c>
      <c r="Y108" s="10">
        <f>X108*8/$U$96</f>
        <v>3.2000000000000001E-2</v>
      </c>
      <c r="Z108" s="50">
        <v>5</v>
      </c>
      <c r="AA108" s="12">
        <f>Y108*Z108</f>
        <v>0.16</v>
      </c>
    </row>
    <row r="109" spans="2:27">
      <c r="B109" t="s">
        <v>664</v>
      </c>
      <c r="F109" s="8" t="s">
        <v>203</v>
      </c>
      <c r="H109">
        <v>1.6E-2</v>
      </c>
      <c r="I109">
        <v>6.14</v>
      </c>
      <c r="J109" s="12">
        <f t="shared" si="2"/>
        <v>9.8239999999999994E-2</v>
      </c>
      <c r="R109" s="14"/>
      <c r="S109" s="14"/>
      <c r="T109" s="14"/>
      <c r="U109" s="14"/>
      <c r="V109" s="14"/>
      <c r="W109" s="14"/>
      <c r="X109" s="14"/>
      <c r="Y109" s="14"/>
      <c r="Z109" s="14"/>
      <c r="AA109" s="49">
        <f>SUM(AA107:AA108)</f>
        <v>0.20747199999999999</v>
      </c>
    </row>
    <row r="110" spans="2:27">
      <c r="B110" t="s">
        <v>865</v>
      </c>
      <c r="F110" s="8" t="s">
        <v>149</v>
      </c>
      <c r="H110">
        <v>30</v>
      </c>
      <c r="I110">
        <v>1.02</v>
      </c>
      <c r="J110" s="12">
        <f t="shared" si="2"/>
        <v>30.6</v>
      </c>
    </row>
    <row r="111" spans="2:27">
      <c r="B111" t="s">
        <v>897</v>
      </c>
      <c r="F111" s="8" t="s">
        <v>307</v>
      </c>
      <c r="H111">
        <v>1.5049999999999999</v>
      </c>
      <c r="I111">
        <v>24.52</v>
      </c>
      <c r="J111" s="12">
        <f t="shared" si="2"/>
        <v>36.9026</v>
      </c>
      <c r="R111" s="31" t="s">
        <v>277</v>
      </c>
      <c r="S111" s="31"/>
      <c r="T111" s="31" t="s">
        <v>875</v>
      </c>
      <c r="U111" s="31"/>
      <c r="V111" s="31"/>
      <c r="W111" s="31"/>
      <c r="X111" s="31"/>
      <c r="Y111" s="31"/>
      <c r="Z111" s="31"/>
    </row>
    <row r="112" spans="2:27">
      <c r="B112" t="s">
        <v>898</v>
      </c>
      <c r="F112" s="8" t="s">
        <v>133</v>
      </c>
      <c r="H112">
        <v>1.27</v>
      </c>
      <c r="I112">
        <v>24.9</v>
      </c>
      <c r="J112" s="12">
        <f t="shared" si="2"/>
        <v>31.622999999999998</v>
      </c>
      <c r="R112" s="31" t="s">
        <v>278</v>
      </c>
      <c r="S112" s="31" t="s">
        <v>313</v>
      </c>
      <c r="T112" s="32" t="s">
        <v>280</v>
      </c>
      <c r="U112" s="33">
        <v>40</v>
      </c>
      <c r="V112" s="32" t="s">
        <v>281</v>
      </c>
      <c r="W112" s="33">
        <f>U112</f>
        <v>40</v>
      </c>
      <c r="X112" s="31" t="s">
        <v>282</v>
      </c>
      <c r="Z112" s="32" t="s">
        <v>144</v>
      </c>
      <c r="AA112" s="34">
        <f>AA118+AA125+AA128</f>
        <v>54.909137999999999</v>
      </c>
    </row>
    <row r="113" spans="1:27">
      <c r="B113" t="s">
        <v>899</v>
      </c>
      <c r="F113" s="8" t="s">
        <v>296</v>
      </c>
      <c r="H113">
        <v>0.315</v>
      </c>
      <c r="I113">
        <v>7.4</v>
      </c>
      <c r="J113" s="12">
        <f t="shared" si="2"/>
        <v>2.331</v>
      </c>
      <c r="R113" s="31" t="s">
        <v>283</v>
      </c>
      <c r="S113" s="31" t="s">
        <v>284</v>
      </c>
      <c r="W113" s="32" t="s">
        <v>122</v>
      </c>
      <c r="X113" s="32" t="s">
        <v>285</v>
      </c>
      <c r="Y113" s="32" t="s">
        <v>286</v>
      </c>
      <c r="Z113" s="32" t="s">
        <v>287</v>
      </c>
      <c r="AA113" s="32" t="s">
        <v>288</v>
      </c>
    </row>
    <row r="114" spans="1:27">
      <c r="B114" t="s">
        <v>900</v>
      </c>
      <c r="F114" s="8" t="s">
        <v>149</v>
      </c>
      <c r="H114">
        <v>2.29</v>
      </c>
      <c r="I114">
        <v>10.6</v>
      </c>
      <c r="J114" s="12">
        <f t="shared" si="2"/>
        <v>24.274000000000001</v>
      </c>
      <c r="S114" s="35" t="s">
        <v>289</v>
      </c>
    </row>
    <row r="115" spans="1:27">
      <c r="B115" t="s">
        <v>302</v>
      </c>
      <c r="F115" s="8" t="s">
        <v>203</v>
      </c>
      <c r="H115">
        <v>1.7000000000000001E-2</v>
      </c>
      <c r="I115">
        <v>70.92</v>
      </c>
      <c r="J115" s="12">
        <f t="shared" si="2"/>
        <v>1.20564</v>
      </c>
      <c r="S115" t="s">
        <v>650</v>
      </c>
      <c r="W115" s="8" t="s">
        <v>291</v>
      </c>
      <c r="X115" s="9">
        <v>0.1</v>
      </c>
      <c r="Y115" s="10">
        <f>X115*8/$U$112</f>
        <v>0.02</v>
      </c>
      <c r="Z115" s="12">
        <v>34.729999999999997</v>
      </c>
      <c r="AA115" s="12">
        <f>Y115*Z115</f>
        <v>0.6946</v>
      </c>
    </row>
    <row r="116" spans="1:27">
      <c r="B116" t="s">
        <v>308</v>
      </c>
      <c r="F116" s="8" t="s">
        <v>305</v>
      </c>
      <c r="H116">
        <v>5.0750000000000002</v>
      </c>
      <c r="I116">
        <v>5.8</v>
      </c>
      <c r="J116" s="12">
        <f t="shared" si="2"/>
        <v>29.434999999999999</v>
      </c>
      <c r="S116" t="s">
        <v>290</v>
      </c>
      <c r="W116" s="8" t="s">
        <v>291</v>
      </c>
      <c r="X116" s="9">
        <v>1</v>
      </c>
      <c r="Y116" s="10">
        <f>X116*8/$U$112</f>
        <v>0.2</v>
      </c>
      <c r="Z116" s="12">
        <v>28.94</v>
      </c>
      <c r="AA116" s="12">
        <f>Y116*Z116</f>
        <v>5.7880000000000003</v>
      </c>
    </row>
    <row r="117" spans="1:27">
      <c r="B117" t="s">
        <v>901</v>
      </c>
      <c r="F117" s="8" t="s">
        <v>305</v>
      </c>
      <c r="H117">
        <v>0.11899999999999999</v>
      </c>
      <c r="I117">
        <v>17.48</v>
      </c>
      <c r="J117" s="12">
        <f t="shared" si="2"/>
        <v>2.08012</v>
      </c>
      <c r="S117" t="s">
        <v>679</v>
      </c>
      <c r="W117" s="8" t="s">
        <v>291</v>
      </c>
      <c r="X117" s="9">
        <v>1</v>
      </c>
      <c r="Y117" s="10">
        <f>X117*8/$U$112</f>
        <v>0.2</v>
      </c>
      <c r="Z117" s="12">
        <v>20.51</v>
      </c>
      <c r="AA117" s="12">
        <f>Y117*Z117</f>
        <v>4.1020000000000003</v>
      </c>
    </row>
    <row r="118" spans="1:27">
      <c r="B118" t="s">
        <v>902</v>
      </c>
      <c r="F118" s="8" t="s">
        <v>903</v>
      </c>
      <c r="H118">
        <v>0.375</v>
      </c>
      <c r="I118">
        <v>35.9</v>
      </c>
      <c r="J118" s="12">
        <f t="shared" si="2"/>
        <v>13.462499999999999</v>
      </c>
      <c r="W118" s="8"/>
      <c r="X118" s="9"/>
      <c r="AA118" s="48">
        <f>SUM(AA115:AA117)</f>
        <v>10.584600000000002</v>
      </c>
    </row>
    <row r="119" spans="1:27">
      <c r="F119" s="8"/>
      <c r="H119" s="10"/>
      <c r="I119" s="12"/>
      <c r="J119" s="34">
        <f>SUM(J101:J109)</f>
        <v>42.701929999999997</v>
      </c>
      <c r="S119" s="47" t="s">
        <v>294</v>
      </c>
      <c r="W119" s="8"/>
      <c r="X119" s="9"/>
      <c r="Y119" s="18"/>
    </row>
    <row r="120" spans="1:27">
      <c r="B120" s="35" t="s">
        <v>309</v>
      </c>
      <c r="S120" t="s">
        <v>904</v>
      </c>
      <c r="W120" t="s">
        <v>339</v>
      </c>
      <c r="X120" s="9"/>
      <c r="Y120">
        <v>3.5999999999999999E-3</v>
      </c>
      <c r="Z120">
        <v>70</v>
      </c>
      <c r="AA120" s="12">
        <f>Y120*Z120</f>
        <v>0.252</v>
      </c>
    </row>
    <row r="121" spans="1:27">
      <c r="B121" t="s">
        <v>310</v>
      </c>
      <c r="F121" s="8" t="s">
        <v>311</v>
      </c>
      <c r="H121" s="10">
        <v>0.2</v>
      </c>
      <c r="I121" s="12">
        <f>J99</f>
        <v>257.012</v>
      </c>
      <c r="J121" s="12">
        <f>H121%*I121</f>
        <v>0.51402400000000004</v>
      </c>
      <c r="S121" t="s">
        <v>905</v>
      </c>
      <c r="W121" t="s">
        <v>330</v>
      </c>
      <c r="X121" s="9"/>
      <c r="Y121">
        <v>5.5E-2</v>
      </c>
      <c r="Z121">
        <v>30</v>
      </c>
      <c r="AA121" s="12">
        <f t="shared" ref="AA121:AA124" si="3">Y121*Z121</f>
        <v>1.65</v>
      </c>
    </row>
    <row r="122" spans="1:27">
      <c r="A122" s="14"/>
      <c r="B122" s="14"/>
      <c r="C122" s="14"/>
      <c r="D122" s="14"/>
      <c r="E122" s="14"/>
      <c r="F122" s="14"/>
      <c r="G122" s="14"/>
      <c r="H122" s="14"/>
      <c r="I122" s="14"/>
      <c r="J122" s="36">
        <f>SUM(J121:J121)</f>
        <v>0.51402400000000004</v>
      </c>
      <c r="S122" t="s">
        <v>906</v>
      </c>
      <c r="W122" t="s">
        <v>907</v>
      </c>
      <c r="X122" s="9"/>
      <c r="Y122">
        <v>0.36499999999999999</v>
      </c>
      <c r="Z122">
        <v>27</v>
      </c>
      <c r="AA122" s="12">
        <f t="shared" si="3"/>
        <v>9.8550000000000004</v>
      </c>
    </row>
    <row r="123" spans="1:27">
      <c r="S123" t="s">
        <v>908</v>
      </c>
      <c r="W123" t="s">
        <v>339</v>
      </c>
      <c r="Y123">
        <v>0.1</v>
      </c>
      <c r="Z123">
        <v>60</v>
      </c>
      <c r="AA123" s="12">
        <f t="shared" si="3"/>
        <v>6</v>
      </c>
    </row>
    <row r="124" spans="1:27">
      <c r="S124" t="s">
        <v>909</v>
      </c>
      <c r="W124" t="s">
        <v>144</v>
      </c>
      <c r="Y124">
        <v>1.05</v>
      </c>
      <c r="Z124">
        <v>25</v>
      </c>
      <c r="AA124" s="12">
        <f t="shared" si="3"/>
        <v>26.25</v>
      </c>
    </row>
    <row r="125" spans="1:27">
      <c r="AA125" s="48">
        <f>SUM(AA120:AA124)</f>
        <v>44.006999999999998</v>
      </c>
    </row>
    <row r="126" spans="1:27">
      <c r="A126" s="2" t="s">
        <v>277</v>
      </c>
      <c r="B126" s="31" t="str">
        <f>ARQUITECTURA!A11</f>
        <v>03.02.01.01</v>
      </c>
      <c r="C126" s="2" t="s">
        <v>910</v>
      </c>
      <c r="D126" s="2"/>
      <c r="S126" s="47" t="s">
        <v>317</v>
      </c>
      <c r="W126" s="8"/>
      <c r="X126" s="9"/>
    </row>
    <row r="127" spans="1:27">
      <c r="A127" s="2" t="s">
        <v>278</v>
      </c>
      <c r="B127" s="2" t="s">
        <v>279</v>
      </c>
      <c r="C127" s="4" t="s">
        <v>280</v>
      </c>
      <c r="D127" s="5">
        <v>15</v>
      </c>
      <c r="E127" s="4" t="s">
        <v>281</v>
      </c>
      <c r="F127" s="5">
        <f>D127</f>
        <v>15</v>
      </c>
      <c r="G127" s="2" t="s">
        <v>282</v>
      </c>
      <c r="I127" s="4" t="s">
        <v>133</v>
      </c>
      <c r="J127" s="6">
        <f>J133+J142+J145</f>
        <v>27.122965133333338</v>
      </c>
      <c r="S127" t="s">
        <v>310</v>
      </c>
      <c r="W127" s="8" t="s">
        <v>311</v>
      </c>
      <c r="Y127" s="10">
        <v>3</v>
      </c>
      <c r="Z127" s="12">
        <f>AA118</f>
        <v>10.584600000000002</v>
      </c>
      <c r="AA127" s="12">
        <f>Y127%*Z127</f>
        <v>0.31753800000000004</v>
      </c>
    </row>
    <row r="128" spans="1:27">
      <c r="A128" s="2" t="s">
        <v>283</v>
      </c>
      <c r="B128" s="2" t="s">
        <v>284</v>
      </c>
      <c r="F128" s="4" t="s">
        <v>122</v>
      </c>
      <c r="G128" s="4" t="s">
        <v>285</v>
      </c>
      <c r="H128" s="4" t="s">
        <v>286</v>
      </c>
      <c r="I128" s="4" t="s">
        <v>287</v>
      </c>
      <c r="J128" s="4" t="s">
        <v>288</v>
      </c>
      <c r="R128" s="14"/>
      <c r="S128" s="14"/>
      <c r="T128" s="14"/>
      <c r="U128" s="14"/>
      <c r="V128" s="14"/>
      <c r="W128" s="14"/>
      <c r="X128" s="14"/>
      <c r="Y128" s="14"/>
      <c r="Z128" s="14"/>
      <c r="AA128" s="49">
        <f>SUM(AA127)</f>
        <v>0.31753800000000004</v>
      </c>
    </row>
    <row r="129" spans="2:10">
      <c r="B129" s="7" t="s">
        <v>289</v>
      </c>
    </row>
    <row r="130" spans="2:10">
      <c r="B130" t="s">
        <v>650</v>
      </c>
      <c r="F130" s="8" t="s">
        <v>291</v>
      </c>
      <c r="G130" s="9">
        <v>0.1</v>
      </c>
      <c r="H130" s="10">
        <f>G130*8/$D$127</f>
        <v>5.3333333333333337E-2</v>
      </c>
      <c r="I130" s="12">
        <v>34.729999999999997</v>
      </c>
      <c r="J130" s="12">
        <f>H130*I130</f>
        <v>1.8522666666666667</v>
      </c>
    </row>
    <row r="131" spans="2:10">
      <c r="B131" t="s">
        <v>290</v>
      </c>
      <c r="F131" s="8" t="s">
        <v>291</v>
      </c>
      <c r="G131" s="9">
        <v>1</v>
      </c>
      <c r="H131" s="10">
        <f>G131*8/$D$127</f>
        <v>0.53333333333333333</v>
      </c>
      <c r="I131" s="12">
        <v>28.94</v>
      </c>
      <c r="J131" s="12">
        <f>H131*I131</f>
        <v>15.434666666666667</v>
      </c>
    </row>
    <row r="132" spans="2:10">
      <c r="B132" t="s">
        <v>293</v>
      </c>
      <c r="F132" s="8" t="s">
        <v>291</v>
      </c>
      <c r="G132" s="9">
        <v>0.33</v>
      </c>
      <c r="H132" s="10">
        <f>G132*8/$D$127</f>
        <v>0.17600000000000002</v>
      </c>
      <c r="I132">
        <v>20.51</v>
      </c>
      <c r="J132" s="12">
        <f>H132*I132</f>
        <v>3.6097600000000005</v>
      </c>
    </row>
    <row r="133" spans="2:10">
      <c r="F133" s="8"/>
      <c r="G133" s="9"/>
      <c r="H133" s="10"/>
      <c r="J133" s="6">
        <f>SUM(J130:J132)</f>
        <v>20.896693333333335</v>
      </c>
    </row>
    <row r="134" spans="2:10">
      <c r="B134" s="7" t="s">
        <v>653</v>
      </c>
      <c r="F134" s="8"/>
      <c r="G134" s="9"/>
      <c r="H134" s="10"/>
      <c r="J134" s="12"/>
    </row>
    <row r="135" spans="2:10">
      <c r="B135" t="s">
        <v>896</v>
      </c>
      <c r="F135" s="8" t="s">
        <v>203</v>
      </c>
      <c r="H135" s="10">
        <v>1.43E-2</v>
      </c>
      <c r="I135" s="12">
        <v>50.85</v>
      </c>
      <c r="J135" s="12">
        <f>H135*I135</f>
        <v>0.727155</v>
      </c>
    </row>
    <row r="136" spans="2:10">
      <c r="B136" t="s">
        <v>911</v>
      </c>
      <c r="F136" s="8" t="s">
        <v>307</v>
      </c>
      <c r="H136" s="10">
        <v>5.62E-2</v>
      </c>
      <c r="I136" s="12">
        <v>24.52</v>
      </c>
      <c r="J136" s="12">
        <f t="shared" ref="J136:J141" si="4">H136*I136</f>
        <v>1.3780239999999999</v>
      </c>
    </row>
    <row r="137" spans="2:10">
      <c r="B137" t="s">
        <v>912</v>
      </c>
      <c r="F137" s="8" t="s">
        <v>307</v>
      </c>
      <c r="H137">
        <v>5.62E-2</v>
      </c>
      <c r="I137">
        <v>38.9</v>
      </c>
      <c r="J137" s="12">
        <f t="shared" si="4"/>
        <v>2.1861799999999998</v>
      </c>
    </row>
    <row r="138" spans="2:10">
      <c r="B138" t="s">
        <v>913</v>
      </c>
      <c r="F138" s="8" t="s">
        <v>149</v>
      </c>
      <c r="H138" s="10">
        <v>2.5000000000000001E-2</v>
      </c>
      <c r="I138">
        <v>6.02</v>
      </c>
      <c r="J138" s="12">
        <f t="shared" si="4"/>
        <v>0.15049999999999999</v>
      </c>
    </row>
    <row r="139" spans="2:10">
      <c r="B139" t="s">
        <v>914</v>
      </c>
      <c r="F139" s="8" t="s">
        <v>305</v>
      </c>
      <c r="H139">
        <v>0.20100000000000001</v>
      </c>
      <c r="I139">
        <v>5.6</v>
      </c>
      <c r="J139" s="12">
        <f t="shared" si="4"/>
        <v>1.1255999999999999</v>
      </c>
    </row>
    <row r="140" spans="2:10">
      <c r="B140" t="s">
        <v>915</v>
      </c>
      <c r="F140" s="8" t="s">
        <v>296</v>
      </c>
      <c r="H140" s="10">
        <v>1E-3</v>
      </c>
      <c r="I140" s="12">
        <v>5.51</v>
      </c>
      <c r="J140" s="12">
        <f t="shared" si="4"/>
        <v>5.5100000000000001E-3</v>
      </c>
    </row>
    <row r="141" spans="2:10">
      <c r="B141" t="s">
        <v>664</v>
      </c>
      <c r="F141" s="8" t="s">
        <v>203</v>
      </c>
      <c r="H141" s="10">
        <v>4.3E-3</v>
      </c>
      <c r="I141" s="12">
        <v>6.14</v>
      </c>
      <c r="J141" s="12">
        <f t="shared" si="4"/>
        <v>2.6401999999999998E-2</v>
      </c>
    </row>
    <row r="142" spans="2:10">
      <c r="F142" s="8"/>
      <c r="H142" s="10"/>
      <c r="I142" s="12"/>
      <c r="J142" s="6">
        <f>SUM(J135:J141)</f>
        <v>5.5993709999999997</v>
      </c>
    </row>
    <row r="143" spans="2:10">
      <c r="B143" s="7" t="s">
        <v>309</v>
      </c>
    </row>
    <row r="144" spans="2:10">
      <c r="B144" t="s">
        <v>310</v>
      </c>
      <c r="F144" s="8" t="s">
        <v>311</v>
      </c>
      <c r="H144" s="10">
        <v>3</v>
      </c>
      <c r="I144" s="12">
        <f>J133</f>
        <v>20.896693333333335</v>
      </c>
      <c r="J144" s="12">
        <f>H144%*I144</f>
        <v>0.62690080000000004</v>
      </c>
    </row>
    <row r="145" spans="1:13">
      <c r="A145" s="14"/>
      <c r="B145" s="14"/>
      <c r="C145" s="14"/>
      <c r="D145" s="14"/>
      <c r="E145" s="14"/>
      <c r="F145" s="14"/>
      <c r="G145" s="14"/>
      <c r="H145" s="14"/>
      <c r="I145" s="15"/>
      <c r="J145" s="16">
        <f>SUM(J144:J144)</f>
        <v>0.62690080000000004</v>
      </c>
    </row>
    <row r="147" spans="1:13">
      <c r="A147" s="2" t="s">
        <v>277</v>
      </c>
      <c r="B147" s="31" t="str">
        <f>ARQUITECTURA!A12</f>
        <v>03.02.01.02</v>
      </c>
      <c r="C147" s="2" t="s">
        <v>772</v>
      </c>
      <c r="D147" s="2"/>
      <c r="M147" s="31"/>
    </row>
    <row r="148" spans="1:13">
      <c r="A148" s="2" t="s">
        <v>278</v>
      </c>
      <c r="B148" s="2" t="s">
        <v>279</v>
      </c>
      <c r="C148" s="4" t="s">
        <v>280</v>
      </c>
      <c r="D148" s="5">
        <v>12</v>
      </c>
      <c r="E148" s="4" t="s">
        <v>281</v>
      </c>
      <c r="F148" s="5">
        <f>D148</f>
        <v>12</v>
      </c>
      <c r="G148" s="2" t="s">
        <v>282</v>
      </c>
      <c r="I148" s="4" t="s">
        <v>133</v>
      </c>
      <c r="J148" s="6">
        <f>J154+J162+J165</f>
        <v>35.840962666666663</v>
      </c>
      <c r="M148" s="31"/>
    </row>
    <row r="149" spans="1:13">
      <c r="A149" s="2" t="s">
        <v>283</v>
      </c>
      <c r="B149" s="2" t="s">
        <v>284</v>
      </c>
      <c r="F149" s="4" t="s">
        <v>122</v>
      </c>
      <c r="G149" s="4" t="s">
        <v>285</v>
      </c>
      <c r="H149" s="4" t="s">
        <v>286</v>
      </c>
      <c r="I149" s="4" t="s">
        <v>287</v>
      </c>
      <c r="J149" s="4" t="s">
        <v>288</v>
      </c>
      <c r="L149" s="31"/>
      <c r="M149" s="31"/>
    </row>
    <row r="150" spans="1:13">
      <c r="B150" s="7" t="s">
        <v>289</v>
      </c>
      <c r="M150" s="31"/>
    </row>
    <row r="151" spans="1:13">
      <c r="B151" t="s">
        <v>650</v>
      </c>
      <c r="F151" s="8" t="s">
        <v>291</v>
      </c>
      <c r="G151" s="9">
        <v>0.1</v>
      </c>
      <c r="H151" s="10">
        <f>G151*8/$D$148</f>
        <v>6.6666666666666666E-2</v>
      </c>
      <c r="I151" s="12">
        <v>34.729999999999997</v>
      </c>
      <c r="J151" s="12">
        <f>H151*I151</f>
        <v>2.3153333333333332</v>
      </c>
      <c r="M151" s="31"/>
    </row>
    <row r="152" spans="1:13">
      <c r="B152" t="s">
        <v>290</v>
      </c>
      <c r="F152" s="8" t="s">
        <v>291</v>
      </c>
      <c r="G152" s="9">
        <v>1</v>
      </c>
      <c r="H152" s="10">
        <f>G152*8/$D$148</f>
        <v>0.66666666666666663</v>
      </c>
      <c r="I152" s="12">
        <v>28.94</v>
      </c>
      <c r="J152" s="12">
        <f>H152*I152</f>
        <v>19.293333333333333</v>
      </c>
      <c r="L152" s="31"/>
      <c r="M152" s="31"/>
    </row>
    <row r="153" spans="1:13">
      <c r="B153" t="s">
        <v>293</v>
      </c>
      <c r="F153" s="8" t="s">
        <v>291</v>
      </c>
      <c r="G153" s="9">
        <v>0.33</v>
      </c>
      <c r="H153" s="10">
        <f>G153*8/$D$148</f>
        <v>0.22</v>
      </c>
      <c r="I153">
        <v>20.51</v>
      </c>
      <c r="J153" s="12">
        <f>H153*I153</f>
        <v>4.5122</v>
      </c>
    </row>
    <row r="154" spans="1:13">
      <c r="F154" s="8"/>
      <c r="G154" s="9"/>
      <c r="H154" s="10"/>
      <c r="J154" s="6">
        <f>SUM(J151:J153)</f>
        <v>26.120866666666664</v>
      </c>
    </row>
    <row r="155" spans="1:13">
      <c r="B155" s="7" t="s">
        <v>653</v>
      </c>
      <c r="F155" s="8"/>
      <c r="G155" s="9"/>
      <c r="H155" s="10"/>
      <c r="J155" s="12"/>
    </row>
    <row r="156" spans="1:13">
      <c r="B156" t="s">
        <v>896</v>
      </c>
      <c r="F156" s="8" t="s">
        <v>203</v>
      </c>
      <c r="H156" s="10">
        <v>1.8200000000000001E-2</v>
      </c>
      <c r="I156" s="12">
        <v>50.85</v>
      </c>
      <c r="J156" s="12">
        <f>H156*I156</f>
        <v>0.92547000000000013</v>
      </c>
    </row>
    <row r="157" spans="1:13">
      <c r="B157" t="s">
        <v>911</v>
      </c>
      <c r="F157" s="8" t="s">
        <v>307</v>
      </c>
      <c r="H157" s="10">
        <v>0.11899999999999999</v>
      </c>
      <c r="I157" s="12">
        <v>24.52</v>
      </c>
      <c r="J157" s="12">
        <f t="shared" ref="J157" si="5">H157*I157</f>
        <v>2.9178799999999998</v>
      </c>
    </row>
    <row r="158" spans="1:13">
      <c r="B158" t="s">
        <v>913</v>
      </c>
      <c r="F158" s="8" t="s">
        <v>149</v>
      </c>
      <c r="H158" s="10">
        <v>2.5000000000000001E-2</v>
      </c>
      <c r="I158">
        <v>6.02</v>
      </c>
      <c r="J158" s="12">
        <f>H158*I158</f>
        <v>0.15049999999999999</v>
      </c>
    </row>
    <row r="159" spans="1:13">
      <c r="B159" t="s">
        <v>914</v>
      </c>
      <c r="F159" s="8" t="s">
        <v>305</v>
      </c>
      <c r="H159">
        <v>0.85</v>
      </c>
      <c r="I159">
        <v>5.6</v>
      </c>
      <c r="J159" s="12">
        <f>H159*I159</f>
        <v>4.76</v>
      </c>
    </row>
    <row r="160" spans="1:13">
      <c r="B160" t="s">
        <v>915</v>
      </c>
      <c r="F160" s="8" t="s">
        <v>296</v>
      </c>
      <c r="H160" s="10">
        <v>2.1999999999999999E-2</v>
      </c>
      <c r="I160" s="12">
        <v>5.51</v>
      </c>
      <c r="J160" s="12">
        <f>H160*I160</f>
        <v>0.12121999999999999</v>
      </c>
    </row>
    <row r="161" spans="1:22">
      <c r="B161" t="s">
        <v>664</v>
      </c>
      <c r="F161" s="8" t="s">
        <v>203</v>
      </c>
      <c r="H161" s="10">
        <v>0.01</v>
      </c>
      <c r="I161" s="12">
        <v>6.14</v>
      </c>
      <c r="J161" s="12">
        <f>H161*I161</f>
        <v>6.1399999999999996E-2</v>
      </c>
    </row>
    <row r="162" spans="1:22">
      <c r="F162" s="8"/>
      <c r="H162" s="10"/>
      <c r="I162" s="12"/>
      <c r="J162" s="6">
        <f>SUM(J156:J161)</f>
        <v>8.9364699999999999</v>
      </c>
    </row>
    <row r="163" spans="1:22">
      <c r="B163" s="7" t="s">
        <v>309</v>
      </c>
    </row>
    <row r="164" spans="1:22" ht="15" customHeight="1">
      <c r="B164" t="s">
        <v>310</v>
      </c>
      <c r="F164" s="8" t="s">
        <v>311</v>
      </c>
      <c r="H164" s="10">
        <v>3</v>
      </c>
      <c r="I164" s="12">
        <f>J154</f>
        <v>26.120866666666664</v>
      </c>
      <c r="J164" s="12">
        <f>H164%*I164</f>
        <v>0.78362599999999993</v>
      </c>
    </row>
    <row r="165" spans="1:22">
      <c r="A165" s="14"/>
      <c r="B165" s="14"/>
      <c r="C165" s="14"/>
      <c r="D165" s="14"/>
      <c r="E165" s="14"/>
      <c r="F165" s="14"/>
      <c r="G165" s="14"/>
      <c r="H165" s="14"/>
      <c r="I165" s="15"/>
      <c r="J165" s="16">
        <f>SUM(J164:J164)</f>
        <v>0.78362599999999993</v>
      </c>
    </row>
    <row r="166" spans="1:22">
      <c r="I166" s="2"/>
      <c r="J166" s="6"/>
    </row>
    <row r="167" spans="1:22">
      <c r="A167" s="2" t="s">
        <v>277</v>
      </c>
      <c r="B167" s="31" t="str">
        <f>ARQUITECTURA!A14</f>
        <v>03.02.02.01</v>
      </c>
      <c r="C167" s="2" t="s">
        <v>776</v>
      </c>
      <c r="D167" s="2"/>
    </row>
    <row r="168" spans="1:22">
      <c r="A168" s="2" t="s">
        <v>278</v>
      </c>
      <c r="B168" s="2" t="s">
        <v>279</v>
      </c>
      <c r="C168" s="4" t="s">
        <v>280</v>
      </c>
      <c r="D168" s="5">
        <v>8</v>
      </c>
      <c r="E168" s="4" t="s">
        <v>281</v>
      </c>
      <c r="F168" s="5">
        <f>D168</f>
        <v>8</v>
      </c>
      <c r="G168" s="2" t="s">
        <v>282</v>
      </c>
      <c r="I168" s="4" t="s">
        <v>133</v>
      </c>
      <c r="J168" s="6">
        <f>J174+J182+J185</f>
        <v>90.825879999999998</v>
      </c>
    </row>
    <row r="169" spans="1:22">
      <c r="A169" s="2" t="s">
        <v>283</v>
      </c>
      <c r="B169" s="2" t="s">
        <v>284</v>
      </c>
      <c r="F169" s="4" t="s">
        <v>122</v>
      </c>
      <c r="G169" s="4" t="s">
        <v>285</v>
      </c>
      <c r="H169" s="4" t="s">
        <v>286</v>
      </c>
      <c r="I169" s="4" t="s">
        <v>287</v>
      </c>
      <c r="J169" s="4" t="s">
        <v>288</v>
      </c>
    </row>
    <row r="170" spans="1:22">
      <c r="B170" s="7" t="s">
        <v>289</v>
      </c>
    </row>
    <row r="171" spans="1:22">
      <c r="B171" t="s">
        <v>650</v>
      </c>
      <c r="F171" s="8" t="s">
        <v>291</v>
      </c>
      <c r="G171" s="9">
        <v>0.1</v>
      </c>
      <c r="H171" s="10">
        <f>G171*8/$D$168</f>
        <v>0.1</v>
      </c>
      <c r="I171" s="12">
        <v>34.729999999999997</v>
      </c>
      <c r="J171" s="12">
        <f>H171*I171</f>
        <v>3.4729999999999999</v>
      </c>
    </row>
    <row r="172" spans="1:22">
      <c r="B172" t="s">
        <v>290</v>
      </c>
      <c r="F172" s="8" t="s">
        <v>291</v>
      </c>
      <c r="G172" s="9">
        <v>1</v>
      </c>
      <c r="H172" s="10">
        <f>G172*8/$D$168</f>
        <v>1</v>
      </c>
      <c r="I172" s="12">
        <v>28.94</v>
      </c>
      <c r="J172" s="12">
        <f>H172*I172</f>
        <v>28.94</v>
      </c>
    </row>
    <row r="173" spans="1:22">
      <c r="B173" t="s">
        <v>293</v>
      </c>
      <c r="F173" s="8" t="s">
        <v>291</v>
      </c>
      <c r="G173" s="9">
        <v>0.5</v>
      </c>
      <c r="H173" s="10">
        <f>G173*8/$D$168</f>
        <v>0.5</v>
      </c>
      <c r="I173">
        <v>20.51</v>
      </c>
      <c r="J173" s="12">
        <f>H173*I173</f>
        <v>10.255000000000001</v>
      </c>
    </row>
    <row r="174" spans="1:22">
      <c r="F174" s="8"/>
      <c r="G174" s="9"/>
      <c r="H174" s="10"/>
      <c r="J174" s="6">
        <f>SUM(J171:J173)</f>
        <v>42.668000000000006</v>
      </c>
    </row>
    <row r="175" spans="1:22">
      <c r="B175" s="7" t="s">
        <v>653</v>
      </c>
      <c r="F175" s="8"/>
      <c r="G175" s="9"/>
      <c r="H175" s="10"/>
      <c r="J175" s="12"/>
      <c r="S175" s="107"/>
      <c r="T175" s="108"/>
      <c r="U175" s="109"/>
      <c r="V175" s="110"/>
    </row>
    <row r="176" spans="1:22">
      <c r="B176" t="s">
        <v>916</v>
      </c>
      <c r="F176" s="8" t="s">
        <v>296</v>
      </c>
      <c r="H176" s="10">
        <v>0.63</v>
      </c>
      <c r="I176" s="10">
        <v>7.4</v>
      </c>
      <c r="J176" s="12">
        <f>H176*I176</f>
        <v>4.6619999999999999</v>
      </c>
      <c r="S176" s="107"/>
      <c r="T176" s="108"/>
      <c r="U176" s="109"/>
      <c r="V176" s="110"/>
    </row>
    <row r="177" spans="1:22">
      <c r="B177" t="s">
        <v>917</v>
      </c>
      <c r="F177" s="8" t="s">
        <v>307</v>
      </c>
      <c r="H177">
        <v>0.33600000000000002</v>
      </c>
      <c r="I177" s="10">
        <v>28.25</v>
      </c>
      <c r="J177" s="12">
        <f>H177*I177</f>
        <v>9.4920000000000009</v>
      </c>
      <c r="S177" s="107"/>
      <c r="T177" s="108"/>
      <c r="U177" s="109"/>
      <c r="V177" s="110"/>
    </row>
    <row r="178" spans="1:22">
      <c r="B178" t="s">
        <v>918</v>
      </c>
      <c r="F178" s="8" t="s">
        <v>133</v>
      </c>
      <c r="H178" s="10">
        <v>1.1499999999999999</v>
      </c>
      <c r="I178" s="10">
        <v>24.9</v>
      </c>
      <c r="J178" s="12">
        <f>H178*I178</f>
        <v>28.634999999999994</v>
      </c>
      <c r="S178" s="107"/>
      <c r="T178" s="108"/>
      <c r="U178" s="109"/>
      <c r="V178" s="110"/>
    </row>
    <row r="179" spans="1:22" ht="15" customHeight="1">
      <c r="B179" t="s">
        <v>919</v>
      </c>
      <c r="F179" s="8" t="s">
        <v>307</v>
      </c>
      <c r="H179" s="10">
        <v>0.2</v>
      </c>
      <c r="I179" s="10">
        <v>8.5</v>
      </c>
      <c r="J179" s="12">
        <f>H179*I179</f>
        <v>1.7000000000000002</v>
      </c>
      <c r="S179" s="107"/>
      <c r="T179" s="108"/>
      <c r="U179" s="109"/>
      <c r="V179" s="110"/>
    </row>
    <row r="180" spans="1:22">
      <c r="B180" t="s">
        <v>920</v>
      </c>
      <c r="F180" t="s">
        <v>149</v>
      </c>
      <c r="H180">
        <v>2.1000000000000001E-2</v>
      </c>
      <c r="I180" s="10">
        <v>112</v>
      </c>
      <c r="J180" s="12">
        <f>H180*I180</f>
        <v>2.3520000000000003</v>
      </c>
      <c r="S180" s="107"/>
      <c r="T180" s="108"/>
      <c r="U180" s="109"/>
      <c r="V180" s="110"/>
    </row>
    <row r="181" spans="1:22">
      <c r="B181" t="s">
        <v>664</v>
      </c>
      <c r="F181" s="8" t="s">
        <v>203</v>
      </c>
      <c r="H181" s="10">
        <v>6.0000000000000001E-3</v>
      </c>
      <c r="I181" s="10">
        <v>6.14</v>
      </c>
      <c r="J181" s="12">
        <f>H181*I181</f>
        <v>3.6839999999999998E-2</v>
      </c>
    </row>
    <row r="182" spans="1:22">
      <c r="F182" s="8"/>
      <c r="H182" s="10"/>
      <c r="I182" s="12"/>
      <c r="J182" s="6">
        <f>SUM(J176:J181)</f>
        <v>46.877839999999992</v>
      </c>
    </row>
    <row r="183" spans="1:22">
      <c r="B183" s="7" t="s">
        <v>309</v>
      </c>
    </row>
    <row r="184" spans="1:22">
      <c r="B184" t="s">
        <v>310</v>
      </c>
      <c r="F184" s="8" t="s">
        <v>311</v>
      </c>
      <c r="H184" s="10">
        <v>3</v>
      </c>
      <c r="I184" s="12">
        <f>J174</f>
        <v>42.668000000000006</v>
      </c>
      <c r="J184" s="12">
        <f>H184%*I184</f>
        <v>1.2800400000000001</v>
      </c>
    </row>
    <row r="185" spans="1:22">
      <c r="A185" s="14"/>
      <c r="B185" s="14"/>
      <c r="C185" s="14"/>
      <c r="D185" s="14"/>
      <c r="E185" s="14"/>
      <c r="F185" s="14"/>
      <c r="G185" s="14"/>
      <c r="H185" s="14"/>
      <c r="I185" s="15"/>
      <c r="J185" s="16">
        <f>SUM(J184)</f>
        <v>1.2800400000000001</v>
      </c>
    </row>
    <row r="187" spans="1:22">
      <c r="A187" s="2" t="s">
        <v>277</v>
      </c>
      <c r="B187" s="31" t="str">
        <f>ARQUITECTURA!A16</f>
        <v>03.02.03.01</v>
      </c>
      <c r="C187" s="2" t="s">
        <v>921</v>
      </c>
      <c r="D187" s="2"/>
    </row>
    <row r="188" spans="1:22">
      <c r="A188" s="2" t="s">
        <v>278</v>
      </c>
      <c r="B188" s="2" t="s">
        <v>279</v>
      </c>
      <c r="C188" s="4" t="s">
        <v>280</v>
      </c>
      <c r="D188" s="5">
        <v>15</v>
      </c>
      <c r="E188" s="4" t="s">
        <v>281</v>
      </c>
      <c r="F188" s="5">
        <f>D188</f>
        <v>15</v>
      </c>
      <c r="G188" s="2" t="s">
        <v>282</v>
      </c>
      <c r="I188" s="4" t="s">
        <v>133</v>
      </c>
      <c r="J188" s="6">
        <f>J196+J205+J209</f>
        <v>212.28215533333332</v>
      </c>
    </row>
    <row r="189" spans="1:22">
      <c r="A189" s="2" t="s">
        <v>283</v>
      </c>
      <c r="B189" s="2" t="s">
        <v>284</v>
      </c>
      <c r="F189" s="4" t="s">
        <v>122</v>
      </c>
      <c r="G189" s="4" t="s">
        <v>285</v>
      </c>
      <c r="H189" s="4" t="s">
        <v>286</v>
      </c>
      <c r="I189" s="4" t="s">
        <v>287</v>
      </c>
      <c r="J189" s="4" t="s">
        <v>288</v>
      </c>
    </row>
    <row r="190" spans="1:22">
      <c r="B190" s="7" t="s">
        <v>289</v>
      </c>
    </row>
    <row r="191" spans="1:22">
      <c r="F191" s="8"/>
      <c r="G191" s="9"/>
      <c r="H191" s="10"/>
      <c r="I191" s="54"/>
      <c r="J191" s="12"/>
    </row>
    <row r="192" spans="1:22">
      <c r="B192" t="s">
        <v>650</v>
      </c>
      <c r="F192" s="8" t="s">
        <v>291</v>
      </c>
      <c r="G192" s="9">
        <v>0.1</v>
      </c>
      <c r="H192" s="10">
        <f>G192*8/$D$188</f>
        <v>5.3333333333333337E-2</v>
      </c>
      <c r="I192" s="12">
        <v>34.729999999999997</v>
      </c>
      <c r="J192" s="12">
        <f>H192*I192</f>
        <v>1.8522666666666667</v>
      </c>
    </row>
    <row r="193" spans="2:10">
      <c r="B193" t="s">
        <v>290</v>
      </c>
      <c r="F193" s="8" t="s">
        <v>291</v>
      </c>
      <c r="G193" s="9">
        <v>1</v>
      </c>
      <c r="H193" s="10">
        <f>G193*8/$D$188</f>
        <v>0.53333333333333333</v>
      </c>
      <c r="I193" s="12">
        <v>28.94</v>
      </c>
      <c r="J193" s="12">
        <f>H193*I193</f>
        <v>15.434666666666667</v>
      </c>
    </row>
    <row r="194" spans="2:10">
      <c r="B194" t="s">
        <v>679</v>
      </c>
      <c r="F194" s="8" t="s">
        <v>291</v>
      </c>
      <c r="G194" s="9">
        <v>1</v>
      </c>
      <c r="H194" s="10">
        <f>G194*8/$D$188</f>
        <v>0.53333333333333333</v>
      </c>
      <c r="I194" s="12">
        <v>22.66</v>
      </c>
      <c r="J194" s="12">
        <f>H194*I194</f>
        <v>12.085333333333333</v>
      </c>
    </row>
    <row r="195" spans="2:10">
      <c r="B195" t="s">
        <v>293</v>
      </c>
      <c r="F195" s="8" t="s">
        <v>291</v>
      </c>
      <c r="G195" s="9">
        <v>1</v>
      </c>
      <c r="H195" s="10">
        <f>G195*8/$D$188</f>
        <v>0.53333333333333333</v>
      </c>
      <c r="I195" s="12">
        <v>20.51</v>
      </c>
      <c r="J195" s="12">
        <f>H195*I195</f>
        <v>10.938666666666668</v>
      </c>
    </row>
    <row r="196" spans="2:10">
      <c r="F196" s="8"/>
      <c r="J196" s="6">
        <f>SUM(J191:J195)</f>
        <v>40.310933333333338</v>
      </c>
    </row>
    <row r="197" spans="2:10">
      <c r="B197" s="7" t="s">
        <v>653</v>
      </c>
    </row>
    <row r="198" spans="2:10">
      <c r="B198" t="s">
        <v>922</v>
      </c>
      <c r="F198" s="8" t="s">
        <v>296</v>
      </c>
      <c r="H198">
        <v>4.5999999999999999E-2</v>
      </c>
      <c r="I198">
        <v>0.37</v>
      </c>
      <c r="J198" s="12">
        <f>H198*I198</f>
        <v>1.702E-2</v>
      </c>
    </row>
    <row r="199" spans="2:10">
      <c r="B199" t="s">
        <v>923</v>
      </c>
      <c r="F199" s="8" t="s">
        <v>330</v>
      </c>
      <c r="H199">
        <v>0.35770000000000002</v>
      </c>
      <c r="I199">
        <v>5.59</v>
      </c>
      <c r="J199" s="12">
        <f>H199*I199</f>
        <v>1.9995430000000001</v>
      </c>
    </row>
    <row r="200" spans="2:10">
      <c r="B200" t="s">
        <v>924</v>
      </c>
      <c r="F200" s="8" t="s">
        <v>330</v>
      </c>
      <c r="H200">
        <v>1.4582999999999999</v>
      </c>
      <c r="I200">
        <v>1.27</v>
      </c>
      <c r="J200" s="12">
        <f>H200*I200</f>
        <v>1.8520409999999998</v>
      </c>
    </row>
    <row r="201" spans="2:10">
      <c r="B201" t="s">
        <v>925</v>
      </c>
      <c r="F201" s="8" t="s">
        <v>330</v>
      </c>
      <c r="H201">
        <v>1.4582999999999999</v>
      </c>
      <c r="I201">
        <v>2.54</v>
      </c>
      <c r="J201" s="12">
        <f>H201*I201</f>
        <v>3.7040819999999997</v>
      </c>
    </row>
    <row r="202" spans="2:10">
      <c r="B202" t="s">
        <v>926</v>
      </c>
      <c r="F202" s="8" t="s">
        <v>330</v>
      </c>
      <c r="H202">
        <v>0.29170000000000001</v>
      </c>
      <c r="I202">
        <v>9.32</v>
      </c>
      <c r="J202" s="12">
        <f>H202*I202</f>
        <v>2.7186440000000003</v>
      </c>
    </row>
    <row r="203" spans="2:10">
      <c r="B203" t="s">
        <v>927</v>
      </c>
      <c r="F203" s="8" t="s">
        <v>149</v>
      </c>
      <c r="H203">
        <v>1.6457999999999999</v>
      </c>
      <c r="I203">
        <v>0.57999999999999996</v>
      </c>
      <c r="J203" s="12">
        <f>H203*I203</f>
        <v>0.95456399999999986</v>
      </c>
    </row>
    <row r="204" spans="2:10">
      <c r="B204" t="s">
        <v>928</v>
      </c>
      <c r="F204" s="8" t="s">
        <v>133</v>
      </c>
      <c r="H204">
        <v>1.05</v>
      </c>
      <c r="I204">
        <v>150</v>
      </c>
      <c r="J204" s="12">
        <f>H204*I204</f>
        <v>157.5</v>
      </c>
    </row>
    <row r="205" spans="2:10">
      <c r="H205" s="10"/>
      <c r="I205" s="12"/>
      <c r="J205" s="6">
        <f>SUM(J198:J204)</f>
        <v>168.74589399999999</v>
      </c>
    </row>
    <row r="206" spans="2:10">
      <c r="B206" s="7" t="s">
        <v>309</v>
      </c>
    </row>
    <row r="207" spans="2:10">
      <c r="B207" t="s">
        <v>929</v>
      </c>
      <c r="F207" s="8" t="s">
        <v>337</v>
      </c>
      <c r="G207" s="9">
        <v>1</v>
      </c>
      <c r="H207" s="10">
        <f>G207*8/$D$188</f>
        <v>0.53333333333333333</v>
      </c>
      <c r="I207" s="12">
        <v>3.78</v>
      </c>
      <c r="J207" s="12">
        <f>H207*I207</f>
        <v>2.016</v>
      </c>
    </row>
    <row r="208" spans="2:10">
      <c r="B208" t="s">
        <v>310</v>
      </c>
      <c r="F208" s="8" t="s">
        <v>311</v>
      </c>
      <c r="H208" s="10">
        <v>3</v>
      </c>
      <c r="I208" s="12">
        <f>J196</f>
        <v>40.310933333333338</v>
      </c>
      <c r="J208" s="12">
        <f>H208%*I208</f>
        <v>1.2093280000000002</v>
      </c>
    </row>
    <row r="209" spans="1:19">
      <c r="A209" s="14"/>
      <c r="B209" s="14"/>
      <c r="C209" s="14"/>
      <c r="D209" s="14"/>
      <c r="E209" s="14"/>
      <c r="F209" s="14"/>
      <c r="G209" s="14"/>
      <c r="H209" s="14"/>
      <c r="I209" s="15"/>
      <c r="J209" s="16">
        <f>SUM(J207:J208)</f>
        <v>3.2253280000000002</v>
      </c>
    </row>
    <row r="210" spans="1:19">
      <c r="I210" s="2"/>
      <c r="J210" s="6"/>
    </row>
    <row r="211" spans="1:19">
      <c r="A211" s="31" t="s">
        <v>277</v>
      </c>
      <c r="B211" s="31" t="str">
        <f>ARQUITECTURA!A17</f>
        <v>03.02.03.02</v>
      </c>
      <c r="C211" s="31" t="s">
        <v>782</v>
      </c>
    </row>
    <row r="212" spans="1:19">
      <c r="A212" s="31" t="s">
        <v>278</v>
      </c>
      <c r="B212" s="31" t="s">
        <v>930</v>
      </c>
      <c r="C212" s="32" t="s">
        <v>280</v>
      </c>
      <c r="D212" s="33">
        <v>8</v>
      </c>
      <c r="E212" s="32" t="s">
        <v>281</v>
      </c>
      <c r="F212" s="33">
        <f>D212</f>
        <v>8</v>
      </c>
      <c r="G212" s="31" t="s">
        <v>282</v>
      </c>
      <c r="I212" s="32" t="s">
        <v>133</v>
      </c>
      <c r="J212" s="34">
        <f>J218+J225+J229</f>
        <v>62.663358000000002</v>
      </c>
    </row>
    <row r="213" spans="1:19">
      <c r="A213" s="31" t="s">
        <v>283</v>
      </c>
      <c r="B213" s="31" t="s">
        <v>284</v>
      </c>
      <c r="F213" s="32" t="s">
        <v>122</v>
      </c>
      <c r="G213" s="32" t="s">
        <v>285</v>
      </c>
      <c r="H213" s="32" t="s">
        <v>286</v>
      </c>
      <c r="I213" s="32" t="s">
        <v>287</v>
      </c>
      <c r="J213" s="32" t="s">
        <v>288</v>
      </c>
      <c r="M213" s="31"/>
      <c r="N213" s="31"/>
    </row>
    <row r="214" spans="1:19">
      <c r="B214" s="35" t="s">
        <v>289</v>
      </c>
      <c r="G214" s="9"/>
      <c r="N214" s="31"/>
    </row>
    <row r="215" spans="1:19">
      <c r="B215" t="s">
        <v>650</v>
      </c>
      <c r="F215" s="8" t="s">
        <v>291</v>
      </c>
      <c r="G215" s="9">
        <v>0.1</v>
      </c>
      <c r="H215" s="10">
        <f>G215*8/$D$212</f>
        <v>0.1</v>
      </c>
      <c r="I215" s="12">
        <v>34.729999999999997</v>
      </c>
      <c r="J215" s="12">
        <f>H215*I215</f>
        <v>3.4729999999999999</v>
      </c>
      <c r="M215" s="31"/>
      <c r="N215" s="31"/>
    </row>
    <row r="216" spans="1:19">
      <c r="B216" t="s">
        <v>404</v>
      </c>
      <c r="F216" s="8" t="s">
        <v>291</v>
      </c>
      <c r="G216" s="9">
        <v>1</v>
      </c>
      <c r="H216" s="10">
        <f>G216*8/$D$212</f>
        <v>1</v>
      </c>
      <c r="I216">
        <v>28.94</v>
      </c>
      <c r="J216" s="12">
        <f>H216*I216</f>
        <v>28.94</v>
      </c>
      <c r="N216" s="31"/>
    </row>
    <row r="217" spans="1:19">
      <c r="B217" t="s">
        <v>293</v>
      </c>
      <c r="F217" s="8" t="s">
        <v>291</v>
      </c>
      <c r="G217" s="9">
        <v>0.5</v>
      </c>
      <c r="H217" s="10">
        <f>G217*8/$D$212</f>
        <v>0.5</v>
      </c>
      <c r="I217">
        <v>21.36</v>
      </c>
      <c r="J217" s="12">
        <f>H217*I217</f>
        <v>10.68</v>
      </c>
      <c r="N217" s="31"/>
    </row>
    <row r="218" spans="1:19">
      <c r="F218" s="8"/>
      <c r="G218" s="9"/>
      <c r="J218" s="34">
        <f>SUM(J215:J217)</f>
        <v>43.093000000000004</v>
      </c>
      <c r="M218" s="31"/>
      <c r="N218" s="31"/>
      <c r="Q218" s="65"/>
      <c r="R218" s="65"/>
      <c r="S218" s="65"/>
    </row>
    <row r="219" spans="1:19">
      <c r="B219" s="35" t="s">
        <v>294</v>
      </c>
      <c r="F219" s="8"/>
      <c r="G219" s="9"/>
      <c r="H219" s="18"/>
    </row>
    <row r="220" spans="1:19">
      <c r="B220" t="s">
        <v>931</v>
      </c>
      <c r="F220" s="8" t="s">
        <v>203</v>
      </c>
      <c r="H220" s="18">
        <v>1.77E-2</v>
      </c>
      <c r="I220" s="12">
        <v>90.4</v>
      </c>
      <c r="J220" s="12">
        <f>H220*I220</f>
        <v>1.6000800000000002</v>
      </c>
    </row>
    <row r="221" spans="1:19">
      <c r="B221" t="s">
        <v>664</v>
      </c>
      <c r="F221" s="8" t="s">
        <v>203</v>
      </c>
      <c r="H221" s="18">
        <v>4.4000000000000003E-3</v>
      </c>
      <c r="I221">
        <v>6.14</v>
      </c>
      <c r="J221" s="12">
        <f>H221*I221</f>
        <v>2.7016000000000002E-2</v>
      </c>
    </row>
    <row r="222" spans="1:19">
      <c r="B222" t="s">
        <v>932</v>
      </c>
      <c r="F222" s="8" t="s">
        <v>296</v>
      </c>
      <c r="G222" s="9"/>
      <c r="H222" s="18">
        <v>2.1999999999999999E-2</v>
      </c>
      <c r="I222" s="12">
        <v>3.51</v>
      </c>
      <c r="J222" s="12">
        <f>H222*I222</f>
        <v>7.7219999999999997E-2</v>
      </c>
    </row>
    <row r="223" spans="1:19">
      <c r="B223" t="s">
        <v>701</v>
      </c>
      <c r="F223" s="8" t="s">
        <v>307</v>
      </c>
      <c r="H223" s="18">
        <v>0.14460000000000001</v>
      </c>
      <c r="I223">
        <v>24.52</v>
      </c>
      <c r="J223" s="12">
        <f>H223*I223</f>
        <v>3.5455920000000001</v>
      </c>
    </row>
    <row r="224" spans="1:19">
      <c r="B224" t="s">
        <v>669</v>
      </c>
      <c r="F224" s="8" t="s">
        <v>305</v>
      </c>
      <c r="G224" s="9"/>
      <c r="H224" s="18">
        <v>0.20100000000000001</v>
      </c>
      <c r="I224" s="12">
        <v>5.8</v>
      </c>
      <c r="J224" s="12">
        <f>H224*I224</f>
        <v>1.1657999999999999</v>
      </c>
    </row>
    <row r="225" spans="1:10">
      <c r="F225" s="8"/>
      <c r="G225" s="9"/>
      <c r="J225" s="34">
        <f>SUM(J220:J224)</f>
        <v>6.4157080000000004</v>
      </c>
    </row>
    <row r="226" spans="1:10">
      <c r="B226" s="35" t="s">
        <v>317</v>
      </c>
      <c r="F226" s="8"/>
      <c r="G226" s="9"/>
    </row>
    <row r="227" spans="1:10">
      <c r="B227" t="s">
        <v>310</v>
      </c>
      <c r="F227" s="8" t="s">
        <v>311</v>
      </c>
      <c r="H227" s="10">
        <v>5</v>
      </c>
      <c r="I227" s="12">
        <f>J218</f>
        <v>43.093000000000004</v>
      </c>
      <c r="J227" s="12">
        <f>H227%*I227</f>
        <v>2.1546500000000002</v>
      </c>
    </row>
    <row r="228" spans="1:10">
      <c r="B228" t="s">
        <v>929</v>
      </c>
      <c r="C228" s="52"/>
      <c r="D228" s="52"/>
      <c r="E228" s="52"/>
      <c r="F228" s="8" t="s">
        <v>337</v>
      </c>
      <c r="G228" s="9">
        <v>2</v>
      </c>
      <c r="H228" s="10">
        <f>G228*8/$D$212</f>
        <v>2</v>
      </c>
      <c r="I228" s="12">
        <v>5.5</v>
      </c>
      <c r="J228" s="12">
        <f>H228*I228</f>
        <v>11</v>
      </c>
    </row>
    <row r="229" spans="1:10">
      <c r="A229" s="14"/>
      <c r="B229" s="14"/>
      <c r="C229" s="14"/>
      <c r="D229" s="14"/>
      <c r="E229" s="14"/>
      <c r="F229" s="14"/>
      <c r="G229" s="14"/>
      <c r="H229" s="14"/>
      <c r="I229" s="14"/>
      <c r="J229" s="36">
        <f>SUM(J227:J228)</f>
        <v>13.15465</v>
      </c>
    </row>
    <row r="230" spans="1:10">
      <c r="I230" s="2"/>
      <c r="J230" s="6"/>
    </row>
    <row r="231" spans="1:10">
      <c r="A231" s="31" t="s">
        <v>277</v>
      </c>
      <c r="B231" s="31" t="str">
        <f>ARQUITECTURA!A19</f>
        <v>03.03.01</v>
      </c>
      <c r="C231" s="31" t="s">
        <v>785</v>
      </c>
      <c r="D231" s="31"/>
    </row>
    <row r="232" spans="1:10">
      <c r="A232" s="31" t="s">
        <v>278</v>
      </c>
      <c r="B232" s="31" t="s">
        <v>279</v>
      </c>
      <c r="C232" s="32" t="s">
        <v>280</v>
      </c>
      <c r="D232" s="33">
        <v>80</v>
      </c>
      <c r="E232" s="32" t="s">
        <v>281</v>
      </c>
      <c r="F232" s="33">
        <f>D232</f>
        <v>80</v>
      </c>
      <c r="G232" s="31" t="s">
        <v>282</v>
      </c>
      <c r="I232" s="32" t="s">
        <v>133</v>
      </c>
      <c r="J232" s="34">
        <f>J239+J245+J249</f>
        <v>40.184685790000003</v>
      </c>
    </row>
    <row r="233" spans="1:10">
      <c r="A233" s="31" t="s">
        <v>283</v>
      </c>
      <c r="B233" s="31" t="s">
        <v>284</v>
      </c>
      <c r="F233" s="32" t="s">
        <v>122</v>
      </c>
      <c r="G233" s="32" t="s">
        <v>285</v>
      </c>
      <c r="H233" s="32">
        <v>5.5599999999999997E-2</v>
      </c>
      <c r="I233" s="32" t="s">
        <v>287</v>
      </c>
      <c r="J233" s="32" t="s">
        <v>288</v>
      </c>
    </row>
    <row r="234" spans="1:10">
      <c r="B234" s="35" t="s">
        <v>289</v>
      </c>
    </row>
    <row r="235" spans="1:10">
      <c r="B235" t="s">
        <v>650</v>
      </c>
      <c r="F235" s="8" t="s">
        <v>291</v>
      </c>
      <c r="G235" s="9">
        <v>0.3</v>
      </c>
      <c r="H235" s="10">
        <v>2.0999999999999999E-3</v>
      </c>
      <c r="I235" s="12">
        <v>34.729999999999997</v>
      </c>
      <c r="J235" s="12">
        <f>H235*I235</f>
        <v>7.2932999999999984E-2</v>
      </c>
    </row>
    <row r="236" spans="1:10">
      <c r="B236" t="s">
        <v>290</v>
      </c>
      <c r="F236" s="8" t="s">
        <v>291</v>
      </c>
      <c r="G236" s="9">
        <v>3</v>
      </c>
      <c r="H236" s="10">
        <v>1.4E-2</v>
      </c>
      <c r="I236" s="12">
        <v>28.94</v>
      </c>
      <c r="J236" s="12">
        <f>H236*I236</f>
        <v>0.40516000000000002</v>
      </c>
    </row>
    <row r="237" spans="1:10">
      <c r="B237" t="s">
        <v>679</v>
      </c>
      <c r="F237" s="8" t="s">
        <v>291</v>
      </c>
      <c r="G237" s="9">
        <v>1</v>
      </c>
      <c r="H237" s="10">
        <f>G237*8/$D$232</f>
        <v>0.1</v>
      </c>
      <c r="I237" s="12">
        <v>22.66</v>
      </c>
      <c r="J237" s="12">
        <f>H237*I237</f>
        <v>2.266</v>
      </c>
    </row>
    <row r="238" spans="1:10">
      <c r="B238" t="s">
        <v>293</v>
      </c>
      <c r="F238" s="8" t="s">
        <v>291</v>
      </c>
      <c r="G238" s="9">
        <v>5</v>
      </c>
      <c r="H238" s="10">
        <f>G238*8/$D$232</f>
        <v>0.5</v>
      </c>
      <c r="I238" s="12">
        <v>20.51</v>
      </c>
      <c r="J238" s="12">
        <f>H238*I238</f>
        <v>10.255000000000001</v>
      </c>
    </row>
    <row r="239" spans="1:10">
      <c r="F239" s="8"/>
      <c r="G239" s="9"/>
      <c r="H239" s="10"/>
      <c r="I239" s="12"/>
      <c r="J239" s="34">
        <f>SUM(J235:J238)</f>
        <v>12.999093</v>
      </c>
    </row>
    <row r="240" spans="1:10">
      <c r="B240" s="35" t="s">
        <v>653</v>
      </c>
      <c r="F240" s="8"/>
      <c r="G240" s="9"/>
      <c r="H240" s="10"/>
      <c r="J240" s="12"/>
    </row>
    <row r="241" spans="1:10">
      <c r="B241" t="s">
        <v>673</v>
      </c>
      <c r="F241" s="8" t="s">
        <v>203</v>
      </c>
      <c r="H241" s="10">
        <v>5.5599999999999997E-2</v>
      </c>
      <c r="I241" s="12">
        <v>47</v>
      </c>
      <c r="J241" s="12">
        <f>H241*I241</f>
        <v>2.6132</v>
      </c>
    </row>
    <row r="242" spans="1:10">
      <c r="B242" t="s">
        <v>306</v>
      </c>
      <c r="F242" s="8" t="s">
        <v>307</v>
      </c>
      <c r="H242">
        <v>0.45050000000000001</v>
      </c>
      <c r="I242" s="12">
        <v>24.52</v>
      </c>
      <c r="J242" s="12">
        <f t="shared" ref="J242:J244" si="6">H242*I242</f>
        <v>11.04626</v>
      </c>
    </row>
    <row r="243" spans="1:10">
      <c r="B243" t="s">
        <v>920</v>
      </c>
      <c r="F243" s="8" t="s">
        <v>203</v>
      </c>
      <c r="H243">
        <v>2.0999999999999999E-3</v>
      </c>
      <c r="I243" s="12">
        <v>112</v>
      </c>
      <c r="J243" s="12">
        <f t="shared" si="6"/>
        <v>0.23519999999999999</v>
      </c>
    </row>
    <row r="244" spans="1:10">
      <c r="B244" t="s">
        <v>655</v>
      </c>
      <c r="F244" s="8" t="s">
        <v>203</v>
      </c>
      <c r="H244" s="10">
        <v>1.4E-2</v>
      </c>
      <c r="I244">
        <v>6.14</v>
      </c>
      <c r="J244" s="12">
        <f t="shared" si="6"/>
        <v>8.5959999999999995E-2</v>
      </c>
    </row>
    <row r="245" spans="1:10">
      <c r="F245" s="8"/>
      <c r="H245" s="10"/>
      <c r="I245" s="12"/>
      <c r="J245" s="34">
        <f>SUM(J241:J244)</f>
        <v>13.98062</v>
      </c>
    </row>
    <row r="246" spans="1:10">
      <c r="B246" s="35" t="s">
        <v>309</v>
      </c>
    </row>
    <row r="247" spans="1:10">
      <c r="B247" t="s">
        <v>310</v>
      </c>
      <c r="F247" s="8" t="s">
        <v>311</v>
      </c>
      <c r="H247" s="10">
        <v>3</v>
      </c>
      <c r="I247" s="12">
        <f>J239</f>
        <v>12.999093</v>
      </c>
      <c r="J247" s="12">
        <f>H247%*I247</f>
        <v>0.38997279000000001</v>
      </c>
    </row>
    <row r="248" spans="1:10">
      <c r="B248" t="s">
        <v>933</v>
      </c>
      <c r="F248" s="8" t="s">
        <v>337</v>
      </c>
      <c r="G248" s="9">
        <v>5</v>
      </c>
      <c r="H248" s="10">
        <f>G248*8/$D$232</f>
        <v>0.5</v>
      </c>
      <c r="I248" s="12">
        <v>25.63</v>
      </c>
      <c r="J248" s="12">
        <f>H248*I248</f>
        <v>12.815</v>
      </c>
    </row>
    <row r="249" spans="1:10">
      <c r="A249" s="14"/>
      <c r="B249" s="14"/>
      <c r="C249" s="14"/>
      <c r="D249" s="14"/>
      <c r="E249" s="14"/>
      <c r="F249" s="14"/>
      <c r="G249" s="14"/>
      <c r="H249" s="14"/>
      <c r="I249" s="14"/>
      <c r="J249" s="36">
        <f>SUM(J247:J248)</f>
        <v>13.204972789999999</v>
      </c>
    </row>
    <row r="251" spans="1:10">
      <c r="A251" s="31" t="s">
        <v>277</v>
      </c>
      <c r="B251" s="31" t="str">
        <f>ARQUITECTURA!A20</f>
        <v>03.03.02</v>
      </c>
      <c r="C251" s="31" t="s">
        <v>787</v>
      </c>
      <c r="D251" s="31"/>
    </row>
    <row r="252" spans="1:10">
      <c r="A252" s="31" t="s">
        <v>278</v>
      </c>
      <c r="B252" s="31" t="s">
        <v>279</v>
      </c>
      <c r="C252" s="32" t="s">
        <v>280</v>
      </c>
      <c r="D252" s="33">
        <v>10</v>
      </c>
      <c r="E252" s="32" t="s">
        <v>281</v>
      </c>
      <c r="F252" s="33">
        <f>D252</f>
        <v>10</v>
      </c>
      <c r="G252" s="31" t="s">
        <v>282</v>
      </c>
      <c r="I252" s="32" t="s">
        <v>133</v>
      </c>
      <c r="J252" s="34">
        <f>J258+J266+J269</f>
        <v>206.77337199999999</v>
      </c>
    </row>
    <row r="253" spans="1:10">
      <c r="A253" s="31" t="s">
        <v>283</v>
      </c>
      <c r="B253" s="31" t="s">
        <v>284</v>
      </c>
      <c r="F253" s="32" t="s">
        <v>122</v>
      </c>
      <c r="G253" s="32" t="s">
        <v>285</v>
      </c>
      <c r="H253" s="32">
        <v>5.5599999999999997E-2</v>
      </c>
      <c r="I253" s="32" t="s">
        <v>287</v>
      </c>
      <c r="J253" s="32" t="s">
        <v>288</v>
      </c>
    </row>
    <row r="254" spans="1:10">
      <c r="B254" s="35" t="s">
        <v>289</v>
      </c>
    </row>
    <row r="255" spans="1:10">
      <c r="B255" t="s">
        <v>650</v>
      </c>
      <c r="F255" s="8" t="s">
        <v>291</v>
      </c>
      <c r="G255" s="9">
        <v>0.3</v>
      </c>
      <c r="H255" s="10">
        <f>G255*8/$D$252</f>
        <v>0.24</v>
      </c>
      <c r="I255" s="12">
        <v>34.729999999999997</v>
      </c>
      <c r="J255" s="12">
        <f>H255*I255</f>
        <v>8.3351999999999986</v>
      </c>
    </row>
    <row r="256" spans="1:10">
      <c r="B256" t="s">
        <v>290</v>
      </c>
      <c r="F256" s="8" t="s">
        <v>291</v>
      </c>
      <c r="G256" s="9">
        <v>3</v>
      </c>
      <c r="H256" s="10">
        <f>G256*8/$D$252</f>
        <v>2.4</v>
      </c>
      <c r="I256" s="12">
        <v>28.94</v>
      </c>
      <c r="J256" s="12">
        <f>H256*I256</f>
        <v>69.456000000000003</v>
      </c>
    </row>
    <row r="257" spans="1:10">
      <c r="B257" t="s">
        <v>293</v>
      </c>
      <c r="F257" s="8" t="s">
        <v>291</v>
      </c>
      <c r="G257" s="9">
        <v>4</v>
      </c>
      <c r="H257" s="10">
        <f>G257*8/$D$252</f>
        <v>3.2</v>
      </c>
      <c r="I257" s="12">
        <v>20.51</v>
      </c>
      <c r="J257" s="12">
        <f>H257*I257</f>
        <v>65.632000000000005</v>
      </c>
    </row>
    <row r="258" spans="1:10">
      <c r="F258" s="8"/>
      <c r="G258" s="9"/>
      <c r="H258" s="10"/>
      <c r="I258" s="12"/>
      <c r="J258" s="34">
        <f>SUM(J255:J257)</f>
        <v>143.42320000000001</v>
      </c>
    </row>
    <row r="259" spans="1:10">
      <c r="B259" s="35" t="s">
        <v>653</v>
      </c>
      <c r="F259" s="8"/>
      <c r="G259" s="9"/>
      <c r="H259" s="10"/>
      <c r="J259" s="12"/>
    </row>
    <row r="260" spans="1:10">
      <c r="B260" t="s">
        <v>916</v>
      </c>
      <c r="F260" s="8" t="s">
        <v>296</v>
      </c>
      <c r="H260" s="10">
        <v>0.63</v>
      </c>
      <c r="I260" s="12">
        <v>7.4</v>
      </c>
      <c r="J260" s="12">
        <f>H260*I260</f>
        <v>4.6619999999999999</v>
      </c>
    </row>
    <row r="261" spans="1:10">
      <c r="B261" t="s">
        <v>934</v>
      </c>
      <c r="F261" s="8" t="s">
        <v>935</v>
      </c>
      <c r="H261" s="10">
        <v>0.33600000000000002</v>
      </c>
      <c r="I261" s="12">
        <v>22.9</v>
      </c>
      <c r="J261" s="12">
        <f t="shared" ref="J261:J265" si="7">H261*I261</f>
        <v>7.6943999999999999</v>
      </c>
    </row>
    <row r="262" spans="1:10">
      <c r="B262" t="s">
        <v>936</v>
      </c>
      <c r="F262" s="8" t="s">
        <v>133</v>
      </c>
      <c r="H262" s="10">
        <v>1.1499999999999999</v>
      </c>
      <c r="I262" s="12">
        <v>38.9</v>
      </c>
      <c r="J262" s="12">
        <f t="shared" si="7"/>
        <v>44.734999999999992</v>
      </c>
    </row>
    <row r="263" spans="1:10">
      <c r="B263" t="s">
        <v>937</v>
      </c>
      <c r="F263" s="8" t="s">
        <v>431</v>
      </c>
      <c r="H263" s="10">
        <v>0.2</v>
      </c>
      <c r="I263" s="12">
        <v>8.5</v>
      </c>
      <c r="J263" s="12">
        <f t="shared" si="7"/>
        <v>1.7000000000000002</v>
      </c>
    </row>
    <row r="264" spans="1:10">
      <c r="B264" t="s">
        <v>920</v>
      </c>
      <c r="F264" s="8" t="s">
        <v>149</v>
      </c>
      <c r="H264" s="10">
        <v>2.0999999999999999E-3</v>
      </c>
      <c r="I264" s="12">
        <v>112</v>
      </c>
      <c r="J264" s="12">
        <f t="shared" si="7"/>
        <v>0.23519999999999999</v>
      </c>
    </row>
    <row r="265" spans="1:10">
      <c r="B265" t="s">
        <v>664</v>
      </c>
      <c r="F265" s="8" t="s">
        <v>203</v>
      </c>
      <c r="H265" s="10">
        <v>3.3999999999999998E-3</v>
      </c>
      <c r="I265" s="12">
        <v>6.14</v>
      </c>
      <c r="J265" s="12">
        <f t="shared" si="7"/>
        <v>2.0875999999999999E-2</v>
      </c>
    </row>
    <row r="266" spans="1:10">
      <c r="F266" s="8"/>
      <c r="H266" s="10"/>
      <c r="I266" s="12"/>
      <c r="J266" s="34">
        <f>SUM(J260:J265)</f>
        <v>59.047475999999996</v>
      </c>
    </row>
    <row r="267" spans="1:10">
      <c r="B267" s="35" t="s">
        <v>309</v>
      </c>
    </row>
    <row r="268" spans="1:10">
      <c r="B268" t="s">
        <v>310</v>
      </c>
      <c r="F268" s="8" t="s">
        <v>311</v>
      </c>
      <c r="H268" s="10">
        <v>3</v>
      </c>
      <c r="I268" s="12">
        <f>J258</f>
        <v>143.42320000000001</v>
      </c>
      <c r="J268" s="12">
        <f>H268%*I268</f>
        <v>4.3026960000000001</v>
      </c>
    </row>
    <row r="269" spans="1:10">
      <c r="A269" s="14"/>
      <c r="B269" s="14"/>
      <c r="C269" s="14"/>
      <c r="D269" s="14"/>
      <c r="E269" s="14"/>
      <c r="F269" s="14"/>
      <c r="G269" s="14"/>
      <c r="H269" s="14"/>
      <c r="I269" s="14"/>
      <c r="J269" s="36">
        <f>SUM(J268:J268)</f>
        <v>4.3026960000000001</v>
      </c>
    </row>
    <row r="271" spans="1:10">
      <c r="A271" s="31" t="s">
        <v>277</v>
      </c>
      <c r="B271" s="31" t="str">
        <f>ARQUITECTURA!A21</f>
        <v>03.03.03</v>
      </c>
      <c r="C271" s="31" t="s">
        <v>789</v>
      </c>
      <c r="D271" s="31"/>
    </row>
    <row r="272" spans="1:10">
      <c r="A272" s="31" t="s">
        <v>278</v>
      </c>
      <c r="B272" s="31" t="s">
        <v>279</v>
      </c>
      <c r="C272" s="32" t="s">
        <v>280</v>
      </c>
      <c r="D272" s="33">
        <v>10</v>
      </c>
      <c r="E272" s="32" t="s">
        <v>281</v>
      </c>
      <c r="F272" s="33">
        <f>D272</f>
        <v>10</v>
      </c>
      <c r="G272" s="31" t="s">
        <v>282</v>
      </c>
      <c r="I272" s="32" t="s">
        <v>133</v>
      </c>
      <c r="J272" s="34">
        <f>J278+J286+J289</f>
        <v>102.65602799999999</v>
      </c>
    </row>
    <row r="273" spans="1:10">
      <c r="A273" s="31" t="s">
        <v>283</v>
      </c>
      <c r="B273" s="31" t="s">
        <v>284</v>
      </c>
      <c r="F273" s="32" t="s">
        <v>122</v>
      </c>
      <c r="G273" s="32" t="s">
        <v>285</v>
      </c>
      <c r="H273" s="32">
        <v>5.5599999999999997E-2</v>
      </c>
      <c r="I273" s="32" t="s">
        <v>287</v>
      </c>
      <c r="J273" s="32" t="s">
        <v>288</v>
      </c>
    </row>
    <row r="274" spans="1:10">
      <c r="B274" s="35" t="s">
        <v>289</v>
      </c>
    </row>
    <row r="275" spans="1:10">
      <c r="B275" t="s">
        <v>650</v>
      </c>
      <c r="F275" s="8" t="s">
        <v>291</v>
      </c>
      <c r="G275" s="9">
        <v>0.1</v>
      </c>
      <c r="H275" s="10">
        <f>G275*8/$D$272</f>
        <v>0.08</v>
      </c>
      <c r="I275" s="12">
        <v>34.729999999999997</v>
      </c>
      <c r="J275" s="12">
        <f>H275*I275</f>
        <v>2.7784</v>
      </c>
    </row>
    <row r="276" spans="1:10">
      <c r="B276" t="s">
        <v>290</v>
      </c>
      <c r="F276" s="8" t="s">
        <v>291</v>
      </c>
      <c r="G276" s="9">
        <v>1</v>
      </c>
      <c r="H276" s="10">
        <f>G276*8/$D$272</f>
        <v>0.8</v>
      </c>
      <c r="I276" s="12">
        <v>28.94</v>
      </c>
      <c r="J276" s="12">
        <f>H276*I276</f>
        <v>23.152000000000001</v>
      </c>
    </row>
    <row r="277" spans="1:10">
      <c r="B277" t="s">
        <v>293</v>
      </c>
      <c r="F277" s="8" t="s">
        <v>291</v>
      </c>
      <c r="G277" s="9">
        <v>1</v>
      </c>
      <c r="H277" s="10">
        <f>G277*8/$D$272</f>
        <v>0.8</v>
      </c>
      <c r="I277" s="12">
        <v>20.51</v>
      </c>
      <c r="J277" s="12">
        <f>H277*I277</f>
        <v>16.408000000000001</v>
      </c>
    </row>
    <row r="278" spans="1:10">
      <c r="F278" s="8"/>
      <c r="G278" s="9"/>
      <c r="H278" s="10"/>
      <c r="I278" s="12"/>
      <c r="J278" s="34">
        <f>SUM(J275:J277)</f>
        <v>42.338400000000007</v>
      </c>
    </row>
    <row r="279" spans="1:10">
      <c r="B279" s="35" t="s">
        <v>653</v>
      </c>
      <c r="F279" s="8"/>
      <c r="G279" s="9"/>
      <c r="H279" s="10"/>
      <c r="J279" s="12"/>
    </row>
    <row r="280" spans="1:10">
      <c r="B280" t="s">
        <v>916</v>
      </c>
      <c r="F280" s="8" t="s">
        <v>296</v>
      </c>
      <c r="H280" s="10">
        <v>0.63</v>
      </c>
      <c r="I280" s="12">
        <v>7.4</v>
      </c>
      <c r="J280" s="12">
        <f>H280*I280</f>
        <v>4.6619999999999999</v>
      </c>
    </row>
    <row r="281" spans="1:10">
      <c r="B281" t="s">
        <v>934</v>
      </c>
      <c r="F281" s="8" t="s">
        <v>935</v>
      </c>
      <c r="H281" s="10">
        <v>0.33600000000000002</v>
      </c>
      <c r="I281" s="12">
        <v>22.9</v>
      </c>
      <c r="J281" s="12">
        <f t="shared" ref="J281:J285" si="8">H281*I281</f>
        <v>7.6943999999999999</v>
      </c>
    </row>
    <row r="282" spans="1:10">
      <c r="B282" t="s">
        <v>936</v>
      </c>
      <c r="F282" s="8" t="s">
        <v>133</v>
      </c>
      <c r="H282" s="10">
        <v>1.1499999999999999</v>
      </c>
      <c r="I282" s="12">
        <v>38.9</v>
      </c>
      <c r="J282" s="12">
        <f t="shared" si="8"/>
        <v>44.734999999999992</v>
      </c>
    </row>
    <row r="283" spans="1:10">
      <c r="B283" t="s">
        <v>937</v>
      </c>
      <c r="F283" s="8" t="s">
        <v>431</v>
      </c>
      <c r="H283" s="10">
        <v>0.2</v>
      </c>
      <c r="I283" s="12">
        <v>8.5</v>
      </c>
      <c r="J283" s="12">
        <f t="shared" si="8"/>
        <v>1.7000000000000002</v>
      </c>
    </row>
    <row r="284" spans="1:10">
      <c r="B284" t="s">
        <v>920</v>
      </c>
      <c r="F284" s="8" t="s">
        <v>149</v>
      </c>
      <c r="H284" s="10">
        <v>2.0999999999999999E-3</v>
      </c>
      <c r="I284" s="12">
        <v>112</v>
      </c>
      <c r="J284" s="12">
        <f t="shared" si="8"/>
        <v>0.23519999999999999</v>
      </c>
    </row>
    <row r="285" spans="1:10">
      <c r="B285" t="s">
        <v>664</v>
      </c>
      <c r="F285" s="8" t="s">
        <v>203</v>
      </c>
      <c r="H285" s="10">
        <v>3.3999999999999998E-3</v>
      </c>
      <c r="I285" s="12">
        <v>6.14</v>
      </c>
      <c r="J285" s="12">
        <f t="shared" si="8"/>
        <v>2.0875999999999999E-2</v>
      </c>
    </row>
    <row r="286" spans="1:10">
      <c r="F286" s="8"/>
      <c r="H286" s="10"/>
      <c r="I286" s="12"/>
      <c r="J286" s="34">
        <f>SUM(J280:J285)</f>
        <v>59.047475999999996</v>
      </c>
    </row>
    <row r="287" spans="1:10">
      <c r="B287" s="35" t="s">
        <v>309</v>
      </c>
    </row>
    <row r="288" spans="1:10">
      <c r="B288" t="s">
        <v>310</v>
      </c>
      <c r="F288" s="8" t="s">
        <v>311</v>
      </c>
      <c r="H288" s="10">
        <v>3</v>
      </c>
      <c r="I288" s="12">
        <f>J278</f>
        <v>42.338400000000007</v>
      </c>
      <c r="J288" s="12">
        <f>H288%*I288</f>
        <v>1.2701520000000002</v>
      </c>
    </row>
    <row r="289" spans="1:18">
      <c r="A289" s="14"/>
      <c r="B289" s="14"/>
      <c r="C289" s="14"/>
      <c r="D289" s="14"/>
      <c r="E289" s="14"/>
      <c r="F289" s="14"/>
      <c r="G289" s="14"/>
      <c r="H289" s="14"/>
      <c r="I289" s="14"/>
      <c r="J289" s="36">
        <f>SUM(J288:J288)</f>
        <v>1.2701520000000002</v>
      </c>
    </row>
    <row r="290" spans="1:18">
      <c r="J290" s="34"/>
    </row>
    <row r="291" spans="1:18">
      <c r="A291" s="31" t="s">
        <v>277</v>
      </c>
      <c r="B291" s="31" t="str">
        <f>ARQUITECTURA!A22</f>
        <v>03.03.04</v>
      </c>
      <c r="C291" s="31" t="s">
        <v>791</v>
      </c>
      <c r="D291" s="31"/>
    </row>
    <row r="292" spans="1:18">
      <c r="A292" s="31" t="s">
        <v>278</v>
      </c>
      <c r="B292" s="31" t="s">
        <v>279</v>
      </c>
      <c r="C292" s="32" t="s">
        <v>280</v>
      </c>
      <c r="D292" s="33">
        <v>90</v>
      </c>
      <c r="E292" s="32" t="s">
        <v>281</v>
      </c>
      <c r="F292" s="33">
        <f>D292</f>
        <v>90</v>
      </c>
      <c r="G292" s="31" t="s">
        <v>282</v>
      </c>
      <c r="I292" s="32" t="s">
        <v>133</v>
      </c>
      <c r="J292" s="34">
        <f>J300+J309+J314</f>
        <v>47.432200000000002</v>
      </c>
      <c r="M292" s="31"/>
      <c r="P292" s="65"/>
      <c r="Q292" s="65"/>
      <c r="R292" s="65"/>
    </row>
    <row r="293" spans="1:18">
      <c r="A293" s="31" t="s">
        <v>283</v>
      </c>
      <c r="B293" s="31" t="s">
        <v>284</v>
      </c>
      <c r="F293" s="32" t="s">
        <v>122</v>
      </c>
      <c r="G293" s="32" t="s">
        <v>285</v>
      </c>
      <c r="H293" s="32">
        <v>5.5599999999999997E-2</v>
      </c>
      <c r="I293" s="32" t="s">
        <v>287</v>
      </c>
      <c r="J293" s="32" t="s">
        <v>288</v>
      </c>
      <c r="M293" s="31"/>
      <c r="P293" s="65"/>
      <c r="Q293" s="65"/>
      <c r="R293" s="65"/>
    </row>
    <row r="294" spans="1:18">
      <c r="B294" s="35" t="s">
        <v>289</v>
      </c>
      <c r="M294" s="31"/>
      <c r="P294" s="65"/>
      <c r="Q294" s="65"/>
      <c r="R294" s="65"/>
    </row>
    <row r="295" spans="1:18">
      <c r="B295" t="s">
        <v>650</v>
      </c>
      <c r="F295" s="8" t="s">
        <v>291</v>
      </c>
      <c r="G295" s="9">
        <v>0.1</v>
      </c>
      <c r="H295" s="10">
        <f>G295*8/$D$292</f>
        <v>8.8888888888888889E-3</v>
      </c>
      <c r="I295" s="12">
        <v>34.729999999999997</v>
      </c>
      <c r="J295" s="12">
        <f>H295*I295</f>
        <v>0.3087111111111111</v>
      </c>
      <c r="L295" s="31"/>
      <c r="M295" s="31"/>
      <c r="P295" s="111"/>
      <c r="Q295" s="111"/>
      <c r="R295" s="111"/>
    </row>
    <row r="296" spans="1:18">
      <c r="B296" t="s">
        <v>290</v>
      </c>
      <c r="F296" s="8" t="s">
        <v>291</v>
      </c>
      <c r="G296" s="9">
        <v>1</v>
      </c>
      <c r="H296" s="10">
        <f t="shared" ref="H296:H299" si="9">G296*8/$D$292</f>
        <v>8.8888888888888892E-2</v>
      </c>
      <c r="I296" s="12">
        <v>28.94</v>
      </c>
      <c r="J296" s="12">
        <f>H296*I296</f>
        <v>2.5724444444444448</v>
      </c>
      <c r="M296" s="31"/>
      <c r="N296" s="65"/>
      <c r="O296" s="65"/>
      <c r="P296" s="65"/>
      <c r="Q296" s="65"/>
      <c r="R296" s="65"/>
    </row>
    <row r="297" spans="1:18">
      <c r="B297" t="s">
        <v>679</v>
      </c>
      <c r="F297" s="8" t="s">
        <v>291</v>
      </c>
      <c r="G297" s="9">
        <v>2</v>
      </c>
      <c r="H297" s="10">
        <f t="shared" si="9"/>
        <v>0.17777777777777778</v>
      </c>
      <c r="I297" s="12">
        <v>22.66</v>
      </c>
      <c r="J297" s="12">
        <f>H297*I297</f>
        <v>4.0284444444444443</v>
      </c>
    </row>
    <row r="298" spans="1:18">
      <c r="B298" t="s">
        <v>293</v>
      </c>
      <c r="F298" s="8" t="s">
        <v>291</v>
      </c>
      <c r="G298" s="9">
        <v>2</v>
      </c>
      <c r="H298" s="10">
        <f t="shared" si="9"/>
        <v>0.17777777777777778</v>
      </c>
      <c r="I298" s="12">
        <v>20.51</v>
      </c>
      <c r="J298" s="12">
        <f>H298*I298</f>
        <v>3.6462222222222227</v>
      </c>
    </row>
    <row r="299" spans="1:18">
      <c r="B299" t="s">
        <v>652</v>
      </c>
      <c r="F299" s="8" t="s">
        <v>291</v>
      </c>
      <c r="G299" s="9">
        <v>1</v>
      </c>
      <c r="H299" s="10">
        <f t="shared" si="9"/>
        <v>8.8888888888888892E-2</v>
      </c>
      <c r="I299">
        <v>29.94</v>
      </c>
      <c r="J299" s="12">
        <f t="shared" ref="J299" si="10">H299*I299</f>
        <v>2.6613333333333333</v>
      </c>
    </row>
    <row r="300" spans="1:18">
      <c r="F300" s="8"/>
      <c r="G300" s="9"/>
      <c r="H300" s="10"/>
      <c r="I300" s="12"/>
      <c r="J300" s="34">
        <f>SUM(J295:J299)</f>
        <v>13.217155555555555</v>
      </c>
    </row>
    <row r="301" spans="1:18">
      <c r="B301" s="35" t="s">
        <v>653</v>
      </c>
      <c r="F301" s="8"/>
      <c r="G301" s="9"/>
      <c r="H301" s="10"/>
      <c r="J301" s="12"/>
    </row>
    <row r="302" spans="1:18">
      <c r="B302" t="s">
        <v>932</v>
      </c>
      <c r="F302" s="8" t="s">
        <v>296</v>
      </c>
      <c r="G302" s="9"/>
      <c r="H302" s="10">
        <v>6.0000000000000001E-3</v>
      </c>
      <c r="I302" s="12">
        <v>3.51</v>
      </c>
      <c r="J302" s="12">
        <f>H302*I302</f>
        <v>2.1059999999999999E-2</v>
      </c>
    </row>
    <row r="303" spans="1:18">
      <c r="B303" t="s">
        <v>672</v>
      </c>
      <c r="F303" s="8" t="s">
        <v>203</v>
      </c>
      <c r="H303" s="10">
        <v>4.9000000000000002E-2</v>
      </c>
      <c r="I303" s="12">
        <v>55.08</v>
      </c>
      <c r="J303" s="12">
        <f>H303*I303</f>
        <v>2.6989200000000002</v>
      </c>
    </row>
    <row r="304" spans="1:18">
      <c r="B304" t="s">
        <v>896</v>
      </c>
      <c r="F304" s="8" t="s">
        <v>203</v>
      </c>
      <c r="G304" s="9"/>
      <c r="H304" s="10">
        <v>1.3999999999999999E-2</v>
      </c>
      <c r="I304" s="12">
        <v>65</v>
      </c>
      <c r="J304" s="12">
        <f>H304*I304</f>
        <v>0.90999999999999992</v>
      </c>
    </row>
    <row r="305" spans="1:10">
      <c r="B305" t="s">
        <v>673</v>
      </c>
      <c r="F305" s="8" t="s">
        <v>203</v>
      </c>
      <c r="H305" s="10">
        <v>4.8000000000000001E-2</v>
      </c>
      <c r="I305" s="12">
        <v>47</v>
      </c>
      <c r="J305" s="12">
        <f t="shared" ref="J305:J308" si="11">H305*I305</f>
        <v>2.2560000000000002</v>
      </c>
    </row>
    <row r="306" spans="1:10">
      <c r="B306" t="s">
        <v>920</v>
      </c>
      <c r="F306" s="8" t="s">
        <v>203</v>
      </c>
      <c r="H306" s="10">
        <v>2.0999999999999999E-3</v>
      </c>
      <c r="I306" s="12">
        <v>112</v>
      </c>
      <c r="J306" s="12">
        <f>H306*I306</f>
        <v>0.23519999999999999</v>
      </c>
    </row>
    <row r="307" spans="1:10">
      <c r="B307" t="s">
        <v>306</v>
      </c>
      <c r="F307" s="8" t="s">
        <v>307</v>
      </c>
      <c r="H307" s="10">
        <v>0.995</v>
      </c>
      <c r="I307" s="12">
        <v>24.52</v>
      </c>
      <c r="J307" s="12">
        <f>H307*I307</f>
        <v>24.397400000000001</v>
      </c>
    </row>
    <row r="308" spans="1:10">
      <c r="B308" t="s">
        <v>655</v>
      </c>
      <c r="F308" s="8" t="s">
        <v>203</v>
      </c>
      <c r="H308" s="10">
        <v>2.1000000000000001E-2</v>
      </c>
      <c r="I308">
        <v>6.14</v>
      </c>
      <c r="J308" s="12">
        <f t="shared" si="11"/>
        <v>0.12894</v>
      </c>
    </row>
    <row r="309" spans="1:10">
      <c r="F309" s="8"/>
      <c r="H309" s="10"/>
      <c r="I309" s="12"/>
      <c r="J309" s="34">
        <f>SUM(J302:J308)</f>
        <v>30.64752</v>
      </c>
    </row>
    <row r="310" spans="1:10">
      <c r="B310" s="35" t="s">
        <v>309</v>
      </c>
    </row>
    <row r="311" spans="1:10">
      <c r="B311" t="s">
        <v>310</v>
      </c>
      <c r="F311" s="8" t="s">
        <v>311</v>
      </c>
      <c r="H311" s="10">
        <v>5</v>
      </c>
      <c r="I311" s="12">
        <f>J300</f>
        <v>13.217155555555555</v>
      </c>
      <c r="J311" s="12">
        <f>H311%*I311</f>
        <v>0.66085777777777777</v>
      </c>
    </row>
    <row r="312" spans="1:10">
      <c r="B312" t="s">
        <v>675</v>
      </c>
      <c r="F312" s="8" t="s">
        <v>337</v>
      </c>
      <c r="G312" s="9">
        <v>1</v>
      </c>
      <c r="H312" s="10">
        <f t="shared" ref="H312:H313" si="12">G312*8/$D$292</f>
        <v>8.8888888888888892E-2</v>
      </c>
      <c r="I312" s="12">
        <v>7.07</v>
      </c>
      <c r="J312" s="12">
        <f>H312*I312</f>
        <v>0.62844444444444447</v>
      </c>
    </row>
    <row r="313" spans="1:10">
      <c r="B313" t="s">
        <v>933</v>
      </c>
      <c r="F313" s="8" t="s">
        <v>337</v>
      </c>
      <c r="G313" s="9">
        <v>1</v>
      </c>
      <c r="H313" s="10">
        <f t="shared" si="12"/>
        <v>8.8888888888888892E-2</v>
      </c>
      <c r="I313" s="12">
        <v>25.63</v>
      </c>
      <c r="J313" s="12">
        <f>H313*I313</f>
        <v>2.2782222222222224</v>
      </c>
    </row>
    <row r="314" spans="1:10">
      <c r="A314" s="14"/>
      <c r="B314" s="14"/>
      <c r="C314" s="14"/>
      <c r="D314" s="14"/>
      <c r="E314" s="14"/>
      <c r="F314" s="14"/>
      <c r="G314" s="14"/>
      <c r="H314" s="14"/>
      <c r="I314" s="14"/>
      <c r="J314" s="36">
        <f>SUM(J311:J313)</f>
        <v>3.5675244444444445</v>
      </c>
    </row>
    <row r="315" spans="1:10">
      <c r="J315" s="34"/>
    </row>
    <row r="316" spans="1:10">
      <c r="J316" s="34"/>
    </row>
    <row r="317" spans="1:10">
      <c r="A317" s="31" t="s">
        <v>277</v>
      </c>
      <c r="B317" s="31" t="str">
        <f>ARQUITECTURA!A23</f>
        <v>03.03.05</v>
      </c>
      <c r="C317" s="31" t="s">
        <v>938</v>
      </c>
      <c r="D317" s="31"/>
    </row>
    <row r="318" spans="1:10">
      <c r="A318" s="31" t="s">
        <v>278</v>
      </c>
      <c r="B318" s="31" t="s">
        <v>279</v>
      </c>
      <c r="C318" s="32" t="s">
        <v>280</v>
      </c>
      <c r="D318" s="33">
        <v>40</v>
      </c>
      <c r="E318" s="32" t="s">
        <v>281</v>
      </c>
      <c r="F318" s="33">
        <f>D318</f>
        <v>40</v>
      </c>
      <c r="G318" s="31" t="s">
        <v>282</v>
      </c>
      <c r="I318" s="32" t="s">
        <v>133</v>
      </c>
      <c r="J318" s="34">
        <f>J325+J332+J337</f>
        <v>51.986298000000005</v>
      </c>
    </row>
    <row r="319" spans="1:10">
      <c r="A319" s="31" t="s">
        <v>283</v>
      </c>
      <c r="B319" s="31" t="s">
        <v>284</v>
      </c>
      <c r="F319" s="32" t="s">
        <v>122</v>
      </c>
      <c r="G319" s="32" t="s">
        <v>285</v>
      </c>
      <c r="H319" s="32">
        <v>5.5599999999999997E-2</v>
      </c>
      <c r="I319" s="32" t="s">
        <v>287</v>
      </c>
      <c r="J319" s="32" t="s">
        <v>288</v>
      </c>
    </row>
    <row r="320" spans="1:10">
      <c r="B320" s="35" t="s">
        <v>289</v>
      </c>
    </row>
    <row r="321" spans="2:10">
      <c r="B321" t="s">
        <v>650</v>
      </c>
      <c r="F321" s="8" t="s">
        <v>291</v>
      </c>
      <c r="G321" s="9">
        <v>0.1</v>
      </c>
      <c r="H321" s="10">
        <f>G321*8/$D$318</f>
        <v>0.02</v>
      </c>
      <c r="I321" s="12">
        <v>34.729999999999997</v>
      </c>
      <c r="J321" s="12">
        <f>H321*I321</f>
        <v>0.6946</v>
      </c>
    </row>
    <row r="322" spans="2:10">
      <c r="B322" t="s">
        <v>290</v>
      </c>
      <c r="F322" s="8" t="s">
        <v>291</v>
      </c>
      <c r="G322" s="9">
        <v>1</v>
      </c>
      <c r="H322" s="10">
        <f>G322*8/$D$318</f>
        <v>0.2</v>
      </c>
      <c r="I322" s="12">
        <v>28.94</v>
      </c>
      <c r="J322" s="12">
        <f>H322*I322</f>
        <v>5.7880000000000003</v>
      </c>
    </row>
    <row r="323" spans="2:10">
      <c r="B323" t="s">
        <v>679</v>
      </c>
      <c r="F323" s="8" t="s">
        <v>291</v>
      </c>
      <c r="G323" s="9">
        <v>2</v>
      </c>
      <c r="H323" s="10">
        <f>G323*8/$D$318</f>
        <v>0.4</v>
      </c>
      <c r="I323" s="12">
        <v>22.66</v>
      </c>
      <c r="J323" s="12">
        <f>H323*I323</f>
        <v>9.0640000000000001</v>
      </c>
    </row>
    <row r="324" spans="2:10">
      <c r="B324" t="s">
        <v>293</v>
      </c>
      <c r="F324" s="8" t="s">
        <v>291</v>
      </c>
      <c r="G324" s="9">
        <v>2</v>
      </c>
      <c r="H324" s="10">
        <f>G324*8/$D$318</f>
        <v>0.4</v>
      </c>
      <c r="I324" s="12">
        <v>20.51</v>
      </c>
      <c r="J324" s="12">
        <f>H324*I324</f>
        <v>8.2040000000000006</v>
      </c>
    </row>
    <row r="325" spans="2:10">
      <c r="F325" s="8"/>
      <c r="G325" s="9"/>
      <c r="H325" s="10"/>
      <c r="I325" s="12"/>
      <c r="J325" s="34">
        <f>SUM(J321:J324)</f>
        <v>23.750600000000002</v>
      </c>
    </row>
    <row r="326" spans="2:10">
      <c r="B326" s="35" t="s">
        <v>653</v>
      </c>
      <c r="F326" s="8"/>
      <c r="G326" s="9"/>
      <c r="H326" s="10"/>
      <c r="J326" s="12"/>
    </row>
    <row r="327" spans="2:10">
      <c r="B327" t="s">
        <v>896</v>
      </c>
      <c r="F327" s="8" t="s">
        <v>203</v>
      </c>
      <c r="G327" s="9"/>
      <c r="H327" s="10">
        <v>9.0000000000000011E-3</v>
      </c>
      <c r="I327" s="12">
        <v>65</v>
      </c>
      <c r="J327" s="12">
        <f>H327*I327</f>
        <v>0.58500000000000008</v>
      </c>
    </row>
    <row r="328" spans="2:10">
      <c r="B328" t="s">
        <v>673</v>
      </c>
      <c r="F328" s="8" t="s">
        <v>203</v>
      </c>
      <c r="H328" s="10">
        <v>5.8000000000000003E-2</v>
      </c>
      <c r="I328" s="12">
        <v>47</v>
      </c>
      <c r="J328" s="12">
        <f t="shared" ref="J328:J331" si="13">H328*I328</f>
        <v>2.726</v>
      </c>
    </row>
    <row r="329" spans="2:10">
      <c r="B329" t="s">
        <v>306</v>
      </c>
      <c r="F329" s="8" t="s">
        <v>307</v>
      </c>
      <c r="H329">
        <v>0.48199999999999998</v>
      </c>
      <c r="I329" s="12">
        <v>24.52</v>
      </c>
      <c r="J329" s="12">
        <f t="shared" si="13"/>
        <v>11.81864</v>
      </c>
    </row>
    <row r="330" spans="2:10">
      <c r="B330" t="s">
        <v>920</v>
      </c>
      <c r="F330" s="8" t="s">
        <v>203</v>
      </c>
      <c r="H330">
        <v>0.05</v>
      </c>
      <c r="I330" s="12">
        <v>112</v>
      </c>
      <c r="J330" s="12">
        <f t="shared" si="13"/>
        <v>5.6000000000000005</v>
      </c>
    </row>
    <row r="331" spans="2:10">
      <c r="B331" t="s">
        <v>655</v>
      </c>
      <c r="F331" s="8" t="s">
        <v>203</v>
      </c>
      <c r="H331" s="10">
        <v>1.1000000000000001E-2</v>
      </c>
      <c r="I331">
        <v>6.14</v>
      </c>
      <c r="J331" s="12">
        <f t="shared" si="13"/>
        <v>6.7540000000000003E-2</v>
      </c>
    </row>
    <row r="332" spans="2:10">
      <c r="F332" s="8"/>
      <c r="H332" s="10"/>
      <c r="I332" s="12"/>
      <c r="J332" s="34">
        <f>SUM(J327:J331)</f>
        <v>20.797180000000001</v>
      </c>
    </row>
    <row r="333" spans="2:10">
      <c r="B333" s="35" t="s">
        <v>309</v>
      </c>
    </row>
    <row r="334" spans="2:10">
      <c r="B334" t="s">
        <v>310</v>
      </c>
      <c r="F334" s="8" t="s">
        <v>311</v>
      </c>
      <c r="H334" s="10">
        <v>3</v>
      </c>
      <c r="I334" s="12">
        <f>J325</f>
        <v>23.750600000000002</v>
      </c>
      <c r="J334" s="12">
        <f>H334%*I334</f>
        <v>0.71251799999999998</v>
      </c>
    </row>
    <row r="335" spans="2:10">
      <c r="B335" t="s">
        <v>939</v>
      </c>
      <c r="F335" s="8" t="s">
        <v>337</v>
      </c>
      <c r="G335" s="9">
        <v>1</v>
      </c>
      <c r="H335" s="10">
        <f>G335*8/$D$318</f>
        <v>0.2</v>
      </c>
      <c r="I335" s="12">
        <v>8</v>
      </c>
      <c r="J335" s="12">
        <f>H335*I335</f>
        <v>1.6</v>
      </c>
    </row>
    <row r="336" spans="2:10">
      <c r="B336" t="s">
        <v>933</v>
      </c>
      <c r="F336" s="8" t="s">
        <v>337</v>
      </c>
      <c r="G336" s="9">
        <v>1</v>
      </c>
      <c r="H336" s="10">
        <f>G336*8/$D$318</f>
        <v>0.2</v>
      </c>
      <c r="I336" s="12">
        <v>25.63</v>
      </c>
      <c r="J336" s="12">
        <f>H336*I336</f>
        <v>5.1260000000000003</v>
      </c>
    </row>
    <row r="337" spans="1:10">
      <c r="A337" s="14"/>
      <c r="B337" s="14"/>
      <c r="C337" s="14"/>
      <c r="D337" s="14"/>
      <c r="E337" s="14"/>
      <c r="F337" s="14"/>
      <c r="G337" s="14"/>
      <c r="H337" s="14"/>
      <c r="I337" s="14"/>
      <c r="J337" s="36">
        <f>SUM(J334:J336)</f>
        <v>7.4385180000000002</v>
      </c>
    </row>
    <row r="338" spans="1:10">
      <c r="J338" s="34"/>
    </row>
    <row r="339" spans="1:10">
      <c r="A339" s="31" t="s">
        <v>277</v>
      </c>
      <c r="B339" s="31" t="str">
        <f>ARQUITECTURA!A24</f>
        <v>03.03.06</v>
      </c>
      <c r="C339" s="31" t="s">
        <v>940</v>
      </c>
      <c r="D339" s="31"/>
    </row>
    <row r="340" spans="1:10">
      <c r="A340" s="31" t="s">
        <v>278</v>
      </c>
      <c r="B340" s="31" t="s">
        <v>279</v>
      </c>
      <c r="C340" s="32" t="s">
        <v>280</v>
      </c>
      <c r="D340" s="33">
        <v>1</v>
      </c>
      <c r="E340" s="32" t="s">
        <v>281</v>
      </c>
      <c r="F340" s="33">
        <f>D340</f>
        <v>1</v>
      </c>
      <c r="G340" s="31" t="s">
        <v>282</v>
      </c>
      <c r="I340" s="32" t="s">
        <v>133</v>
      </c>
      <c r="J340" s="34">
        <f>J344</f>
        <v>201.23</v>
      </c>
    </row>
    <row r="341" spans="1:10">
      <c r="A341" s="31" t="s">
        <v>283</v>
      </c>
      <c r="B341" s="31" t="s">
        <v>284</v>
      </c>
      <c r="F341" s="32" t="s">
        <v>122</v>
      </c>
      <c r="G341" s="32" t="s">
        <v>285</v>
      </c>
      <c r="H341" s="32">
        <v>5.5599999999999997E-2</v>
      </c>
      <c r="I341" s="32" t="s">
        <v>287</v>
      </c>
      <c r="J341" s="32" t="s">
        <v>288</v>
      </c>
    </row>
    <row r="342" spans="1:10">
      <c r="B342" s="35" t="s">
        <v>653</v>
      </c>
    </row>
    <row r="343" spans="1:10">
      <c r="B343" t="s">
        <v>941</v>
      </c>
      <c r="F343" s="8" t="s">
        <v>133</v>
      </c>
      <c r="G343" s="9"/>
      <c r="H343" s="10">
        <v>1</v>
      </c>
      <c r="I343" s="12">
        <v>201.23</v>
      </c>
      <c r="J343" s="12">
        <f>H343*I343</f>
        <v>201.23</v>
      </c>
    </row>
    <row r="344" spans="1:10">
      <c r="A344" s="14"/>
      <c r="B344" s="14"/>
      <c r="C344" s="14"/>
      <c r="D344" s="14"/>
      <c r="E344" s="14"/>
      <c r="F344" s="14"/>
      <c r="G344" s="14"/>
      <c r="H344" s="14"/>
      <c r="I344" s="14"/>
      <c r="J344" s="36">
        <f>SUM(J343)</f>
        <v>201.23</v>
      </c>
    </row>
    <row r="345" spans="1:10">
      <c r="J345" s="34"/>
    </row>
    <row r="346" spans="1:10">
      <c r="A346" s="31" t="s">
        <v>277</v>
      </c>
      <c r="B346" s="31" t="str">
        <f>ARQUITECTURA!A26</f>
        <v>03.04.01</v>
      </c>
      <c r="C346" s="31" t="s">
        <v>798</v>
      </c>
      <c r="D346" s="31"/>
    </row>
    <row r="347" spans="1:10">
      <c r="A347" s="31" t="s">
        <v>278</v>
      </c>
      <c r="B347" s="31" t="s">
        <v>313</v>
      </c>
      <c r="C347" s="32" t="s">
        <v>280</v>
      </c>
      <c r="D347" s="33">
        <v>20</v>
      </c>
      <c r="E347" s="32" t="s">
        <v>281</v>
      </c>
      <c r="F347" s="33">
        <f>D347</f>
        <v>20</v>
      </c>
      <c r="G347" s="31" t="s">
        <v>282</v>
      </c>
      <c r="I347" s="32" t="s">
        <v>144</v>
      </c>
      <c r="J347" s="34">
        <f>J353+J358+J361</f>
        <v>20.569980000000001</v>
      </c>
    </row>
    <row r="348" spans="1:10">
      <c r="A348" s="31" t="s">
        <v>283</v>
      </c>
      <c r="B348" s="31" t="s">
        <v>284</v>
      </c>
      <c r="F348" s="32" t="s">
        <v>122</v>
      </c>
      <c r="G348" s="32" t="s">
        <v>285</v>
      </c>
      <c r="H348" s="32">
        <v>5.5599999999999997E-2</v>
      </c>
      <c r="I348" s="32" t="s">
        <v>287</v>
      </c>
      <c r="J348" s="32" t="s">
        <v>288</v>
      </c>
    </row>
    <row r="349" spans="1:10">
      <c r="B349" s="35" t="s">
        <v>289</v>
      </c>
    </row>
    <row r="350" spans="1:10">
      <c r="B350" t="s">
        <v>650</v>
      </c>
      <c r="F350" s="8" t="s">
        <v>291</v>
      </c>
      <c r="G350" s="9">
        <v>0.1</v>
      </c>
      <c r="H350" s="10">
        <f>G350*8/$D$347</f>
        <v>0.04</v>
      </c>
      <c r="I350" s="12">
        <v>34.729999999999997</v>
      </c>
      <c r="J350" s="12">
        <f>H350*I350</f>
        <v>1.3892</v>
      </c>
    </row>
    <row r="351" spans="1:10">
      <c r="B351" t="s">
        <v>290</v>
      </c>
      <c r="F351" s="8" t="s">
        <v>291</v>
      </c>
      <c r="G351" s="9">
        <v>1</v>
      </c>
      <c r="H351" s="10">
        <f>G351*8/$D$347</f>
        <v>0.4</v>
      </c>
      <c r="I351" s="12">
        <v>28.94</v>
      </c>
      <c r="J351" s="12">
        <f>H351*I351</f>
        <v>11.576000000000001</v>
      </c>
    </row>
    <row r="352" spans="1:10">
      <c r="B352" t="s">
        <v>293</v>
      </c>
      <c r="F352" s="8" t="s">
        <v>291</v>
      </c>
      <c r="G352" s="9">
        <v>0.3</v>
      </c>
      <c r="H352" s="10">
        <f>G352*8/$D$347</f>
        <v>0.12</v>
      </c>
      <c r="I352" s="12">
        <v>20.51</v>
      </c>
      <c r="J352" s="12">
        <f>H352*I352</f>
        <v>2.4612000000000003</v>
      </c>
    </row>
    <row r="353" spans="1:10">
      <c r="F353" s="8"/>
      <c r="G353" s="9"/>
      <c r="H353" s="10"/>
      <c r="I353" s="12"/>
      <c r="J353" s="34">
        <f>SUM(J350:J352)</f>
        <v>15.426400000000001</v>
      </c>
    </row>
    <row r="354" spans="1:10">
      <c r="B354" s="35" t="s">
        <v>653</v>
      </c>
      <c r="F354" s="8"/>
      <c r="G354" s="9"/>
      <c r="H354" s="10"/>
      <c r="J354" s="12"/>
    </row>
    <row r="355" spans="1:10">
      <c r="B355" t="s">
        <v>942</v>
      </c>
      <c r="F355" s="8" t="s">
        <v>431</v>
      </c>
      <c r="H355" s="10">
        <v>0.35</v>
      </c>
      <c r="I355" s="12">
        <v>12.5</v>
      </c>
      <c r="J355" s="12">
        <f>H355*I355</f>
        <v>4.375</v>
      </c>
    </row>
    <row r="356" spans="1:10">
      <c r="B356" t="s">
        <v>920</v>
      </c>
      <c r="F356" s="8" t="s">
        <v>149</v>
      </c>
      <c r="H356" s="10">
        <v>2.5000000000000001E-3</v>
      </c>
      <c r="I356" s="12">
        <v>112</v>
      </c>
      <c r="J356" s="12">
        <f>H356*I356</f>
        <v>0.28000000000000003</v>
      </c>
    </row>
    <row r="357" spans="1:10">
      <c r="B357" t="s">
        <v>664</v>
      </c>
      <c r="F357" s="8" t="s">
        <v>203</v>
      </c>
      <c r="H357" s="10">
        <v>4.1999999999999997E-3</v>
      </c>
      <c r="I357" s="12">
        <v>6.14</v>
      </c>
      <c r="J357" s="12">
        <f>H357*I357</f>
        <v>2.5787999999999998E-2</v>
      </c>
    </row>
    <row r="358" spans="1:10">
      <c r="F358" s="8"/>
      <c r="H358" s="10"/>
      <c r="I358" s="12"/>
      <c r="J358" s="34">
        <f>SUM(J355:J357)</f>
        <v>4.6807880000000006</v>
      </c>
    </row>
    <row r="359" spans="1:10">
      <c r="B359" s="35" t="s">
        <v>309</v>
      </c>
    </row>
    <row r="360" spans="1:10">
      <c r="B360" t="s">
        <v>310</v>
      </c>
      <c r="F360" s="8" t="s">
        <v>311</v>
      </c>
      <c r="H360" s="10">
        <v>3</v>
      </c>
      <c r="I360" s="12">
        <f>J353</f>
        <v>15.426400000000001</v>
      </c>
      <c r="J360" s="12">
        <f>H360%*I360</f>
        <v>0.46279200000000004</v>
      </c>
    </row>
    <row r="361" spans="1:10">
      <c r="A361" s="14"/>
      <c r="B361" s="14"/>
      <c r="C361" s="14"/>
      <c r="D361" s="14"/>
      <c r="E361" s="14"/>
      <c r="F361" s="14"/>
      <c r="G361" s="14"/>
      <c r="H361" s="14"/>
      <c r="I361" s="14"/>
      <c r="J361" s="36">
        <f>SUM(J360:J360)</f>
        <v>0.46279200000000004</v>
      </c>
    </row>
    <row r="363" spans="1:10">
      <c r="A363" s="31" t="s">
        <v>277</v>
      </c>
      <c r="B363" s="31" t="str">
        <f>ARQUITECTURA!A27</f>
        <v>03.04.02</v>
      </c>
      <c r="C363" s="31" t="s">
        <v>800</v>
      </c>
      <c r="D363" s="31"/>
    </row>
    <row r="364" spans="1:10">
      <c r="A364" s="31" t="s">
        <v>278</v>
      </c>
      <c r="B364" s="31" t="s">
        <v>313</v>
      </c>
      <c r="C364" s="32" t="s">
        <v>280</v>
      </c>
      <c r="D364" s="33">
        <v>20</v>
      </c>
      <c r="E364" s="32" t="s">
        <v>281</v>
      </c>
      <c r="F364" s="33">
        <f>D364</f>
        <v>20</v>
      </c>
      <c r="G364" s="31" t="s">
        <v>282</v>
      </c>
      <c r="I364" s="32" t="s">
        <v>144</v>
      </c>
      <c r="J364" s="34">
        <f>J370+J377+J380</f>
        <v>26.687480000000001</v>
      </c>
    </row>
    <row r="365" spans="1:10">
      <c r="A365" s="31" t="s">
        <v>283</v>
      </c>
      <c r="B365" s="31" t="s">
        <v>284</v>
      </c>
      <c r="F365" s="32" t="s">
        <v>122</v>
      </c>
      <c r="G365" s="32" t="s">
        <v>285</v>
      </c>
      <c r="H365" s="32">
        <v>5.5599999999999997E-2</v>
      </c>
      <c r="I365" s="32" t="s">
        <v>287</v>
      </c>
      <c r="J365" s="32" t="s">
        <v>288</v>
      </c>
    </row>
    <row r="366" spans="1:10">
      <c r="B366" s="35" t="s">
        <v>289</v>
      </c>
    </row>
    <row r="367" spans="1:10">
      <c r="B367" t="s">
        <v>650</v>
      </c>
      <c r="F367" s="8" t="s">
        <v>291</v>
      </c>
      <c r="G367" s="9">
        <v>0.1</v>
      </c>
      <c r="H367" s="10">
        <f>G367*8/$D$364</f>
        <v>0.04</v>
      </c>
      <c r="I367" s="12">
        <v>34.729999999999997</v>
      </c>
      <c r="J367" s="12">
        <f>H367*I367</f>
        <v>1.3892</v>
      </c>
    </row>
    <row r="368" spans="1:10">
      <c r="B368" t="s">
        <v>290</v>
      </c>
      <c r="F368" s="8" t="s">
        <v>291</v>
      </c>
      <c r="G368" s="9">
        <v>1</v>
      </c>
      <c r="H368" s="10">
        <f>G368*8/$D$364</f>
        <v>0.4</v>
      </c>
      <c r="I368" s="12">
        <v>28.94</v>
      </c>
      <c r="J368" s="12">
        <f>H368*I368</f>
        <v>11.576000000000001</v>
      </c>
    </row>
    <row r="369" spans="1:10">
      <c r="B369" t="s">
        <v>293</v>
      </c>
      <c r="F369" s="8" t="s">
        <v>291</v>
      </c>
      <c r="G369" s="9">
        <v>0.3</v>
      </c>
      <c r="H369" s="10">
        <f>G369*8/$D$364</f>
        <v>0.12</v>
      </c>
      <c r="I369" s="12">
        <v>20.51</v>
      </c>
      <c r="J369" s="12">
        <f>H369*I369</f>
        <v>2.4612000000000003</v>
      </c>
    </row>
    <row r="370" spans="1:10">
      <c r="F370" s="8"/>
      <c r="G370" s="9"/>
      <c r="H370" s="10"/>
      <c r="I370" s="12"/>
      <c r="J370" s="34">
        <f>SUM(J367:J369)</f>
        <v>15.426400000000001</v>
      </c>
    </row>
    <row r="371" spans="1:10">
      <c r="B371" s="35" t="s">
        <v>653</v>
      </c>
      <c r="F371" s="8"/>
      <c r="G371" s="9"/>
      <c r="H371" s="10"/>
      <c r="J371" s="12"/>
    </row>
    <row r="372" spans="1:10">
      <c r="B372" t="s">
        <v>942</v>
      </c>
      <c r="F372" s="8" t="s">
        <v>431</v>
      </c>
      <c r="H372" s="10">
        <v>0.3508</v>
      </c>
      <c r="I372" s="12">
        <v>12.5</v>
      </c>
      <c r="J372" s="12">
        <f>H372*I372</f>
        <v>4.3849999999999998</v>
      </c>
    </row>
    <row r="373" spans="1:10">
      <c r="B373" t="s">
        <v>943</v>
      </c>
      <c r="F373" s="8" t="s">
        <v>944</v>
      </c>
      <c r="H373" s="10">
        <v>1.2699999999999999E-2</v>
      </c>
      <c r="I373" s="12">
        <v>125</v>
      </c>
      <c r="J373" s="12">
        <f>H373*I373</f>
        <v>1.5874999999999999</v>
      </c>
    </row>
    <row r="374" spans="1:10">
      <c r="B374" t="s">
        <v>945</v>
      </c>
      <c r="F374" s="8" t="s">
        <v>296</v>
      </c>
      <c r="H374" s="10">
        <v>0.8</v>
      </c>
      <c r="I374" s="12">
        <v>2.5</v>
      </c>
      <c r="J374" s="12">
        <f>H374*I374</f>
        <v>2</v>
      </c>
    </row>
    <row r="375" spans="1:10">
      <c r="B375" t="s">
        <v>920</v>
      </c>
      <c r="F375" s="8" t="s">
        <v>149</v>
      </c>
      <c r="H375">
        <v>2.5000000000000001E-2</v>
      </c>
      <c r="I375" s="12">
        <v>112</v>
      </c>
      <c r="J375" s="12">
        <f>H375*I375</f>
        <v>2.8000000000000003</v>
      </c>
    </row>
    <row r="376" spans="1:10">
      <c r="B376" t="s">
        <v>664</v>
      </c>
      <c r="F376" s="8" t="s">
        <v>203</v>
      </c>
      <c r="H376">
        <v>4.1999999999999997E-3</v>
      </c>
      <c r="I376">
        <v>6.14</v>
      </c>
      <c r="J376" s="12">
        <f>H376*I376</f>
        <v>2.5787999999999998E-2</v>
      </c>
    </row>
    <row r="377" spans="1:10">
      <c r="F377" s="8"/>
      <c r="H377" s="10"/>
      <c r="I377" s="12"/>
      <c r="J377" s="34">
        <f>SUM(J372:J376)</f>
        <v>10.798288000000001</v>
      </c>
    </row>
    <row r="378" spans="1:10">
      <c r="B378" s="35" t="s">
        <v>309</v>
      </c>
    </row>
    <row r="379" spans="1:10">
      <c r="B379" t="s">
        <v>310</v>
      </c>
      <c r="F379" s="8" t="s">
        <v>311</v>
      </c>
      <c r="H379" s="10">
        <v>3</v>
      </c>
      <c r="I379" s="12">
        <f>J370</f>
        <v>15.426400000000001</v>
      </c>
      <c r="J379" s="12">
        <f>H379%*I379</f>
        <v>0.46279200000000004</v>
      </c>
    </row>
    <row r="380" spans="1:10">
      <c r="A380" s="14"/>
      <c r="B380" s="14"/>
      <c r="C380" s="14"/>
      <c r="D380" s="14"/>
      <c r="E380" s="14"/>
      <c r="F380" s="14"/>
      <c r="G380" s="14"/>
      <c r="H380" s="14"/>
      <c r="I380" s="14"/>
      <c r="J380" s="36">
        <f>SUM(J379:J379)</f>
        <v>0.46279200000000004</v>
      </c>
    </row>
    <row r="382" spans="1:10">
      <c r="A382" s="31" t="s">
        <v>277</v>
      </c>
      <c r="B382" s="31" t="str">
        <f>ARQUITECTURA!A28</f>
        <v>03.04.03</v>
      </c>
      <c r="C382" s="31" t="s">
        <v>802</v>
      </c>
      <c r="D382" s="31"/>
    </row>
    <row r="383" spans="1:10">
      <c r="A383" s="31" t="s">
        <v>278</v>
      </c>
      <c r="B383" s="31" t="s">
        <v>313</v>
      </c>
      <c r="C383" s="32" t="s">
        <v>280</v>
      </c>
      <c r="D383" s="33">
        <v>20</v>
      </c>
      <c r="E383" s="32" t="s">
        <v>281</v>
      </c>
      <c r="F383" s="33">
        <f>D383</f>
        <v>20</v>
      </c>
      <c r="G383" s="31" t="s">
        <v>282</v>
      </c>
      <c r="I383" s="32" t="s">
        <v>144</v>
      </c>
      <c r="J383" s="34">
        <f>J389+J397+J400</f>
        <v>36.537022000000007</v>
      </c>
    </row>
    <row r="384" spans="1:10">
      <c r="A384" s="31" t="s">
        <v>283</v>
      </c>
      <c r="B384" s="31" t="s">
        <v>284</v>
      </c>
      <c r="F384" s="32" t="s">
        <v>122</v>
      </c>
      <c r="G384" s="32" t="s">
        <v>285</v>
      </c>
      <c r="H384" s="32">
        <v>5.5599999999999997E-2</v>
      </c>
      <c r="I384" s="32" t="s">
        <v>287</v>
      </c>
      <c r="J384" s="32" t="s">
        <v>288</v>
      </c>
    </row>
    <row r="385" spans="1:10">
      <c r="B385" s="35" t="s">
        <v>289</v>
      </c>
    </row>
    <row r="386" spans="1:10">
      <c r="B386" t="s">
        <v>650</v>
      </c>
      <c r="F386" s="8" t="s">
        <v>291</v>
      </c>
      <c r="G386" s="9">
        <v>0.1</v>
      </c>
      <c r="H386" s="10">
        <f>G386*8/$D$383</f>
        <v>0.04</v>
      </c>
      <c r="I386" s="12">
        <v>34.729999999999997</v>
      </c>
      <c r="J386" s="12">
        <f>H386*I386</f>
        <v>1.3892</v>
      </c>
    </row>
    <row r="387" spans="1:10">
      <c r="B387" t="s">
        <v>290</v>
      </c>
      <c r="F387" s="8" t="s">
        <v>291</v>
      </c>
      <c r="G387" s="9">
        <v>1</v>
      </c>
      <c r="H387" s="10">
        <f>G387*8/$D$383</f>
        <v>0.4</v>
      </c>
      <c r="I387" s="12">
        <v>28.94</v>
      </c>
      <c r="J387" s="12">
        <f>H387*I387</f>
        <v>11.576000000000001</v>
      </c>
    </row>
    <row r="388" spans="1:10">
      <c r="B388" t="s">
        <v>293</v>
      </c>
      <c r="F388" s="8" t="s">
        <v>291</v>
      </c>
      <c r="G388" s="9">
        <v>2</v>
      </c>
      <c r="H388" s="10">
        <f>G388*8/$D$383</f>
        <v>0.8</v>
      </c>
      <c r="I388" s="12">
        <v>20.51</v>
      </c>
      <c r="J388" s="12">
        <f>H388*I388</f>
        <v>16.408000000000001</v>
      </c>
    </row>
    <row r="389" spans="1:10">
      <c r="F389" s="8"/>
      <c r="G389" s="9"/>
      <c r="H389" s="10"/>
      <c r="I389" s="12"/>
      <c r="J389" s="34">
        <f>SUM(J386:J388)</f>
        <v>29.373200000000004</v>
      </c>
    </row>
    <row r="390" spans="1:10">
      <c r="B390" s="35" t="s">
        <v>653</v>
      </c>
      <c r="F390" s="8"/>
      <c r="G390" s="9"/>
      <c r="H390" s="10"/>
      <c r="J390" s="12"/>
    </row>
    <row r="391" spans="1:10">
      <c r="B391" t="s">
        <v>916</v>
      </c>
      <c r="F391" s="8" t="s">
        <v>296</v>
      </c>
      <c r="H391" s="10">
        <v>6.3E-2</v>
      </c>
      <c r="I391" s="12">
        <v>7.4</v>
      </c>
      <c r="J391" s="12">
        <f>H391*I391</f>
        <v>0.4662</v>
      </c>
    </row>
    <row r="392" spans="1:10">
      <c r="B392" t="s">
        <v>934</v>
      </c>
      <c r="F392" s="8" t="s">
        <v>935</v>
      </c>
      <c r="H392" s="10">
        <v>0.05</v>
      </c>
      <c r="I392" s="12">
        <v>22.9</v>
      </c>
      <c r="J392" s="12">
        <f>H392*I392</f>
        <v>1.145</v>
      </c>
    </row>
    <row r="393" spans="1:10">
      <c r="B393" t="s">
        <v>936</v>
      </c>
      <c r="F393" s="8" t="s">
        <v>133</v>
      </c>
      <c r="H393" s="10">
        <v>0.115</v>
      </c>
      <c r="I393" s="12">
        <v>38.9</v>
      </c>
      <c r="J393" s="12">
        <f>H393*I393</f>
        <v>4.4734999999999996</v>
      </c>
    </row>
    <row r="394" spans="1:10">
      <c r="B394" t="s">
        <v>937</v>
      </c>
      <c r="F394" s="8" t="s">
        <v>431</v>
      </c>
      <c r="H394" s="10">
        <v>0.02</v>
      </c>
      <c r="I394" s="12">
        <v>8.5</v>
      </c>
      <c r="J394" s="12">
        <f>H394*I394</f>
        <v>0.17</v>
      </c>
    </row>
    <row r="395" spans="1:10">
      <c r="B395" t="s">
        <v>920</v>
      </c>
      <c r="F395" s="8" t="s">
        <v>149</v>
      </c>
      <c r="H395" s="10">
        <v>2.0000000000000001E-4</v>
      </c>
      <c r="I395" s="12">
        <v>112</v>
      </c>
      <c r="J395" s="12">
        <f>H395*I395</f>
        <v>2.24E-2</v>
      </c>
    </row>
    <row r="396" spans="1:10">
      <c r="B396" t="s">
        <v>664</v>
      </c>
      <c r="F396" s="8" t="s">
        <v>203</v>
      </c>
      <c r="H396" s="10">
        <v>8.9999999999999998E-4</v>
      </c>
      <c r="I396" s="12">
        <v>6.14</v>
      </c>
      <c r="J396" s="12">
        <f>H396*I396</f>
        <v>5.5259999999999997E-3</v>
      </c>
    </row>
    <row r="397" spans="1:10">
      <c r="F397" s="8"/>
      <c r="H397" s="10"/>
      <c r="I397" s="12"/>
      <c r="J397" s="34">
        <f>SUM(J391:J396)</f>
        <v>6.2826259999999996</v>
      </c>
    </row>
    <row r="398" spans="1:10">
      <c r="B398" s="35" t="s">
        <v>309</v>
      </c>
    </row>
    <row r="399" spans="1:10">
      <c r="B399" t="s">
        <v>310</v>
      </c>
      <c r="F399" s="8" t="s">
        <v>311</v>
      </c>
      <c r="H399" s="10">
        <v>3</v>
      </c>
      <c r="I399" s="12">
        <f>J389</f>
        <v>29.373200000000004</v>
      </c>
      <c r="J399" s="12">
        <f>H399%*I399</f>
        <v>0.88119600000000009</v>
      </c>
    </row>
    <row r="400" spans="1:10">
      <c r="A400" s="14"/>
      <c r="B400" s="14"/>
      <c r="C400" s="14"/>
      <c r="D400" s="14"/>
      <c r="E400" s="14"/>
      <c r="F400" s="14"/>
      <c r="G400" s="14"/>
      <c r="H400" s="14"/>
      <c r="I400" s="14"/>
      <c r="J400" s="36">
        <f>SUM(J399:J399)</f>
        <v>0.88119600000000009</v>
      </c>
    </row>
    <row r="402" spans="1:10">
      <c r="A402" s="31" t="s">
        <v>277</v>
      </c>
      <c r="B402" s="31" t="str">
        <f>ARQUITECTURA!A29</f>
        <v>03.04.04</v>
      </c>
      <c r="C402" s="31" t="s">
        <v>804</v>
      </c>
      <c r="D402" s="31"/>
    </row>
    <row r="403" spans="1:10">
      <c r="A403" s="31" t="s">
        <v>278</v>
      </c>
      <c r="B403" s="31" t="s">
        <v>313</v>
      </c>
      <c r="C403" s="32" t="s">
        <v>280</v>
      </c>
      <c r="D403" s="33">
        <v>8</v>
      </c>
      <c r="E403" s="32" t="s">
        <v>281</v>
      </c>
      <c r="F403" s="33">
        <f>D403</f>
        <v>8</v>
      </c>
      <c r="G403" s="31" t="s">
        <v>282</v>
      </c>
      <c r="I403" s="32" t="s">
        <v>144</v>
      </c>
      <c r="J403" s="34">
        <f>J407</f>
        <v>25</v>
      </c>
    </row>
    <row r="404" spans="1:10">
      <c r="A404" s="31" t="s">
        <v>283</v>
      </c>
      <c r="B404" s="31" t="s">
        <v>284</v>
      </c>
      <c r="F404" s="32" t="s">
        <v>122</v>
      </c>
      <c r="G404" s="32" t="s">
        <v>285</v>
      </c>
      <c r="H404" s="32">
        <v>5.5599999999999997E-2</v>
      </c>
      <c r="I404" s="32" t="s">
        <v>287</v>
      </c>
      <c r="J404" s="32" t="s">
        <v>288</v>
      </c>
    </row>
    <row r="405" spans="1:10">
      <c r="B405" s="35" t="s">
        <v>294</v>
      </c>
    </row>
    <row r="406" spans="1:10">
      <c r="B406" t="s">
        <v>804</v>
      </c>
      <c r="F406" s="8" t="s">
        <v>144</v>
      </c>
      <c r="G406" s="9"/>
      <c r="H406" s="10">
        <v>1</v>
      </c>
      <c r="I406" s="12">
        <v>25</v>
      </c>
      <c r="J406" s="12">
        <f>H406*I406</f>
        <v>25</v>
      </c>
    </row>
    <row r="407" spans="1:10">
      <c r="A407" s="14"/>
      <c r="B407" s="14"/>
      <c r="C407" s="14"/>
      <c r="D407" s="14"/>
      <c r="E407" s="14"/>
      <c r="F407" s="14"/>
      <c r="G407" s="14"/>
      <c r="H407" s="14"/>
      <c r="I407" s="14"/>
      <c r="J407" s="36">
        <f>SUM(J406:J406)</f>
        <v>25</v>
      </c>
    </row>
    <row r="408" spans="1:10">
      <c r="J408" s="34"/>
    </row>
    <row r="409" spans="1:10">
      <c r="A409" s="31" t="s">
        <v>277</v>
      </c>
      <c r="B409" s="31" t="str">
        <f>ARQUITECTURA!A30</f>
        <v>03.04.05</v>
      </c>
      <c r="C409" s="31" t="s">
        <v>806</v>
      </c>
      <c r="D409" s="31"/>
    </row>
    <row r="410" spans="1:10">
      <c r="A410" s="31" t="s">
        <v>278</v>
      </c>
      <c r="B410" s="31" t="s">
        <v>313</v>
      </c>
      <c r="C410" s="32" t="s">
        <v>280</v>
      </c>
      <c r="D410" s="33">
        <v>12</v>
      </c>
      <c r="E410" s="32" t="s">
        <v>281</v>
      </c>
      <c r="F410" s="33">
        <f>D410</f>
        <v>12</v>
      </c>
      <c r="G410" s="31" t="s">
        <v>282</v>
      </c>
      <c r="I410" s="32" t="s">
        <v>144</v>
      </c>
      <c r="J410" s="34">
        <f>J416+J424+J427</f>
        <v>44.192746666666665</v>
      </c>
    </row>
    <row r="411" spans="1:10">
      <c r="A411" s="31" t="s">
        <v>283</v>
      </c>
      <c r="B411" s="31" t="s">
        <v>284</v>
      </c>
      <c r="F411" s="32" t="s">
        <v>122</v>
      </c>
      <c r="G411" s="32" t="s">
        <v>285</v>
      </c>
      <c r="H411" s="32">
        <v>5.5599999999999997E-2</v>
      </c>
      <c r="I411" s="32" t="s">
        <v>287</v>
      </c>
      <c r="J411" s="32" t="s">
        <v>288</v>
      </c>
    </row>
    <row r="412" spans="1:10">
      <c r="B412" s="35" t="s">
        <v>289</v>
      </c>
    </row>
    <row r="413" spans="1:10">
      <c r="B413" t="s">
        <v>650</v>
      </c>
      <c r="F413" s="8" t="s">
        <v>291</v>
      </c>
      <c r="G413" s="9">
        <v>0.1</v>
      </c>
      <c r="H413" s="10">
        <f>G413*8/$D$410</f>
        <v>6.6666666666666666E-2</v>
      </c>
      <c r="I413" s="12">
        <v>34.729999999999997</v>
      </c>
      <c r="J413" s="12">
        <f>H413*I413</f>
        <v>2.3153333333333332</v>
      </c>
    </row>
    <row r="414" spans="1:10">
      <c r="B414" t="s">
        <v>290</v>
      </c>
      <c r="F414" s="8" t="s">
        <v>291</v>
      </c>
      <c r="G414" s="9">
        <v>1</v>
      </c>
      <c r="H414" s="10">
        <f t="shared" ref="H414:H415" si="14">G414*8/$D$410</f>
        <v>0.66666666666666663</v>
      </c>
      <c r="I414" s="12">
        <v>28.94</v>
      </c>
      <c r="J414" s="12">
        <f>H414*I414</f>
        <v>19.293333333333333</v>
      </c>
    </row>
    <row r="415" spans="1:10">
      <c r="B415" t="s">
        <v>293</v>
      </c>
      <c r="F415" s="8" t="s">
        <v>291</v>
      </c>
      <c r="G415" s="9">
        <v>0.3</v>
      </c>
      <c r="H415" s="10">
        <f t="shared" si="14"/>
        <v>0.19999999999999998</v>
      </c>
      <c r="I415" s="12">
        <v>20.51</v>
      </c>
      <c r="J415" s="12">
        <f>H415*I415</f>
        <v>4.1020000000000003</v>
      </c>
    </row>
    <row r="416" spans="1:10">
      <c r="F416" s="8"/>
      <c r="G416" s="9"/>
      <c r="H416" s="10"/>
      <c r="I416" s="12"/>
      <c r="J416" s="34">
        <f>SUM(J413:J415)</f>
        <v>25.710666666666665</v>
      </c>
    </row>
    <row r="417" spans="1:10">
      <c r="B417" s="35" t="s">
        <v>653</v>
      </c>
      <c r="F417" s="8"/>
      <c r="G417" s="9"/>
      <c r="H417" s="10"/>
      <c r="J417" s="12"/>
    </row>
    <row r="418" spans="1:10">
      <c r="B418" t="s">
        <v>916</v>
      </c>
      <c r="F418" s="8" t="s">
        <v>296</v>
      </c>
      <c r="H418" s="10">
        <v>0.189</v>
      </c>
      <c r="I418" s="12">
        <v>7.4</v>
      </c>
      <c r="J418" s="12">
        <f>H418*I418</f>
        <v>1.3986000000000001</v>
      </c>
    </row>
    <row r="419" spans="1:10">
      <c r="B419" t="s">
        <v>934</v>
      </c>
      <c r="F419" s="8" t="s">
        <v>935</v>
      </c>
      <c r="H419" s="10">
        <v>0.1008</v>
      </c>
      <c r="I419" s="12">
        <v>22.9</v>
      </c>
      <c r="J419" s="12">
        <f>H419*I419</f>
        <v>2.3083199999999997</v>
      </c>
    </row>
    <row r="420" spans="1:10">
      <c r="B420" t="s">
        <v>936</v>
      </c>
      <c r="F420" s="8" t="s">
        <v>133</v>
      </c>
      <c r="H420" s="10">
        <v>0.34499999999999997</v>
      </c>
      <c r="I420" s="12">
        <v>38.9</v>
      </c>
      <c r="J420" s="12">
        <f>H420*I420</f>
        <v>13.420499999999999</v>
      </c>
    </row>
    <row r="421" spans="1:10">
      <c r="B421" t="s">
        <v>937</v>
      </c>
      <c r="F421" s="8" t="s">
        <v>431</v>
      </c>
      <c r="H421" s="10">
        <v>0.06</v>
      </c>
      <c r="I421" s="12">
        <v>8.5</v>
      </c>
      <c r="J421" s="12">
        <f>H421*I421</f>
        <v>0.51</v>
      </c>
    </row>
    <row r="422" spans="1:10">
      <c r="B422" t="s">
        <v>920</v>
      </c>
      <c r="F422" s="8" t="s">
        <v>149</v>
      </c>
      <c r="H422" s="10">
        <v>5.9999999999999995E-4</v>
      </c>
      <c r="I422" s="12">
        <v>112</v>
      </c>
      <c r="J422" s="12">
        <f>H422*I422</f>
        <v>6.7199999999999996E-2</v>
      </c>
    </row>
    <row r="423" spans="1:10">
      <c r="B423" t="s">
        <v>664</v>
      </c>
      <c r="F423" s="8" t="s">
        <v>203</v>
      </c>
      <c r="H423" s="10">
        <v>1E-3</v>
      </c>
      <c r="I423" s="12">
        <v>6.14</v>
      </c>
      <c r="J423" s="12">
        <f>H423*I423</f>
        <v>6.1399999999999996E-3</v>
      </c>
    </row>
    <row r="424" spans="1:10">
      <c r="F424" s="8"/>
      <c r="H424" s="10"/>
      <c r="I424" s="12"/>
      <c r="J424" s="34">
        <f>SUM(J418:J423)</f>
        <v>17.710759999999997</v>
      </c>
    </row>
    <row r="425" spans="1:10">
      <c r="B425" s="35" t="s">
        <v>309</v>
      </c>
    </row>
    <row r="426" spans="1:10">
      <c r="B426" t="s">
        <v>310</v>
      </c>
      <c r="F426" s="8" t="s">
        <v>311</v>
      </c>
      <c r="H426" s="10">
        <v>3</v>
      </c>
      <c r="I426" s="12">
        <f>J416</f>
        <v>25.710666666666665</v>
      </c>
      <c r="J426" s="12">
        <f>H426%*I426</f>
        <v>0.77131999999999989</v>
      </c>
    </row>
    <row r="427" spans="1:10">
      <c r="A427" s="14"/>
      <c r="B427" s="14"/>
      <c r="C427" s="14"/>
      <c r="D427" s="14"/>
      <c r="E427" s="14"/>
      <c r="F427" s="14"/>
      <c r="G427" s="14"/>
      <c r="H427" s="14"/>
      <c r="I427" s="14"/>
      <c r="J427" s="36">
        <f>SUM(J426:J426)</f>
        <v>0.77131999999999989</v>
      </c>
    </row>
    <row r="428" spans="1:10">
      <c r="F428" s="8"/>
      <c r="G428" s="9"/>
      <c r="H428" s="10"/>
      <c r="I428" s="12"/>
      <c r="J428" s="12"/>
    </row>
    <row r="429" spans="1:10">
      <c r="A429" s="31" t="s">
        <v>277</v>
      </c>
      <c r="B429" s="31" t="str">
        <f>ARQUITECTURA!A31</f>
        <v>03.04.06</v>
      </c>
      <c r="C429" s="31" t="s">
        <v>808</v>
      </c>
      <c r="D429" s="31"/>
    </row>
    <row r="430" spans="1:10">
      <c r="A430" s="31" t="s">
        <v>278</v>
      </c>
      <c r="B430" s="31" t="s">
        <v>313</v>
      </c>
      <c r="C430" s="32" t="s">
        <v>280</v>
      </c>
      <c r="D430" s="33">
        <v>8</v>
      </c>
      <c r="E430" s="32" t="s">
        <v>281</v>
      </c>
      <c r="F430" s="33">
        <f>D430</f>
        <v>8</v>
      </c>
      <c r="G430" s="31" t="s">
        <v>282</v>
      </c>
      <c r="I430" s="32" t="s">
        <v>144</v>
      </c>
      <c r="J430" s="34">
        <f>J436+J443+J446</f>
        <v>84.438490000000002</v>
      </c>
    </row>
    <row r="431" spans="1:10">
      <c r="A431" s="31" t="s">
        <v>283</v>
      </c>
      <c r="B431" s="31" t="s">
        <v>284</v>
      </c>
      <c r="F431" s="32" t="s">
        <v>122</v>
      </c>
      <c r="G431" s="32" t="s">
        <v>285</v>
      </c>
      <c r="H431" s="32">
        <v>5.5599999999999997E-2</v>
      </c>
      <c r="I431" s="32" t="s">
        <v>287</v>
      </c>
      <c r="J431" s="32" t="s">
        <v>288</v>
      </c>
    </row>
    <row r="432" spans="1:10">
      <c r="B432" s="35" t="s">
        <v>289</v>
      </c>
    </row>
    <row r="433" spans="1:14">
      <c r="B433" t="s">
        <v>650</v>
      </c>
      <c r="F433" s="8" t="s">
        <v>291</v>
      </c>
      <c r="G433" s="9">
        <v>0.1</v>
      </c>
      <c r="H433" s="10">
        <f>G433*8/$D$430</f>
        <v>0.1</v>
      </c>
      <c r="I433" s="12">
        <v>34.729999999999997</v>
      </c>
      <c r="J433" s="12">
        <f>H433*I433</f>
        <v>3.4729999999999999</v>
      </c>
    </row>
    <row r="434" spans="1:14">
      <c r="B434" t="s">
        <v>290</v>
      </c>
      <c r="F434" s="8" t="s">
        <v>291</v>
      </c>
      <c r="G434" s="9">
        <v>1</v>
      </c>
      <c r="H434" s="10">
        <f>G434*8/$D$430</f>
        <v>1</v>
      </c>
      <c r="I434" s="12">
        <v>28.94</v>
      </c>
      <c r="J434" s="12">
        <f>H434*I434</f>
        <v>28.94</v>
      </c>
    </row>
    <row r="435" spans="1:14">
      <c r="B435" t="s">
        <v>293</v>
      </c>
      <c r="F435" s="8" t="s">
        <v>291</v>
      </c>
      <c r="G435" s="9">
        <v>2</v>
      </c>
      <c r="H435" s="10">
        <f>G435*8/$D$430</f>
        <v>2</v>
      </c>
      <c r="I435" s="12">
        <v>20.51</v>
      </c>
      <c r="J435" s="12">
        <f>H435*I435</f>
        <v>41.02</v>
      </c>
    </row>
    <row r="436" spans="1:14">
      <c r="F436" s="8"/>
      <c r="G436" s="9"/>
      <c r="H436" s="10"/>
      <c r="I436" s="12"/>
      <c r="J436" s="34">
        <f>SUM(J433:J435)</f>
        <v>73.433000000000007</v>
      </c>
    </row>
    <row r="437" spans="1:14">
      <c r="B437" s="35" t="s">
        <v>653</v>
      </c>
      <c r="F437" s="8"/>
      <c r="G437" s="9"/>
      <c r="H437" s="10"/>
      <c r="J437" s="12"/>
    </row>
    <row r="438" spans="1:14">
      <c r="B438" t="s">
        <v>896</v>
      </c>
      <c r="F438" s="8" t="s">
        <v>203</v>
      </c>
      <c r="H438" s="10">
        <v>6.3E-2</v>
      </c>
      <c r="I438" s="12">
        <v>65</v>
      </c>
      <c r="J438" s="12">
        <f>H438*I438</f>
        <v>4.0949999999999998</v>
      </c>
    </row>
    <row r="439" spans="1:14">
      <c r="B439" t="s">
        <v>946</v>
      </c>
      <c r="F439" s="8" t="s">
        <v>431</v>
      </c>
      <c r="H439" s="10">
        <v>0.05</v>
      </c>
      <c r="I439" s="12">
        <v>70</v>
      </c>
      <c r="J439" s="12">
        <f>H439*I439</f>
        <v>3.5</v>
      </c>
    </row>
    <row r="440" spans="1:14">
      <c r="B440" t="s">
        <v>664</v>
      </c>
      <c r="F440" s="8" t="s">
        <v>203</v>
      </c>
      <c r="H440" s="10">
        <v>0.115</v>
      </c>
      <c r="I440" s="12">
        <v>6.14</v>
      </c>
      <c r="J440" s="12">
        <f>H440*I440</f>
        <v>0.70609999999999995</v>
      </c>
    </row>
    <row r="441" spans="1:14">
      <c r="B441" t="s">
        <v>947</v>
      </c>
      <c r="F441" s="8" t="s">
        <v>431</v>
      </c>
      <c r="H441" s="10">
        <v>0.02</v>
      </c>
      <c r="I441" s="12">
        <v>25</v>
      </c>
      <c r="J441" s="12">
        <f>H441*I441</f>
        <v>0.5</v>
      </c>
    </row>
    <row r="442" spans="1:14">
      <c r="B442" t="s">
        <v>948</v>
      </c>
      <c r="F442" s="8" t="s">
        <v>296</v>
      </c>
      <c r="H442" s="10">
        <v>2.0000000000000001E-4</v>
      </c>
      <c r="I442" s="12">
        <v>7</v>
      </c>
      <c r="J442" s="12">
        <f>H442*I442</f>
        <v>1.4E-3</v>
      </c>
    </row>
    <row r="443" spans="1:14">
      <c r="F443" s="8"/>
      <c r="H443" s="10"/>
      <c r="I443" s="12"/>
      <c r="J443" s="34">
        <f>SUM(J438:J442)</f>
        <v>8.8025000000000002</v>
      </c>
    </row>
    <row r="444" spans="1:14">
      <c r="B444" s="35" t="s">
        <v>309</v>
      </c>
    </row>
    <row r="445" spans="1:14">
      <c r="B445" t="s">
        <v>310</v>
      </c>
      <c r="F445" s="8" t="s">
        <v>311</v>
      </c>
      <c r="H445" s="10">
        <v>3</v>
      </c>
      <c r="I445" s="12">
        <f>J436</f>
        <v>73.433000000000007</v>
      </c>
      <c r="J445" s="12">
        <f>H445%*I445</f>
        <v>2.2029900000000002</v>
      </c>
    </row>
    <row r="446" spans="1:14">
      <c r="A446" s="14"/>
      <c r="B446" s="14"/>
      <c r="C446" s="14"/>
      <c r="D446" s="14"/>
      <c r="E446" s="14"/>
      <c r="F446" s="14"/>
      <c r="G446" s="14"/>
      <c r="H446" s="14"/>
      <c r="I446" s="14"/>
      <c r="J446" s="36">
        <f>SUM(J445:J445)</f>
        <v>2.2029900000000002</v>
      </c>
    </row>
    <row r="447" spans="1:14">
      <c r="J447" s="34"/>
    </row>
    <row r="448" spans="1:14">
      <c r="A448" s="31" t="s">
        <v>277</v>
      </c>
      <c r="B448" s="31" t="str">
        <f>ARQUITECTURA!A33</f>
        <v>03.05.01</v>
      </c>
      <c r="C448" s="31" t="s">
        <v>811</v>
      </c>
      <c r="D448" s="31"/>
      <c r="N448" s="31"/>
    </row>
    <row r="449" spans="1:14">
      <c r="A449" s="31" t="s">
        <v>278</v>
      </c>
      <c r="B449" s="31" t="s">
        <v>279</v>
      </c>
      <c r="C449" s="32" t="s">
        <v>280</v>
      </c>
      <c r="D449" s="33">
        <v>1</v>
      </c>
      <c r="E449" s="32" t="s">
        <v>281</v>
      </c>
      <c r="F449" s="33">
        <f>D449</f>
        <v>1</v>
      </c>
      <c r="G449" s="31" t="s">
        <v>282</v>
      </c>
      <c r="I449" s="32" t="s">
        <v>133</v>
      </c>
      <c r="J449" s="34">
        <f>J453</f>
        <v>560.62260000000003</v>
      </c>
      <c r="M449" s="31"/>
      <c r="N449" s="31"/>
    </row>
    <row r="450" spans="1:14">
      <c r="A450" s="31" t="s">
        <v>283</v>
      </c>
      <c r="B450" s="31" t="s">
        <v>284</v>
      </c>
      <c r="F450" s="32" t="s">
        <v>122</v>
      </c>
      <c r="G450" s="32" t="s">
        <v>285</v>
      </c>
      <c r="H450" s="32">
        <v>5.5599999999999997E-2</v>
      </c>
      <c r="I450" s="32" t="s">
        <v>287</v>
      </c>
      <c r="J450" s="32" t="s">
        <v>288</v>
      </c>
      <c r="N450" s="31"/>
    </row>
    <row r="451" spans="1:14">
      <c r="B451" s="35" t="s">
        <v>294</v>
      </c>
      <c r="N451" s="31"/>
    </row>
    <row r="452" spans="1:14">
      <c r="B452" t="s">
        <v>811</v>
      </c>
      <c r="F452" s="8" t="s">
        <v>149</v>
      </c>
      <c r="G452" s="9"/>
      <c r="H452" s="10">
        <v>1</v>
      </c>
      <c r="I452" s="12">
        <v>560.62260000000003</v>
      </c>
      <c r="J452" s="12">
        <f>H452*I452</f>
        <v>560.62260000000003</v>
      </c>
      <c r="N452" s="31"/>
    </row>
    <row r="453" spans="1:14">
      <c r="A453" s="14"/>
      <c r="B453" s="14"/>
      <c r="C453" s="14"/>
      <c r="D453" s="14"/>
      <c r="E453" s="14"/>
      <c r="F453" s="14"/>
      <c r="G453" s="14"/>
      <c r="H453" s="14"/>
      <c r="I453" s="14"/>
      <c r="J453" s="36">
        <f>SUM(J452)</f>
        <v>560.62260000000003</v>
      </c>
      <c r="N453" s="31"/>
    </row>
    <row r="454" spans="1:14">
      <c r="N454" s="31"/>
    </row>
    <row r="455" spans="1:14">
      <c r="A455" s="31" t="s">
        <v>277</v>
      </c>
      <c r="B455" s="31" t="str">
        <f>ARQUITECTURA!A34</f>
        <v>03.05.02</v>
      </c>
      <c r="C455" s="31" t="s">
        <v>813</v>
      </c>
      <c r="D455" s="31"/>
      <c r="N455" s="31"/>
    </row>
    <row r="456" spans="1:14">
      <c r="A456" s="31" t="s">
        <v>278</v>
      </c>
      <c r="B456" s="31" t="s">
        <v>279</v>
      </c>
      <c r="C456" s="32" t="s">
        <v>280</v>
      </c>
      <c r="D456" s="33">
        <v>1</v>
      </c>
      <c r="E456" s="32" t="s">
        <v>281</v>
      </c>
      <c r="F456" s="33">
        <f>D456</f>
        <v>1</v>
      </c>
      <c r="G456" s="31" t="s">
        <v>282</v>
      </c>
      <c r="I456" s="32" t="s">
        <v>133</v>
      </c>
      <c r="J456" s="34">
        <f>J460</f>
        <v>367.87083424090611</v>
      </c>
      <c r="M456" s="31"/>
      <c r="N456" s="31"/>
    </row>
    <row r="457" spans="1:14">
      <c r="A457" s="31" t="s">
        <v>283</v>
      </c>
      <c r="B457" s="31" t="s">
        <v>284</v>
      </c>
      <c r="F457" s="32" t="s">
        <v>122</v>
      </c>
      <c r="G457" s="32" t="s">
        <v>285</v>
      </c>
      <c r="H457" s="32">
        <v>5.5599999999999997E-2</v>
      </c>
      <c r="I457" s="32" t="s">
        <v>287</v>
      </c>
      <c r="J457" s="32" t="s">
        <v>288</v>
      </c>
      <c r="N457" s="31"/>
    </row>
    <row r="458" spans="1:14">
      <c r="B458" s="35" t="s">
        <v>294</v>
      </c>
      <c r="N458" s="31"/>
    </row>
    <row r="459" spans="1:14">
      <c r="B459" t="s">
        <v>813</v>
      </c>
      <c r="F459" s="8" t="s">
        <v>149</v>
      </c>
      <c r="G459" s="9"/>
      <c r="H459" s="10">
        <v>1</v>
      </c>
      <c r="I459">
        <v>367.87083424090611</v>
      </c>
      <c r="J459" s="12">
        <f>H459*I459</f>
        <v>367.87083424090611</v>
      </c>
      <c r="N459" s="31"/>
    </row>
    <row r="460" spans="1:14">
      <c r="A460" s="14"/>
      <c r="B460" s="14"/>
      <c r="C460" s="14"/>
      <c r="D460" s="14"/>
      <c r="E460" s="14"/>
      <c r="F460" s="14"/>
      <c r="G460" s="14"/>
      <c r="H460" s="14"/>
      <c r="I460" s="14"/>
      <c r="J460" s="36">
        <f>SUM(J459)</f>
        <v>367.87083424090611</v>
      </c>
    </row>
    <row r="462" spans="1:14">
      <c r="A462" s="31" t="s">
        <v>277</v>
      </c>
      <c r="B462" s="31" t="str">
        <f>ARQUITECTURA!A35</f>
        <v>03.05.03</v>
      </c>
      <c r="C462" s="31" t="s">
        <v>815</v>
      </c>
      <c r="D462" s="31"/>
    </row>
    <row r="463" spans="1:14">
      <c r="A463" s="31" t="s">
        <v>278</v>
      </c>
      <c r="B463" s="31" t="s">
        <v>279</v>
      </c>
      <c r="C463" s="32" t="s">
        <v>280</v>
      </c>
      <c r="D463" s="33">
        <v>1</v>
      </c>
      <c r="E463" s="32" t="s">
        <v>281</v>
      </c>
      <c r="F463" s="33">
        <f>D463</f>
        <v>1</v>
      </c>
      <c r="G463" s="31" t="s">
        <v>282</v>
      </c>
      <c r="I463" s="32" t="s">
        <v>133</v>
      </c>
      <c r="J463" s="34">
        <f>J467</f>
        <v>514.53719413716362</v>
      </c>
    </row>
    <row r="464" spans="1:14">
      <c r="A464" s="31" t="s">
        <v>283</v>
      </c>
      <c r="B464" s="31" t="s">
        <v>284</v>
      </c>
      <c r="F464" s="32" t="s">
        <v>122</v>
      </c>
      <c r="G464" s="32" t="s">
        <v>285</v>
      </c>
      <c r="H464" s="32">
        <v>5.5599999999999997E-2</v>
      </c>
      <c r="I464" s="32" t="s">
        <v>287</v>
      </c>
      <c r="J464" s="32" t="s">
        <v>288</v>
      </c>
    </row>
    <row r="465" spans="1:10">
      <c r="B465" s="35" t="s">
        <v>294</v>
      </c>
    </row>
    <row r="466" spans="1:10">
      <c r="B466" t="s">
        <v>815</v>
      </c>
      <c r="F466" s="8" t="s">
        <v>149</v>
      </c>
      <c r="G466" s="9"/>
      <c r="H466" s="10">
        <v>1</v>
      </c>
      <c r="I466">
        <v>514.53719413716362</v>
      </c>
      <c r="J466" s="12">
        <f>H466*I466</f>
        <v>514.53719413716362</v>
      </c>
    </row>
    <row r="467" spans="1:10">
      <c r="A467" s="14"/>
      <c r="B467" s="14"/>
      <c r="C467" s="14"/>
      <c r="D467" s="14"/>
      <c r="E467" s="14"/>
      <c r="F467" s="14"/>
      <c r="G467" s="14"/>
      <c r="H467" s="14"/>
      <c r="I467" s="14"/>
      <c r="J467" s="36">
        <f>SUM(J466)</f>
        <v>514.53719413716362</v>
      </c>
    </row>
    <row r="469" spans="1:10">
      <c r="A469" s="31" t="s">
        <v>277</v>
      </c>
      <c r="B469" s="31" t="str">
        <f>ARQUITECTURA!A36</f>
        <v>03.05.04</v>
      </c>
      <c r="C469" s="31" t="s">
        <v>817</v>
      </c>
      <c r="D469" s="31"/>
    </row>
    <row r="470" spans="1:10">
      <c r="A470" s="31" t="s">
        <v>278</v>
      </c>
      <c r="B470" s="31" t="s">
        <v>279</v>
      </c>
      <c r="C470" s="32" t="s">
        <v>280</v>
      </c>
      <c r="D470" s="33">
        <v>1</v>
      </c>
      <c r="E470" s="32" t="s">
        <v>281</v>
      </c>
      <c r="F470" s="33">
        <f>D470</f>
        <v>1</v>
      </c>
      <c r="G470" s="31" t="s">
        <v>282</v>
      </c>
      <c r="I470" s="32" t="s">
        <v>133</v>
      </c>
      <c r="J470" s="34">
        <f>J474</f>
        <v>622.13</v>
      </c>
    </row>
    <row r="471" spans="1:10">
      <c r="A471" s="31" t="s">
        <v>283</v>
      </c>
      <c r="B471" s="31" t="s">
        <v>284</v>
      </c>
      <c r="F471" s="32" t="s">
        <v>122</v>
      </c>
      <c r="G471" s="32" t="s">
        <v>285</v>
      </c>
      <c r="H471" s="32">
        <v>5.5599999999999997E-2</v>
      </c>
      <c r="I471" s="32" t="s">
        <v>287</v>
      </c>
      <c r="J471" s="32" t="s">
        <v>288</v>
      </c>
    </row>
    <row r="472" spans="1:10">
      <c r="B472" s="35" t="s">
        <v>294</v>
      </c>
    </row>
    <row r="473" spans="1:10">
      <c r="B473" t="s">
        <v>817</v>
      </c>
      <c r="F473" s="8" t="s">
        <v>149</v>
      </c>
      <c r="G473" s="9"/>
      <c r="H473" s="10">
        <v>1</v>
      </c>
      <c r="I473">
        <v>622.13</v>
      </c>
      <c r="J473" s="12">
        <f>H473*I473</f>
        <v>622.13</v>
      </c>
    </row>
    <row r="474" spans="1:10">
      <c r="A474" s="14"/>
      <c r="B474" s="14"/>
      <c r="C474" s="14"/>
      <c r="D474" s="14"/>
      <c r="E474" s="14"/>
      <c r="F474" s="14"/>
      <c r="G474" s="14"/>
      <c r="H474" s="14"/>
      <c r="I474" s="14"/>
      <c r="J474" s="36">
        <f>SUM(J473)</f>
        <v>622.13</v>
      </c>
    </row>
    <row r="476" spans="1:10">
      <c r="A476" s="31" t="s">
        <v>277</v>
      </c>
      <c r="B476" s="31" t="str">
        <f>ARQUITECTURA!A37</f>
        <v>03.05.05</v>
      </c>
      <c r="C476" s="31" t="s">
        <v>819</v>
      </c>
      <c r="D476" s="31"/>
    </row>
    <row r="477" spans="1:10">
      <c r="A477" s="31" t="s">
        <v>278</v>
      </c>
      <c r="B477" s="31" t="s">
        <v>279</v>
      </c>
      <c r="C477" s="32" t="s">
        <v>280</v>
      </c>
      <c r="D477" s="33">
        <v>1</v>
      </c>
      <c r="E477" s="32" t="s">
        <v>281</v>
      </c>
      <c r="F477" s="33">
        <f>D477</f>
        <v>1</v>
      </c>
      <c r="G477" s="31" t="s">
        <v>282</v>
      </c>
      <c r="I477" s="32" t="s">
        <v>133</v>
      </c>
      <c r="J477" s="34">
        <f>J481</f>
        <v>54.78</v>
      </c>
    </row>
    <row r="478" spans="1:10">
      <c r="A478" s="31" t="s">
        <v>283</v>
      </c>
      <c r="B478" s="31" t="s">
        <v>284</v>
      </c>
      <c r="F478" s="32" t="s">
        <v>122</v>
      </c>
      <c r="G478" s="32" t="s">
        <v>285</v>
      </c>
      <c r="H478" s="32">
        <v>5.5599999999999997E-2</v>
      </c>
      <c r="I478" s="32" t="s">
        <v>287</v>
      </c>
      <c r="J478" s="32" t="s">
        <v>288</v>
      </c>
    </row>
    <row r="479" spans="1:10">
      <c r="B479" s="35" t="s">
        <v>294</v>
      </c>
    </row>
    <row r="480" spans="1:10">
      <c r="B480" t="s">
        <v>819</v>
      </c>
      <c r="F480" s="8" t="s">
        <v>149</v>
      </c>
      <c r="G480" s="9"/>
      <c r="H480" s="10">
        <v>1</v>
      </c>
      <c r="I480">
        <v>54.78</v>
      </c>
      <c r="J480" s="12">
        <f>H480*I480</f>
        <v>54.78</v>
      </c>
    </row>
    <row r="481" spans="1:10">
      <c r="A481" s="14"/>
      <c r="B481" s="14"/>
      <c r="C481" s="14"/>
      <c r="D481" s="14"/>
      <c r="E481" s="14"/>
      <c r="F481" s="14"/>
      <c r="G481" s="14"/>
      <c r="H481" s="14"/>
      <c r="I481" s="14"/>
      <c r="J481" s="36">
        <f>SUM(J480)</f>
        <v>54.78</v>
      </c>
    </row>
    <row r="482" spans="1:10">
      <c r="J482" s="34"/>
    </row>
    <row r="483" spans="1:10">
      <c r="A483" s="2" t="s">
        <v>277</v>
      </c>
      <c r="B483" s="31" t="str">
        <f>ARQUITECTURA!A39</f>
        <v>03.06.01</v>
      </c>
      <c r="C483" s="2" t="s">
        <v>822</v>
      </c>
      <c r="D483" s="2"/>
    </row>
    <row r="484" spans="1:10">
      <c r="A484" s="2" t="s">
        <v>278</v>
      </c>
      <c r="B484" s="2" t="s">
        <v>279</v>
      </c>
      <c r="C484" s="4" t="s">
        <v>280</v>
      </c>
      <c r="D484" s="5">
        <v>50</v>
      </c>
      <c r="E484" s="4" t="s">
        <v>281</v>
      </c>
      <c r="F484" s="5">
        <f>D484</f>
        <v>50</v>
      </c>
      <c r="G484" s="2" t="s">
        <v>282</v>
      </c>
      <c r="I484" s="4" t="s">
        <v>133</v>
      </c>
      <c r="J484" s="6">
        <f>J490+J497+J501</f>
        <v>15.625164000000002</v>
      </c>
    </row>
    <row r="485" spans="1:10">
      <c r="A485" s="2" t="s">
        <v>283</v>
      </c>
      <c r="B485" s="2" t="s">
        <v>284</v>
      </c>
      <c r="F485" s="4" t="s">
        <v>122</v>
      </c>
      <c r="G485" s="4" t="s">
        <v>285</v>
      </c>
      <c r="H485" s="4" t="s">
        <v>286</v>
      </c>
      <c r="I485" s="4" t="s">
        <v>287</v>
      </c>
      <c r="J485" s="4" t="s">
        <v>288</v>
      </c>
    </row>
    <row r="486" spans="1:10">
      <c r="B486" s="7" t="s">
        <v>289</v>
      </c>
    </row>
    <row r="487" spans="1:10">
      <c r="B487" t="s">
        <v>650</v>
      </c>
      <c r="F487" s="8" t="s">
        <v>291</v>
      </c>
      <c r="G487" s="9">
        <v>0.1</v>
      </c>
      <c r="H487" s="10">
        <f>G487*8/$D$484</f>
        <v>1.6E-2</v>
      </c>
      <c r="I487" s="12">
        <v>34.729999999999997</v>
      </c>
      <c r="J487" s="12">
        <f>H487*I487</f>
        <v>0.55567999999999995</v>
      </c>
    </row>
    <row r="488" spans="1:10">
      <c r="B488" t="s">
        <v>290</v>
      </c>
      <c r="F488" s="8" t="s">
        <v>291</v>
      </c>
      <c r="G488" s="9">
        <v>1</v>
      </c>
      <c r="H488" s="10">
        <f>G488*8/$D$484</f>
        <v>0.16</v>
      </c>
      <c r="I488" s="12">
        <v>28.94</v>
      </c>
      <c r="J488" s="12">
        <f>H488*I488</f>
        <v>4.6304000000000007</v>
      </c>
    </row>
    <row r="489" spans="1:10">
      <c r="B489" t="s">
        <v>293</v>
      </c>
      <c r="F489" s="8" t="s">
        <v>291</v>
      </c>
      <c r="G489" s="9">
        <v>1</v>
      </c>
      <c r="H489" s="10">
        <f>G489*8/$D$484</f>
        <v>0.16</v>
      </c>
      <c r="I489">
        <v>20.51</v>
      </c>
      <c r="J489" s="12">
        <f>H489*I489</f>
        <v>3.2816000000000005</v>
      </c>
    </row>
    <row r="490" spans="1:10">
      <c r="F490" s="8"/>
      <c r="G490" s="9"/>
      <c r="H490" s="10"/>
      <c r="J490" s="6">
        <f>SUM(J487:J489)</f>
        <v>8.4676800000000014</v>
      </c>
    </row>
    <row r="491" spans="1:10">
      <c r="B491" s="7" t="s">
        <v>653</v>
      </c>
      <c r="F491" s="8"/>
      <c r="G491" s="9"/>
      <c r="H491" s="12"/>
      <c r="J491" s="12"/>
    </row>
    <row r="492" spans="1:10">
      <c r="B492" t="s">
        <v>949</v>
      </c>
      <c r="F492" s="8" t="s">
        <v>149</v>
      </c>
      <c r="H492" s="12">
        <v>0.2</v>
      </c>
      <c r="I492" s="12">
        <v>0.85</v>
      </c>
      <c r="J492" s="12">
        <f>H492*I492</f>
        <v>0.17</v>
      </c>
    </row>
    <row r="493" spans="1:10">
      <c r="B493" t="s">
        <v>950</v>
      </c>
      <c r="F493" s="8" t="s">
        <v>439</v>
      </c>
      <c r="H493" s="12">
        <v>4.4000000000000004E-2</v>
      </c>
      <c r="I493" s="12">
        <v>39.9</v>
      </c>
      <c r="J493" s="12">
        <f>H493*I493</f>
        <v>1.7556</v>
      </c>
    </row>
    <row r="494" spans="1:10">
      <c r="B494" t="s">
        <v>951</v>
      </c>
      <c r="F494" s="8" t="s">
        <v>439</v>
      </c>
      <c r="H494" s="12">
        <v>3.5000000000000003E-2</v>
      </c>
      <c r="I494" s="12">
        <v>25.5</v>
      </c>
      <c r="J494" s="12">
        <f>H494*I494</f>
        <v>0.89250000000000007</v>
      </c>
    </row>
    <row r="495" spans="1:10">
      <c r="B495" t="s">
        <v>952</v>
      </c>
      <c r="F495" s="8" t="s">
        <v>330</v>
      </c>
      <c r="H495" s="12">
        <v>5.0000000000000001E-3</v>
      </c>
      <c r="I495" s="12">
        <v>30</v>
      </c>
      <c r="J495" s="12">
        <f>H495*I495</f>
        <v>0.15</v>
      </c>
    </row>
    <row r="496" spans="1:10">
      <c r="B496" t="s">
        <v>953</v>
      </c>
      <c r="F496" s="8" t="s">
        <v>439</v>
      </c>
      <c r="H496" s="12">
        <v>5.9000000000000004E-2</v>
      </c>
      <c r="I496" s="12">
        <v>34</v>
      </c>
      <c r="J496" s="12">
        <f>H496*I496</f>
        <v>2.0060000000000002</v>
      </c>
    </row>
    <row r="497" spans="1:10">
      <c r="F497" s="8"/>
      <c r="H497" s="12"/>
      <c r="I497" s="12"/>
      <c r="J497" s="6">
        <f>SUM(J492:J496)</f>
        <v>4.9741</v>
      </c>
    </row>
    <row r="498" spans="1:10">
      <c r="B498" s="7" t="s">
        <v>309</v>
      </c>
    </row>
    <row r="499" spans="1:10">
      <c r="B499" t="s">
        <v>310</v>
      </c>
      <c r="F499" s="8" t="s">
        <v>311</v>
      </c>
      <c r="H499" s="10">
        <v>5</v>
      </c>
      <c r="I499" s="12">
        <f>J490</f>
        <v>8.4676800000000014</v>
      </c>
      <c r="J499" s="12">
        <f>H499%*I499</f>
        <v>0.42338400000000009</v>
      </c>
    </row>
    <row r="500" spans="1:10">
      <c r="B500" t="s">
        <v>929</v>
      </c>
      <c r="C500" s="52"/>
      <c r="D500" s="52"/>
      <c r="E500" s="52"/>
      <c r="F500" s="8" t="s">
        <v>337</v>
      </c>
      <c r="G500" s="9">
        <v>2</v>
      </c>
      <c r="H500" s="10">
        <f>G500*8/$D$484</f>
        <v>0.32</v>
      </c>
      <c r="I500" s="12">
        <v>5.5</v>
      </c>
      <c r="J500" s="12">
        <f>H500*I500</f>
        <v>1.76</v>
      </c>
    </row>
    <row r="501" spans="1:10">
      <c r="A501" s="14"/>
      <c r="B501" s="14"/>
      <c r="C501" s="14"/>
      <c r="D501" s="14"/>
      <c r="E501" s="14"/>
      <c r="F501" s="14"/>
      <c r="G501" s="14"/>
      <c r="H501" s="14"/>
      <c r="I501" s="15"/>
      <c r="J501" s="16">
        <f>SUM(J499:J500)</f>
        <v>2.1833840000000002</v>
      </c>
    </row>
    <row r="503" spans="1:10">
      <c r="A503" s="2" t="s">
        <v>277</v>
      </c>
      <c r="B503" s="31" t="str">
        <f>ARQUITECTURA!A40</f>
        <v>03.06.02</v>
      </c>
      <c r="C503" s="2" t="s">
        <v>824</v>
      </c>
      <c r="D503" s="2"/>
    </row>
    <row r="504" spans="1:10">
      <c r="A504" s="2" t="s">
        <v>278</v>
      </c>
      <c r="B504" s="2" t="s">
        <v>279</v>
      </c>
      <c r="C504" s="4" t="s">
        <v>280</v>
      </c>
      <c r="D504" s="5">
        <v>55</v>
      </c>
      <c r="E504" s="4" t="s">
        <v>281</v>
      </c>
      <c r="F504" s="5">
        <f>D504</f>
        <v>55</v>
      </c>
      <c r="G504" s="2" t="s">
        <v>282</v>
      </c>
      <c r="I504" s="4" t="s">
        <v>133</v>
      </c>
      <c r="J504" s="6">
        <f>J510+J518+J522</f>
        <v>15.956285454545455</v>
      </c>
    </row>
    <row r="505" spans="1:10">
      <c r="A505" s="2" t="s">
        <v>283</v>
      </c>
      <c r="B505" s="2" t="s">
        <v>284</v>
      </c>
      <c r="F505" s="4" t="s">
        <v>122</v>
      </c>
      <c r="G505" s="4" t="s">
        <v>285</v>
      </c>
      <c r="H505" s="4" t="s">
        <v>286</v>
      </c>
      <c r="I505" s="4" t="s">
        <v>287</v>
      </c>
      <c r="J505" s="4" t="s">
        <v>288</v>
      </c>
    </row>
    <row r="506" spans="1:10">
      <c r="B506" s="7" t="s">
        <v>289</v>
      </c>
    </row>
    <row r="507" spans="1:10">
      <c r="B507" t="s">
        <v>650</v>
      </c>
      <c r="F507" s="8" t="s">
        <v>291</v>
      </c>
      <c r="G507" s="9">
        <v>0.1</v>
      </c>
      <c r="H507" s="10">
        <f>G507*8/$D$504</f>
        <v>1.4545454545454545E-2</v>
      </c>
      <c r="I507" s="12">
        <v>34.729999999999997</v>
      </c>
      <c r="J507" s="12">
        <f>H507*I507</f>
        <v>0.50516363636363637</v>
      </c>
    </row>
    <row r="508" spans="1:10">
      <c r="B508" t="s">
        <v>290</v>
      </c>
      <c r="F508" s="8" t="s">
        <v>291</v>
      </c>
      <c r="G508" s="9">
        <v>1</v>
      </c>
      <c r="H508" s="10">
        <f>G508*8/$D$504</f>
        <v>0.14545454545454545</v>
      </c>
      <c r="I508" s="12">
        <v>28.94</v>
      </c>
      <c r="J508" s="12">
        <f>H508*I508</f>
        <v>4.2094545454545456</v>
      </c>
    </row>
    <row r="509" spans="1:10">
      <c r="B509" t="s">
        <v>293</v>
      </c>
      <c r="F509" s="8" t="s">
        <v>291</v>
      </c>
      <c r="G509" s="9">
        <v>1</v>
      </c>
      <c r="H509" s="10">
        <f>G509*8/$D$504</f>
        <v>0.14545454545454545</v>
      </c>
      <c r="I509">
        <v>20.51</v>
      </c>
      <c r="J509" s="12">
        <f>H509*I509</f>
        <v>2.9832727272727273</v>
      </c>
    </row>
    <row r="510" spans="1:10">
      <c r="F510" s="8"/>
      <c r="G510" s="9"/>
      <c r="H510" s="10"/>
      <c r="J510" s="6">
        <f>SUM(J507:J509)</f>
        <v>7.6978909090909085</v>
      </c>
    </row>
    <row r="511" spans="1:10">
      <c r="B511" s="7" t="s">
        <v>653</v>
      </c>
      <c r="F511" s="8"/>
      <c r="G511" s="9"/>
      <c r="H511" s="12"/>
      <c r="J511" s="12"/>
    </row>
    <row r="512" spans="1:10">
      <c r="B512" t="s">
        <v>949</v>
      </c>
      <c r="F512" s="8" t="s">
        <v>149</v>
      </c>
      <c r="H512" s="12">
        <v>0.2</v>
      </c>
      <c r="I512" s="12">
        <v>0.85</v>
      </c>
      <c r="J512" s="12">
        <f>H512*I512</f>
        <v>0.17</v>
      </c>
    </row>
    <row r="513" spans="1:10">
      <c r="B513" t="s">
        <v>954</v>
      </c>
      <c r="F513" s="8" t="s">
        <v>439</v>
      </c>
      <c r="H513" s="12">
        <v>0.05</v>
      </c>
      <c r="I513" s="12">
        <v>56.9</v>
      </c>
      <c r="J513" s="12">
        <f>H513*I513</f>
        <v>2.8450000000000002</v>
      </c>
    </row>
    <row r="514" spans="1:10">
      <c r="B514" t="s">
        <v>955</v>
      </c>
      <c r="F514" s="8" t="s">
        <v>439</v>
      </c>
      <c r="H514" s="12">
        <v>6.6000000000000008E-3</v>
      </c>
      <c r="I514" s="12">
        <v>12.5</v>
      </c>
      <c r="J514" s="12">
        <f>H514*I514</f>
        <v>8.2500000000000004E-2</v>
      </c>
    </row>
    <row r="515" spans="1:10">
      <c r="B515" t="s">
        <v>905</v>
      </c>
      <c r="F515" s="8" t="s">
        <v>330</v>
      </c>
      <c r="H515" s="12">
        <v>5.0000000000000001E-3</v>
      </c>
      <c r="I515" s="12">
        <v>30</v>
      </c>
      <c r="J515" s="12">
        <f>H515*I515</f>
        <v>0.15</v>
      </c>
    </row>
    <row r="516" spans="1:10">
      <c r="B516" t="s">
        <v>956</v>
      </c>
      <c r="F516" s="8" t="s">
        <v>439</v>
      </c>
      <c r="H516" s="12">
        <v>0.04</v>
      </c>
      <c r="I516" s="12">
        <v>25.5</v>
      </c>
      <c r="J516" s="12">
        <f>H516*I516</f>
        <v>1.02</v>
      </c>
    </row>
    <row r="517" spans="1:10">
      <c r="B517" t="s">
        <v>957</v>
      </c>
      <c r="F517" s="8" t="s">
        <v>439</v>
      </c>
      <c r="H517" s="12">
        <v>5.9000000000000004E-2</v>
      </c>
      <c r="I517" s="12">
        <v>34</v>
      </c>
      <c r="J517" s="12">
        <f>H517*I517</f>
        <v>2.0060000000000002</v>
      </c>
    </row>
    <row r="518" spans="1:10">
      <c r="F518" s="8"/>
      <c r="H518" s="12"/>
      <c r="I518" s="12"/>
      <c r="J518" s="6">
        <f>SUM(J512:J517)</f>
        <v>6.2735000000000003</v>
      </c>
    </row>
    <row r="519" spans="1:10">
      <c r="B519" s="7" t="s">
        <v>309</v>
      </c>
    </row>
    <row r="520" spans="1:10">
      <c r="B520" t="s">
        <v>310</v>
      </c>
      <c r="F520" s="8" t="s">
        <v>311</v>
      </c>
      <c r="H520" s="10">
        <v>5</v>
      </c>
      <c r="I520" s="12">
        <f>J510</f>
        <v>7.6978909090909085</v>
      </c>
      <c r="J520" s="12">
        <f>H520%*I520</f>
        <v>0.38489454545454543</v>
      </c>
    </row>
    <row r="521" spans="1:10">
      <c r="B521" t="s">
        <v>929</v>
      </c>
      <c r="C521" s="52"/>
      <c r="D521" s="52"/>
      <c r="E521" s="52"/>
      <c r="F521" s="8" t="s">
        <v>337</v>
      </c>
      <c r="G521" s="9">
        <v>2</v>
      </c>
      <c r="H521" s="10">
        <f>G521*8/$D$504</f>
        <v>0.29090909090909089</v>
      </c>
      <c r="I521" s="12">
        <v>5.5</v>
      </c>
      <c r="J521" s="12">
        <f>H521*I521</f>
        <v>1.5999999999999999</v>
      </c>
    </row>
    <row r="522" spans="1:10">
      <c r="A522" s="14"/>
      <c r="B522" s="14"/>
      <c r="C522" s="14"/>
      <c r="D522" s="14"/>
      <c r="E522" s="14"/>
      <c r="F522" s="14"/>
      <c r="G522" s="14"/>
      <c r="H522" s="14"/>
      <c r="I522" s="15"/>
      <c r="J522" s="16">
        <f>SUM(J520:J521)</f>
        <v>1.9848945454545452</v>
      </c>
    </row>
    <row r="524" spans="1:10">
      <c r="A524" s="2" t="s">
        <v>277</v>
      </c>
      <c r="B524" s="31" t="str">
        <f>ARQUITECTURA!A44</f>
        <v>03.07.01.01</v>
      </c>
      <c r="C524" s="2" t="s">
        <v>827</v>
      </c>
      <c r="D524" s="2"/>
      <c r="E524" s="2"/>
      <c r="F524" s="2"/>
      <c r="G524" s="2"/>
      <c r="H524" s="2"/>
      <c r="I524" s="2"/>
    </row>
    <row r="525" spans="1:10">
      <c r="A525" s="2" t="s">
        <v>278</v>
      </c>
      <c r="B525" s="2" t="s">
        <v>279</v>
      </c>
      <c r="C525" s="4" t="s">
        <v>280</v>
      </c>
      <c r="D525" s="5">
        <v>100</v>
      </c>
      <c r="E525" s="4" t="s">
        <v>281</v>
      </c>
      <c r="F525" s="5">
        <f>D525</f>
        <v>100</v>
      </c>
      <c r="G525" s="2" t="s">
        <v>282</v>
      </c>
      <c r="I525" s="4" t="s">
        <v>133</v>
      </c>
      <c r="J525" s="6">
        <f>J531+J535+J538</f>
        <v>13.478588693356565</v>
      </c>
    </row>
    <row r="526" spans="1:10">
      <c r="A526" s="2" t="s">
        <v>283</v>
      </c>
      <c r="B526" s="2" t="s">
        <v>284</v>
      </c>
      <c r="F526" s="4" t="s">
        <v>122</v>
      </c>
      <c r="G526" s="4" t="s">
        <v>285</v>
      </c>
      <c r="H526" s="4" t="s">
        <v>286</v>
      </c>
      <c r="I526" s="4" t="s">
        <v>287</v>
      </c>
      <c r="J526" s="4" t="s">
        <v>288</v>
      </c>
    </row>
    <row r="527" spans="1:10">
      <c r="B527" s="7" t="s">
        <v>289</v>
      </c>
    </row>
    <row r="528" spans="1:10">
      <c r="B528" t="s">
        <v>650</v>
      </c>
      <c r="F528" s="8" t="s">
        <v>291</v>
      </c>
      <c r="G528" s="9">
        <v>0.1</v>
      </c>
      <c r="H528" s="10">
        <f>G528*8/$D$525</f>
        <v>8.0000000000000002E-3</v>
      </c>
      <c r="I528" s="12">
        <v>34.729999999999997</v>
      </c>
      <c r="J528" s="12">
        <f>H528*I528</f>
        <v>0.27783999999999998</v>
      </c>
    </row>
    <row r="529" spans="1:13">
      <c r="B529" t="s">
        <v>679</v>
      </c>
      <c r="F529" s="8" t="s">
        <v>291</v>
      </c>
      <c r="G529" s="9">
        <v>1</v>
      </c>
      <c r="H529" s="10">
        <f>G529*8/$D$525</f>
        <v>0.08</v>
      </c>
      <c r="I529" s="12">
        <v>22.66</v>
      </c>
      <c r="J529" s="12">
        <f>H529*I529</f>
        <v>1.8128</v>
      </c>
    </row>
    <row r="530" spans="1:13">
      <c r="B530" t="s">
        <v>293</v>
      </c>
      <c r="F530" s="8" t="s">
        <v>291</v>
      </c>
      <c r="G530" s="9">
        <v>1</v>
      </c>
      <c r="H530" s="10">
        <f>G530*8/$D$525</f>
        <v>0.08</v>
      </c>
      <c r="I530" s="12">
        <v>20.51</v>
      </c>
      <c r="J530" s="12">
        <f>H530*I530</f>
        <v>1.6408000000000003</v>
      </c>
    </row>
    <row r="531" spans="1:13">
      <c r="F531" s="8"/>
      <c r="J531" s="6">
        <f>SUM(J528:J530)</f>
        <v>3.7314400000000001</v>
      </c>
    </row>
    <row r="532" spans="1:13">
      <c r="B532" s="7" t="s">
        <v>294</v>
      </c>
      <c r="F532" s="8"/>
    </row>
    <row r="533" spans="1:13">
      <c r="B533" t="s">
        <v>655</v>
      </c>
      <c r="F533" s="8" t="s">
        <v>203</v>
      </c>
      <c r="H533" s="10">
        <v>3.3000000000000002E-2</v>
      </c>
      <c r="I533" s="12">
        <v>6.14</v>
      </c>
      <c r="J533" s="12">
        <f>H533*I533</f>
        <v>0.20261999999999999</v>
      </c>
    </row>
    <row r="534" spans="1:13">
      <c r="B534" t="s">
        <v>958</v>
      </c>
      <c r="F534" s="8" t="s">
        <v>203</v>
      </c>
      <c r="H534" s="10">
        <v>0.15</v>
      </c>
      <c r="I534" s="12">
        <v>62.883903289043772</v>
      </c>
      <c r="J534" s="12">
        <f>H534*I534</f>
        <v>9.4325854933565658</v>
      </c>
    </row>
    <row r="535" spans="1:13">
      <c r="F535" s="8"/>
      <c r="J535" s="6">
        <f>SUM(J533:J534)</f>
        <v>9.6352054933565654</v>
      </c>
    </row>
    <row r="536" spans="1:13">
      <c r="B536" s="7" t="s">
        <v>317</v>
      </c>
      <c r="F536" s="8"/>
      <c r="G536" s="9"/>
    </row>
    <row r="537" spans="1:13">
      <c r="B537" t="s">
        <v>310</v>
      </c>
      <c r="F537" s="8" t="s">
        <v>311</v>
      </c>
      <c r="G537" s="9"/>
      <c r="H537" s="10">
        <v>3</v>
      </c>
      <c r="I537" s="12">
        <f>J531</f>
        <v>3.7314400000000001</v>
      </c>
      <c r="J537" s="12">
        <f>H537%*I537</f>
        <v>0.11194319999999999</v>
      </c>
    </row>
    <row r="538" spans="1:13">
      <c r="A538" s="14"/>
      <c r="B538" s="14"/>
      <c r="C538" s="14"/>
      <c r="D538" s="14"/>
      <c r="E538" s="14"/>
      <c r="F538" s="14"/>
      <c r="G538" s="14"/>
      <c r="H538" s="14"/>
      <c r="I538" s="14"/>
      <c r="J538" s="16">
        <f>SUM(J537)</f>
        <v>0.11194319999999999</v>
      </c>
    </row>
    <row r="539" spans="1:13">
      <c r="F539" s="8"/>
      <c r="G539" s="9"/>
      <c r="H539" s="10"/>
      <c r="I539" s="12"/>
      <c r="J539" s="12"/>
    </row>
    <row r="540" spans="1:13">
      <c r="A540" s="2" t="s">
        <v>277</v>
      </c>
      <c r="B540" s="31" t="str">
        <f>ARQUITECTURA!A45</f>
        <v>03.07.01.02</v>
      </c>
      <c r="C540" s="2" t="s">
        <v>829</v>
      </c>
      <c r="D540" s="2"/>
      <c r="E540" s="2"/>
      <c r="F540" s="2"/>
      <c r="G540" s="2"/>
      <c r="H540" s="2"/>
      <c r="I540" s="2"/>
    </row>
    <row r="541" spans="1:13">
      <c r="A541" s="2" t="s">
        <v>278</v>
      </c>
      <c r="B541" s="2" t="s">
        <v>279</v>
      </c>
      <c r="C541" s="4" t="s">
        <v>280</v>
      </c>
      <c r="D541" s="5">
        <v>20</v>
      </c>
      <c r="E541" s="4" t="s">
        <v>281</v>
      </c>
      <c r="F541" s="5">
        <f>D541</f>
        <v>20</v>
      </c>
      <c r="G541" s="2" t="s">
        <v>282</v>
      </c>
      <c r="I541" s="4" t="s">
        <v>133</v>
      </c>
      <c r="J541" s="6">
        <f>J547+J552+J555</f>
        <v>73.852121493356563</v>
      </c>
    </row>
    <row r="542" spans="1:13">
      <c r="A542" s="2" t="s">
        <v>283</v>
      </c>
      <c r="B542" s="2" t="s">
        <v>284</v>
      </c>
      <c r="F542" s="4" t="s">
        <v>122</v>
      </c>
      <c r="G542" s="4" t="s">
        <v>285</v>
      </c>
      <c r="H542" s="4" t="s">
        <v>286</v>
      </c>
      <c r="I542" s="4" t="s">
        <v>287</v>
      </c>
      <c r="J542" s="4" t="s">
        <v>288</v>
      </c>
    </row>
    <row r="543" spans="1:13">
      <c r="B543" s="7" t="s">
        <v>289</v>
      </c>
      <c r="M543" s="31" t="str">
        <f>ARQUITECTURA!B36</f>
        <v>PARASOLES</v>
      </c>
    </row>
    <row r="544" spans="1:13">
      <c r="B544" t="s">
        <v>650</v>
      </c>
      <c r="F544" s="8" t="s">
        <v>291</v>
      </c>
      <c r="G544" s="9">
        <v>0.1</v>
      </c>
      <c r="H544" s="10">
        <f>G544*8/$D$541</f>
        <v>0.04</v>
      </c>
      <c r="I544" s="12">
        <v>34.729999999999997</v>
      </c>
      <c r="J544" s="12">
        <f>H544*I544</f>
        <v>1.3892</v>
      </c>
      <c r="M544" s="31" t="str">
        <f>ARQUITECTURA!B37</f>
        <v>PERSIANA METALICA</v>
      </c>
    </row>
    <row r="545" spans="1:13">
      <c r="B545" t="s">
        <v>679</v>
      </c>
      <c r="F545" s="8" t="s">
        <v>291</v>
      </c>
      <c r="G545" s="9">
        <v>1</v>
      </c>
      <c r="H545" s="10">
        <f>G545*8/$D$541</f>
        <v>0.4</v>
      </c>
      <c r="I545" s="12">
        <v>22.66</v>
      </c>
      <c r="J545" s="12">
        <f>H545*I545</f>
        <v>9.0640000000000001</v>
      </c>
      <c r="L545" s="31"/>
      <c r="M545" s="31"/>
    </row>
    <row r="546" spans="1:13">
      <c r="B546" t="s">
        <v>293</v>
      </c>
      <c r="F546" s="8" t="s">
        <v>291</v>
      </c>
      <c r="G546" s="9">
        <v>1</v>
      </c>
      <c r="H546" s="10">
        <f>G546*8/$D$541</f>
        <v>0.4</v>
      </c>
      <c r="I546" s="12">
        <v>20.51</v>
      </c>
      <c r="J546" s="12">
        <f>H546*I546</f>
        <v>8.2040000000000006</v>
      </c>
      <c r="M546" s="31"/>
    </row>
    <row r="547" spans="1:13">
      <c r="F547" s="8"/>
      <c r="J547" s="6">
        <f>SUM(J544:J546)</f>
        <v>18.657200000000003</v>
      </c>
      <c r="M547" s="31"/>
    </row>
    <row r="548" spans="1:13">
      <c r="B548" s="7" t="s">
        <v>294</v>
      </c>
      <c r="F548" s="8"/>
      <c r="L548" s="31"/>
      <c r="M548" s="31"/>
    </row>
    <row r="549" spans="1:13">
      <c r="B549" t="s">
        <v>655</v>
      </c>
      <c r="F549" s="8" t="s">
        <v>203</v>
      </c>
      <c r="H549" s="10">
        <v>3.3000000000000002E-2</v>
      </c>
      <c r="I549" s="12">
        <v>6.14</v>
      </c>
      <c r="J549" s="12">
        <f>H549*I549</f>
        <v>0.20261999999999999</v>
      </c>
      <c r="L549" s="31"/>
      <c r="M549" s="31"/>
    </row>
    <row r="550" spans="1:13">
      <c r="B550" t="s">
        <v>958</v>
      </c>
      <c r="F550" s="8" t="s">
        <v>203</v>
      </c>
      <c r="H550" s="10">
        <v>0.15</v>
      </c>
      <c r="I550" s="12">
        <v>62.883903289043772</v>
      </c>
      <c r="J550" s="12">
        <f>H550*I550</f>
        <v>9.4325854933565658</v>
      </c>
      <c r="M550" s="31"/>
    </row>
    <row r="551" spans="1:13">
      <c r="B551" t="s">
        <v>959</v>
      </c>
      <c r="F551" s="8" t="s">
        <v>149</v>
      </c>
      <c r="H551" s="10">
        <v>1</v>
      </c>
      <c r="I551" s="12">
        <v>45</v>
      </c>
      <c r="J551" s="12">
        <f>H551*I551</f>
        <v>45</v>
      </c>
      <c r="M551" s="31"/>
    </row>
    <row r="552" spans="1:13">
      <c r="F552" s="8"/>
      <c r="J552" s="6">
        <f>SUM(J549:J551)</f>
        <v>54.635205493356565</v>
      </c>
      <c r="L552" s="31"/>
      <c r="M552" s="31"/>
    </row>
    <row r="553" spans="1:13">
      <c r="B553" s="7" t="s">
        <v>317</v>
      </c>
      <c r="F553" s="8"/>
      <c r="G553" s="9"/>
      <c r="M553" s="31"/>
    </row>
    <row r="554" spans="1:13">
      <c r="B554" t="s">
        <v>310</v>
      </c>
      <c r="F554" s="8" t="s">
        <v>311</v>
      </c>
      <c r="G554" s="9"/>
      <c r="H554" s="10">
        <v>3</v>
      </c>
      <c r="I554" s="12">
        <f>J547</f>
        <v>18.657200000000003</v>
      </c>
      <c r="J554" s="12">
        <f>H554%*I554</f>
        <v>0.5597160000000001</v>
      </c>
    </row>
    <row r="555" spans="1:13">
      <c r="A555" s="14"/>
      <c r="B555" s="14"/>
      <c r="C555" s="14"/>
      <c r="D555" s="14"/>
      <c r="E555" s="14"/>
      <c r="F555" s="14"/>
      <c r="G555" s="14"/>
      <c r="H555" s="14"/>
      <c r="I555" s="14"/>
      <c r="J555" s="16">
        <f>SUM(J554)</f>
        <v>0.5597160000000001</v>
      </c>
    </row>
    <row r="557" spans="1:13">
      <c r="A557" s="2" t="s">
        <v>277</v>
      </c>
      <c r="B557" s="31" t="str">
        <f>ARQUITECTURA!A46</f>
        <v>03.07.01.03</v>
      </c>
      <c r="C557" s="2" t="s">
        <v>831</v>
      </c>
      <c r="E557" s="2"/>
      <c r="F557" s="2"/>
      <c r="G557" s="2"/>
      <c r="H557" s="2"/>
      <c r="I557" s="2"/>
    </row>
    <row r="558" spans="1:13">
      <c r="A558" s="2" t="s">
        <v>278</v>
      </c>
      <c r="B558" s="2" t="s">
        <v>279</v>
      </c>
      <c r="C558" s="4" t="s">
        <v>280</v>
      </c>
      <c r="D558" s="5">
        <v>20</v>
      </c>
      <c r="E558" s="4" t="s">
        <v>281</v>
      </c>
      <c r="F558" s="5">
        <f>D558</f>
        <v>20</v>
      </c>
      <c r="G558" s="2" t="s">
        <v>282</v>
      </c>
      <c r="I558" s="4" t="s">
        <v>133</v>
      </c>
      <c r="J558" s="6">
        <f>J564+J569+J572</f>
        <v>118.74774149335656</v>
      </c>
    </row>
    <row r="559" spans="1:13">
      <c r="A559" s="2" t="s">
        <v>283</v>
      </c>
      <c r="B559" s="2" t="s">
        <v>284</v>
      </c>
      <c r="F559" s="4" t="s">
        <v>122</v>
      </c>
      <c r="G559" s="4" t="s">
        <v>285</v>
      </c>
      <c r="H559" s="4" t="s">
        <v>286</v>
      </c>
      <c r="I559" s="4" t="s">
        <v>287</v>
      </c>
      <c r="J559" s="4" t="s">
        <v>288</v>
      </c>
    </row>
    <row r="560" spans="1:13">
      <c r="B560" s="7" t="s">
        <v>289</v>
      </c>
    </row>
    <row r="561" spans="1:10">
      <c r="B561" t="s">
        <v>650</v>
      </c>
      <c r="F561" s="8" t="s">
        <v>291</v>
      </c>
      <c r="G561" s="9">
        <v>0.1</v>
      </c>
      <c r="H561" s="10">
        <f>G561*8/$D$558</f>
        <v>0.04</v>
      </c>
      <c r="I561" s="12">
        <v>34.729999999999997</v>
      </c>
      <c r="J561" s="12">
        <f>H561*I561</f>
        <v>1.3892</v>
      </c>
    </row>
    <row r="562" spans="1:10">
      <c r="B562" t="s">
        <v>679</v>
      </c>
      <c r="F562" s="8" t="s">
        <v>291</v>
      </c>
      <c r="G562" s="9">
        <v>1</v>
      </c>
      <c r="H562" s="10">
        <f>G562*8/$D$558</f>
        <v>0.4</v>
      </c>
      <c r="I562" s="12">
        <v>22.66</v>
      </c>
      <c r="J562" s="12">
        <f>H562*I562</f>
        <v>9.0640000000000001</v>
      </c>
    </row>
    <row r="563" spans="1:10">
      <c r="B563" t="s">
        <v>293</v>
      </c>
      <c r="F563" s="8" t="s">
        <v>291</v>
      </c>
      <c r="G563" s="9">
        <v>1</v>
      </c>
      <c r="H563" s="10">
        <f>G563*8/$D$558</f>
        <v>0.4</v>
      </c>
      <c r="I563" s="12">
        <v>20.51</v>
      </c>
      <c r="J563" s="12">
        <f>H563*I563</f>
        <v>8.2040000000000006</v>
      </c>
    </row>
    <row r="564" spans="1:10">
      <c r="F564" s="8"/>
      <c r="J564" s="6">
        <f>SUM(J561:J563)</f>
        <v>18.657200000000003</v>
      </c>
    </row>
    <row r="565" spans="1:10">
      <c r="B565" s="7" t="s">
        <v>294</v>
      </c>
      <c r="F565" s="8"/>
    </row>
    <row r="566" spans="1:10">
      <c r="B566" t="s">
        <v>655</v>
      </c>
      <c r="F566" s="8" t="s">
        <v>203</v>
      </c>
      <c r="H566" s="10">
        <v>1.6E-2</v>
      </c>
      <c r="I566" s="12">
        <v>6.14</v>
      </c>
      <c r="J566" s="12">
        <f>H566*I566</f>
        <v>9.8239999999999994E-2</v>
      </c>
    </row>
    <row r="567" spans="1:10">
      <c r="B567" t="s">
        <v>958</v>
      </c>
      <c r="F567" s="8" t="s">
        <v>203</v>
      </c>
      <c r="H567" s="10">
        <v>0.15</v>
      </c>
      <c r="I567" s="12">
        <v>62.883903289043772</v>
      </c>
      <c r="J567" s="12">
        <f>H567*I567</f>
        <v>9.4325854933565658</v>
      </c>
    </row>
    <row r="568" spans="1:10">
      <c r="B568" t="s">
        <v>960</v>
      </c>
      <c r="F568" s="8" t="s">
        <v>149</v>
      </c>
      <c r="H568" s="10">
        <v>1</v>
      </c>
      <c r="I568" s="12">
        <v>90</v>
      </c>
      <c r="J568" s="12">
        <f>H568*I568</f>
        <v>90</v>
      </c>
    </row>
    <row r="569" spans="1:10">
      <c r="F569" s="8"/>
      <c r="J569" s="6">
        <f>SUM(J566:J568)</f>
        <v>99.530825493356559</v>
      </c>
    </row>
    <row r="570" spans="1:10">
      <c r="B570" s="7" t="s">
        <v>317</v>
      </c>
      <c r="F570" s="8"/>
      <c r="G570" s="9"/>
    </row>
    <row r="571" spans="1:10">
      <c r="B571" t="s">
        <v>310</v>
      </c>
      <c r="F571" s="8" t="s">
        <v>311</v>
      </c>
      <c r="G571" s="9"/>
      <c r="H571" s="10">
        <v>3</v>
      </c>
      <c r="I571" s="12">
        <f>J564</f>
        <v>18.657200000000003</v>
      </c>
      <c r="J571" s="12">
        <f>H571%*I571</f>
        <v>0.5597160000000001</v>
      </c>
    </row>
    <row r="572" spans="1:10">
      <c r="A572" s="14"/>
      <c r="B572" s="14"/>
      <c r="C572" s="14"/>
      <c r="D572" s="14"/>
      <c r="E572" s="14"/>
      <c r="F572" s="14"/>
      <c r="G572" s="14"/>
      <c r="H572" s="14"/>
      <c r="I572" s="14"/>
      <c r="J572" s="16">
        <f>SUM(J571)</f>
        <v>0.5597160000000001</v>
      </c>
    </row>
    <row r="574" spans="1:10">
      <c r="A574" s="2" t="s">
        <v>277</v>
      </c>
      <c r="B574" s="31" t="str">
        <f>ARQUITECTURA!A48</f>
        <v>03.07.02.01</v>
      </c>
      <c r="C574" s="2" t="s">
        <v>834</v>
      </c>
      <c r="D574" s="2"/>
      <c r="E574" s="2"/>
      <c r="F574" s="2"/>
      <c r="G574" s="2"/>
      <c r="H574" s="2"/>
      <c r="I574" s="2"/>
    </row>
    <row r="575" spans="1:10">
      <c r="A575" s="2" t="s">
        <v>278</v>
      </c>
      <c r="B575" s="2" t="s">
        <v>279</v>
      </c>
      <c r="C575" s="4" t="s">
        <v>280</v>
      </c>
      <c r="D575" s="5">
        <v>10</v>
      </c>
      <c r="E575" s="4" t="s">
        <v>281</v>
      </c>
      <c r="F575" s="5">
        <f>D575</f>
        <v>10</v>
      </c>
      <c r="G575" s="2" t="s">
        <v>282</v>
      </c>
      <c r="I575" s="4" t="s">
        <v>133</v>
      </c>
      <c r="J575" s="6">
        <f>J581+J585+J588</f>
        <v>51.058431999999996</v>
      </c>
    </row>
    <row r="576" spans="1:10">
      <c r="A576" s="2" t="s">
        <v>283</v>
      </c>
      <c r="B576" s="2" t="s">
        <v>284</v>
      </c>
      <c r="F576" s="4" t="s">
        <v>122</v>
      </c>
      <c r="G576" s="4" t="s">
        <v>285</v>
      </c>
      <c r="H576" s="4" t="s">
        <v>286</v>
      </c>
      <c r="I576" s="4" t="s">
        <v>287</v>
      </c>
      <c r="J576" s="4" t="s">
        <v>288</v>
      </c>
    </row>
    <row r="577" spans="1:10">
      <c r="B577" s="7" t="s">
        <v>289</v>
      </c>
    </row>
    <row r="578" spans="1:10">
      <c r="B578" t="s">
        <v>650</v>
      </c>
      <c r="F578" s="8" t="s">
        <v>291</v>
      </c>
      <c r="G578" s="9">
        <v>0.1</v>
      </c>
      <c r="H578" s="10">
        <f>G578*8/$D$575</f>
        <v>0.08</v>
      </c>
      <c r="I578" s="12">
        <v>34.729999999999997</v>
      </c>
      <c r="J578" s="12">
        <f>H578*I578</f>
        <v>2.7784</v>
      </c>
    </row>
    <row r="579" spans="1:10">
      <c r="B579" t="s">
        <v>290</v>
      </c>
      <c r="F579" s="8" t="s">
        <v>291</v>
      </c>
      <c r="G579" s="9">
        <v>1</v>
      </c>
      <c r="H579" s="10">
        <f>G579*8/$D$575</f>
        <v>0.8</v>
      </c>
      <c r="I579" s="12">
        <v>28.94</v>
      </c>
      <c r="J579" s="12">
        <f>H579*I579</f>
        <v>23.152000000000001</v>
      </c>
    </row>
    <row r="580" spans="1:10">
      <c r="B580" t="s">
        <v>293</v>
      </c>
      <c r="F580" s="8" t="s">
        <v>291</v>
      </c>
      <c r="G580" s="9">
        <v>0.5</v>
      </c>
      <c r="H580" s="10">
        <f>G580*8/$D$575</f>
        <v>0.4</v>
      </c>
      <c r="I580" s="12">
        <v>20.51</v>
      </c>
      <c r="J580" s="12">
        <f>H580*I580</f>
        <v>8.2040000000000006</v>
      </c>
    </row>
    <row r="581" spans="1:10">
      <c r="J581" s="6">
        <f>SUM(J578:J580)</f>
        <v>34.134399999999999</v>
      </c>
    </row>
    <row r="582" spans="1:10">
      <c r="B582" s="7" t="s">
        <v>294</v>
      </c>
      <c r="F582" s="8"/>
    </row>
    <row r="583" spans="1:10">
      <c r="B583" t="s">
        <v>961</v>
      </c>
      <c r="F583" s="8" t="s">
        <v>439</v>
      </c>
      <c r="H583" s="10">
        <v>0.05</v>
      </c>
      <c r="I583" s="12">
        <v>18</v>
      </c>
      <c r="J583" s="12">
        <f>H583*I583</f>
        <v>0.9</v>
      </c>
    </row>
    <row r="584" spans="1:10">
      <c r="B584" t="s">
        <v>962</v>
      </c>
      <c r="F584" s="8" t="s">
        <v>439</v>
      </c>
      <c r="H584" s="10">
        <v>0.1</v>
      </c>
      <c r="I584" s="12">
        <v>150</v>
      </c>
      <c r="J584" s="12">
        <f>H584*I584</f>
        <v>15</v>
      </c>
    </row>
    <row r="585" spans="1:10">
      <c r="J585" s="6">
        <f>SUM(J583:J584)</f>
        <v>15.9</v>
      </c>
    </row>
    <row r="586" spans="1:10">
      <c r="B586" s="7" t="s">
        <v>317</v>
      </c>
    </row>
    <row r="587" spans="1:10">
      <c r="B587" t="s">
        <v>310</v>
      </c>
      <c r="F587" s="8" t="s">
        <v>311</v>
      </c>
      <c r="H587" s="10">
        <v>3</v>
      </c>
      <c r="I587" s="12">
        <f>J581</f>
        <v>34.134399999999999</v>
      </c>
      <c r="J587" s="12">
        <f>H587%*I587</f>
        <v>1.0240320000000001</v>
      </c>
    </row>
    <row r="588" spans="1:10">
      <c r="A588" s="14"/>
      <c r="B588" s="14"/>
      <c r="C588" s="14"/>
      <c r="D588" s="14"/>
      <c r="E588" s="14"/>
      <c r="F588" s="14"/>
      <c r="G588" s="14"/>
      <c r="H588" s="14"/>
      <c r="I588" s="14"/>
      <c r="J588" s="16">
        <f>SUM(J587)</f>
        <v>1.0240320000000001</v>
      </c>
    </row>
    <row r="590" spans="1:10">
      <c r="A590" s="2" t="s">
        <v>277</v>
      </c>
      <c r="B590" s="31" t="str">
        <f>ARQUITECTURA!A50</f>
        <v>03.07.03.01</v>
      </c>
      <c r="C590" s="2" t="s">
        <v>963</v>
      </c>
      <c r="D590" s="2"/>
      <c r="E590" s="2"/>
      <c r="F590" s="2"/>
      <c r="G590" s="2"/>
      <c r="H590" s="2"/>
      <c r="I590" s="2"/>
    </row>
    <row r="591" spans="1:10">
      <c r="A591" s="2" t="s">
        <v>278</v>
      </c>
      <c r="B591" s="2" t="s">
        <v>279</v>
      </c>
      <c r="C591" s="4" t="s">
        <v>280</v>
      </c>
      <c r="D591" s="5">
        <v>10</v>
      </c>
      <c r="E591" s="4" t="s">
        <v>281</v>
      </c>
      <c r="F591" s="5">
        <f>D591</f>
        <v>10</v>
      </c>
      <c r="G591" s="2" t="s">
        <v>282</v>
      </c>
      <c r="I591" s="4" t="s">
        <v>133</v>
      </c>
      <c r="J591" s="6">
        <f>J597+J601+J604</f>
        <v>51.058431999999996</v>
      </c>
    </row>
    <row r="592" spans="1:10">
      <c r="A592" s="2" t="s">
        <v>283</v>
      </c>
      <c r="B592" s="2" t="s">
        <v>284</v>
      </c>
      <c r="F592" s="4" t="s">
        <v>122</v>
      </c>
      <c r="G592" s="4" t="s">
        <v>285</v>
      </c>
      <c r="H592" s="4" t="s">
        <v>286</v>
      </c>
      <c r="I592" s="4" t="s">
        <v>287</v>
      </c>
      <c r="J592" s="4" t="s">
        <v>288</v>
      </c>
    </row>
    <row r="593" spans="1:10">
      <c r="B593" s="7" t="s">
        <v>289</v>
      </c>
    </row>
    <row r="594" spans="1:10">
      <c r="B594" t="s">
        <v>650</v>
      </c>
      <c r="F594" s="8" t="s">
        <v>291</v>
      </c>
      <c r="G594" s="9">
        <v>0.1</v>
      </c>
      <c r="H594" s="10">
        <f>G594*8/$D$591</f>
        <v>0.08</v>
      </c>
      <c r="I594" s="12">
        <v>34.729999999999997</v>
      </c>
      <c r="J594" s="12">
        <f>H594*I594</f>
        <v>2.7784</v>
      </c>
    </row>
    <row r="595" spans="1:10">
      <c r="B595" t="s">
        <v>290</v>
      </c>
      <c r="F595" s="8" t="s">
        <v>291</v>
      </c>
      <c r="G595" s="9">
        <v>1</v>
      </c>
      <c r="H595" s="10">
        <f>G595*8/$D$591</f>
        <v>0.8</v>
      </c>
      <c r="I595" s="12">
        <v>28.94</v>
      </c>
      <c r="J595" s="12">
        <f>H595*I595</f>
        <v>23.152000000000001</v>
      </c>
    </row>
    <row r="596" spans="1:10">
      <c r="B596" t="s">
        <v>293</v>
      </c>
      <c r="F596" s="8" t="s">
        <v>291</v>
      </c>
      <c r="G596" s="9">
        <v>0.5</v>
      </c>
      <c r="H596" s="10">
        <f>G596*8/$D$591</f>
        <v>0.4</v>
      </c>
      <c r="I596" s="12">
        <v>20.51</v>
      </c>
      <c r="J596" s="12">
        <f>H596*I596</f>
        <v>8.2040000000000006</v>
      </c>
    </row>
    <row r="597" spans="1:10">
      <c r="J597" s="6">
        <f>SUM(J594:J596)</f>
        <v>34.134399999999999</v>
      </c>
    </row>
    <row r="598" spans="1:10">
      <c r="B598" s="7" t="s">
        <v>294</v>
      </c>
      <c r="F598" s="8"/>
    </row>
    <row r="599" spans="1:10">
      <c r="B599" t="s">
        <v>961</v>
      </c>
      <c r="F599" s="8" t="s">
        <v>439</v>
      </c>
      <c r="H599" s="10">
        <v>0.05</v>
      </c>
      <c r="I599" s="12">
        <v>18</v>
      </c>
      <c r="J599" s="12">
        <f>H599*I599</f>
        <v>0.9</v>
      </c>
    </row>
    <row r="600" spans="1:10">
      <c r="B600" t="s">
        <v>962</v>
      </c>
      <c r="F600" s="8" t="s">
        <v>439</v>
      </c>
      <c r="H600" s="10">
        <v>0.1</v>
      </c>
      <c r="I600" s="12">
        <v>150</v>
      </c>
      <c r="J600" s="12">
        <f>H600*I600</f>
        <v>15</v>
      </c>
    </row>
    <row r="601" spans="1:10">
      <c r="J601" s="6">
        <f>SUM(J599:J600)</f>
        <v>15.9</v>
      </c>
    </row>
    <row r="602" spans="1:10">
      <c r="B602" s="7" t="s">
        <v>317</v>
      </c>
    </row>
    <row r="603" spans="1:10">
      <c r="B603" t="s">
        <v>310</v>
      </c>
      <c r="F603" s="8" t="s">
        <v>311</v>
      </c>
      <c r="H603" s="10">
        <v>3</v>
      </c>
      <c r="I603" s="12">
        <f>J597</f>
        <v>34.134399999999999</v>
      </c>
      <c r="J603" s="12">
        <f>H603%*I603</f>
        <v>1.0240320000000001</v>
      </c>
    </row>
    <row r="604" spans="1:10">
      <c r="A604" s="14"/>
      <c r="B604" s="14"/>
      <c r="C604" s="14"/>
      <c r="D604" s="14"/>
      <c r="E604" s="14"/>
      <c r="F604" s="14"/>
      <c r="G604" s="14"/>
      <c r="H604" s="14"/>
      <c r="I604" s="14"/>
      <c r="J604" s="16">
        <f>SUM(J603)</f>
        <v>1.0240320000000001</v>
      </c>
    </row>
    <row r="606" spans="1:10">
      <c r="A606" s="2" t="s">
        <v>964</v>
      </c>
      <c r="B606" s="31" t="str">
        <f>ARQUITECTURA!A52</f>
        <v>03.07.04.01</v>
      </c>
      <c r="C606" s="2" t="s">
        <v>841</v>
      </c>
      <c r="D606" s="2"/>
      <c r="E606" s="2"/>
      <c r="F606" s="2"/>
      <c r="G606" s="2"/>
      <c r="H606" s="2"/>
      <c r="I606" s="2"/>
    </row>
    <row r="607" spans="1:10">
      <c r="A607" s="2" t="s">
        <v>278</v>
      </c>
      <c r="B607" s="2" t="s">
        <v>279</v>
      </c>
      <c r="C607" s="4" t="s">
        <v>280</v>
      </c>
      <c r="D607" s="5">
        <v>20</v>
      </c>
      <c r="E607" s="4" t="s">
        <v>281</v>
      </c>
      <c r="F607" s="5">
        <f>D607</f>
        <v>20</v>
      </c>
      <c r="G607" s="2" t="s">
        <v>282</v>
      </c>
      <c r="I607" s="4" t="s">
        <v>133</v>
      </c>
      <c r="J607" s="6">
        <f>J612+J615</f>
        <v>9.8809960000000014</v>
      </c>
    </row>
    <row r="608" spans="1:10">
      <c r="A608" s="2" t="s">
        <v>283</v>
      </c>
      <c r="B608" s="2" t="s">
        <v>284</v>
      </c>
      <c r="F608" s="4" t="s">
        <v>122</v>
      </c>
      <c r="G608" s="4" t="s">
        <v>285</v>
      </c>
      <c r="H608" s="4" t="s">
        <v>286</v>
      </c>
      <c r="I608" s="4" t="s">
        <v>287</v>
      </c>
      <c r="J608" s="4" t="s">
        <v>288</v>
      </c>
    </row>
    <row r="609" spans="1:14">
      <c r="B609" s="7" t="s">
        <v>289</v>
      </c>
    </row>
    <row r="610" spans="1:14">
      <c r="B610" t="s">
        <v>650</v>
      </c>
      <c r="F610" s="8" t="s">
        <v>291</v>
      </c>
      <c r="G610" s="9">
        <v>0.1</v>
      </c>
      <c r="H610" s="10">
        <f>G610*8/$D$607</f>
        <v>0.04</v>
      </c>
      <c r="I610" s="12">
        <v>34.729999999999997</v>
      </c>
      <c r="J610" s="12">
        <f>H610*I610</f>
        <v>1.3892</v>
      </c>
    </row>
    <row r="611" spans="1:14">
      <c r="B611" t="s">
        <v>293</v>
      </c>
      <c r="F611" s="8" t="s">
        <v>291</v>
      </c>
      <c r="G611" s="9">
        <v>1</v>
      </c>
      <c r="H611" s="10">
        <f>G611*8/$D$607</f>
        <v>0.4</v>
      </c>
      <c r="I611" s="12">
        <v>20.51</v>
      </c>
      <c r="J611" s="12">
        <f>H611*I611</f>
        <v>8.2040000000000006</v>
      </c>
    </row>
    <row r="612" spans="1:14">
      <c r="J612" s="6">
        <f>SUM(J610:J611)</f>
        <v>9.5932000000000013</v>
      </c>
    </row>
    <row r="613" spans="1:14">
      <c r="B613" s="7" t="s">
        <v>317</v>
      </c>
    </row>
    <row r="614" spans="1:14">
      <c r="B614" t="s">
        <v>310</v>
      </c>
      <c r="F614" s="8" t="s">
        <v>311</v>
      </c>
      <c r="H614" s="10">
        <v>3</v>
      </c>
      <c r="I614" s="12">
        <f>J612</f>
        <v>9.5932000000000013</v>
      </c>
      <c r="J614" s="12">
        <f>H614%*I614</f>
        <v>0.28779600000000005</v>
      </c>
    </row>
    <row r="615" spans="1:14">
      <c r="A615" s="14"/>
      <c r="B615" s="14"/>
      <c r="C615" s="14"/>
      <c r="D615" s="14"/>
      <c r="E615" s="14"/>
      <c r="F615" s="14"/>
      <c r="G615" s="14"/>
      <c r="H615" s="14"/>
      <c r="I615" s="14"/>
      <c r="J615" s="16">
        <f>SUM(J614)</f>
        <v>0.28779600000000005</v>
      </c>
    </row>
    <row r="617" spans="1:14">
      <c r="A617" s="2" t="s">
        <v>735</v>
      </c>
      <c r="B617" s="31" t="str">
        <f>ARQUITECTURA!A54</f>
        <v>03.07.05.01</v>
      </c>
      <c r="C617" s="2" t="s">
        <v>844</v>
      </c>
      <c r="D617" s="2"/>
      <c r="E617" s="2"/>
      <c r="F617" s="2"/>
      <c r="G617" s="2"/>
      <c r="H617" s="2"/>
      <c r="I617" s="2"/>
      <c r="M617" s="31"/>
      <c r="N617" s="31"/>
    </row>
    <row r="618" spans="1:14">
      <c r="A618" s="2" t="s">
        <v>278</v>
      </c>
      <c r="B618" s="2" t="s">
        <v>331</v>
      </c>
      <c r="C618" s="4" t="s">
        <v>280</v>
      </c>
      <c r="D618" s="5">
        <v>1</v>
      </c>
      <c r="E618" s="4" t="s">
        <v>281</v>
      </c>
      <c r="F618" s="5">
        <f>D618</f>
        <v>1</v>
      </c>
      <c r="G618" s="2" t="s">
        <v>282</v>
      </c>
      <c r="I618" s="4" t="s">
        <v>154</v>
      </c>
      <c r="J618" s="6">
        <f>J622</f>
        <v>22</v>
      </c>
      <c r="N618" s="31"/>
    </row>
    <row r="619" spans="1:14">
      <c r="A619" s="2" t="s">
        <v>283</v>
      </c>
      <c r="B619" s="2" t="s">
        <v>284</v>
      </c>
      <c r="F619" s="4" t="s">
        <v>122</v>
      </c>
      <c r="G619" s="4" t="s">
        <v>285</v>
      </c>
      <c r="H619" s="4" t="s">
        <v>286</v>
      </c>
      <c r="I619" s="4" t="s">
        <v>287</v>
      </c>
      <c r="J619" s="4" t="s">
        <v>288</v>
      </c>
      <c r="M619" s="31"/>
      <c r="N619" s="31"/>
    </row>
    <row r="620" spans="1:14">
      <c r="B620" s="7" t="s">
        <v>294</v>
      </c>
      <c r="N620" s="31"/>
    </row>
    <row r="621" spans="1:14">
      <c r="B621" t="s">
        <v>965</v>
      </c>
      <c r="F621" s="8" t="s">
        <v>149</v>
      </c>
      <c r="G621" s="9"/>
      <c r="H621" s="10">
        <v>1</v>
      </c>
      <c r="I621">
        <v>22</v>
      </c>
      <c r="J621" s="12">
        <f>H621*I621</f>
        <v>22</v>
      </c>
      <c r="M621" s="31"/>
      <c r="N621" s="31"/>
    </row>
    <row r="622" spans="1:14">
      <c r="A622" s="14"/>
      <c r="B622" s="14"/>
      <c r="C622" s="14"/>
      <c r="D622" s="14"/>
      <c r="E622" s="14"/>
      <c r="F622" s="14"/>
      <c r="G622" s="14"/>
      <c r="H622" s="14"/>
      <c r="I622" s="14"/>
      <c r="J622" s="16">
        <f>SUM(J621)</f>
        <v>22</v>
      </c>
      <c r="N622" s="31"/>
    </row>
    <row r="623" spans="1:14">
      <c r="M623" s="31"/>
      <c r="N623" s="31"/>
    </row>
    <row r="624" spans="1:14">
      <c r="A624" s="2" t="s">
        <v>277</v>
      </c>
      <c r="B624" s="31" t="str">
        <f>ARQUITECTURA!A56</f>
        <v>03.07.06.01</v>
      </c>
      <c r="C624" s="2" t="s">
        <v>82</v>
      </c>
      <c r="D624" s="2"/>
      <c r="E624" s="2"/>
      <c r="F624" s="2"/>
      <c r="G624" s="2"/>
      <c r="H624" s="2"/>
      <c r="I624" s="2"/>
      <c r="M624" s="31"/>
      <c r="N624" s="31"/>
    </row>
    <row r="625" spans="1:14">
      <c r="A625" s="2" t="s">
        <v>278</v>
      </c>
      <c r="B625" s="2" t="s">
        <v>279</v>
      </c>
      <c r="C625" s="4" t="s">
        <v>280</v>
      </c>
      <c r="D625" s="5">
        <v>1</v>
      </c>
      <c r="E625" s="4" t="s">
        <v>281</v>
      </c>
      <c r="F625" s="5">
        <f>D625</f>
        <v>1</v>
      </c>
      <c r="G625" s="2" t="s">
        <v>282</v>
      </c>
      <c r="I625" s="4" t="s">
        <v>133</v>
      </c>
      <c r="J625" s="6">
        <f>J629</f>
        <v>75.459999999999994</v>
      </c>
      <c r="M625" s="31"/>
      <c r="N625" s="31"/>
    </row>
    <row r="626" spans="1:14">
      <c r="A626" s="2" t="s">
        <v>283</v>
      </c>
      <c r="B626" s="2" t="s">
        <v>284</v>
      </c>
      <c r="F626" s="4" t="s">
        <v>122</v>
      </c>
      <c r="G626" s="4" t="s">
        <v>285</v>
      </c>
      <c r="H626" s="4" t="s">
        <v>286</v>
      </c>
      <c r="I626" s="4" t="s">
        <v>287</v>
      </c>
      <c r="J626" s="4" t="s">
        <v>288</v>
      </c>
      <c r="N626" s="31"/>
    </row>
    <row r="627" spans="1:14">
      <c r="B627" s="7" t="s">
        <v>294</v>
      </c>
      <c r="M627" s="31"/>
      <c r="N627" s="31"/>
    </row>
    <row r="628" spans="1:14">
      <c r="B628" t="s">
        <v>82</v>
      </c>
      <c r="F628" s="8" t="s">
        <v>133</v>
      </c>
      <c r="G628" s="9"/>
      <c r="H628" s="10">
        <v>1</v>
      </c>
      <c r="I628">
        <v>75.459999999999994</v>
      </c>
      <c r="J628" s="12">
        <f>H628*I628</f>
        <v>75.459999999999994</v>
      </c>
      <c r="N628" s="31"/>
    </row>
    <row r="629" spans="1:14">
      <c r="A629" s="14"/>
      <c r="B629" s="14"/>
      <c r="C629" s="14"/>
      <c r="D629" s="14"/>
      <c r="E629" s="14"/>
      <c r="F629" s="14"/>
      <c r="G629" s="14"/>
      <c r="H629" s="14"/>
      <c r="I629" s="14"/>
      <c r="J629" s="16">
        <f>SUM(J628)</f>
        <v>75.459999999999994</v>
      </c>
    </row>
    <row r="631" spans="1:14">
      <c r="A631" s="2" t="s">
        <v>277</v>
      </c>
      <c r="B631" s="31" t="str">
        <f>ARQUITECTURA!A58</f>
        <v>03.07.07.01</v>
      </c>
      <c r="C631" s="2" t="s">
        <v>966</v>
      </c>
      <c r="D631" s="2"/>
    </row>
    <row r="632" spans="1:14">
      <c r="A632" s="2" t="s">
        <v>278</v>
      </c>
      <c r="B632" s="2" t="s">
        <v>313</v>
      </c>
      <c r="C632" s="4" t="s">
        <v>280</v>
      </c>
      <c r="D632" s="5">
        <v>1</v>
      </c>
      <c r="E632" s="4" t="s">
        <v>281</v>
      </c>
      <c r="F632" s="5">
        <f>D632</f>
        <v>1</v>
      </c>
      <c r="G632" s="2" t="s">
        <v>282</v>
      </c>
      <c r="I632" s="4" t="s">
        <v>144</v>
      </c>
      <c r="J632" s="6">
        <f>J636</f>
        <v>110.42</v>
      </c>
    </row>
    <row r="633" spans="1:14">
      <c r="A633" s="2" t="s">
        <v>283</v>
      </c>
      <c r="B633" s="2" t="s">
        <v>284</v>
      </c>
      <c r="F633" s="4" t="s">
        <v>122</v>
      </c>
      <c r="G633" s="4" t="s">
        <v>285</v>
      </c>
      <c r="H633" s="4" t="s">
        <v>286</v>
      </c>
      <c r="I633" s="4" t="s">
        <v>287</v>
      </c>
      <c r="J633" s="4" t="s">
        <v>288</v>
      </c>
    </row>
    <row r="634" spans="1:14">
      <c r="B634" s="7" t="s">
        <v>294</v>
      </c>
    </row>
    <row r="635" spans="1:14">
      <c r="B635" t="s">
        <v>966</v>
      </c>
      <c r="F635" s="8" t="s">
        <v>144</v>
      </c>
      <c r="H635">
        <v>1</v>
      </c>
      <c r="I635" s="12">
        <v>110.42</v>
      </c>
      <c r="J635" s="12">
        <f>H635*I635</f>
        <v>110.42</v>
      </c>
    </row>
    <row r="636" spans="1:14">
      <c r="A636" s="14"/>
      <c r="B636" s="14"/>
      <c r="C636" s="14"/>
      <c r="D636" s="14"/>
      <c r="E636" s="14"/>
      <c r="F636" s="14"/>
      <c r="G636" s="14"/>
      <c r="H636" s="14"/>
      <c r="I636" s="15"/>
      <c r="J636" s="16">
        <f>SUM(J635)</f>
        <v>110.42</v>
      </c>
    </row>
    <row r="638" spans="1:14">
      <c r="A638" s="2" t="s">
        <v>277</v>
      </c>
      <c r="B638" s="31" t="str">
        <f>ARQUITECTURA!A59</f>
        <v>03.07.07.02</v>
      </c>
      <c r="C638" s="2" t="s">
        <v>851</v>
      </c>
      <c r="D638" s="2"/>
      <c r="E638" s="2"/>
      <c r="F638" s="2"/>
      <c r="G638" s="2"/>
      <c r="H638" s="2"/>
      <c r="I638" s="2"/>
      <c r="M638" s="31"/>
      <c r="N638" s="31"/>
    </row>
    <row r="639" spans="1:14">
      <c r="A639" s="2" t="s">
        <v>278</v>
      </c>
      <c r="B639" s="2" t="s">
        <v>279</v>
      </c>
      <c r="C639" s="4" t="s">
        <v>280</v>
      </c>
      <c r="D639" s="5">
        <v>6.5</v>
      </c>
      <c r="E639" s="4" t="s">
        <v>281</v>
      </c>
      <c r="F639" s="5">
        <f>D639</f>
        <v>6.5</v>
      </c>
      <c r="G639" s="2" t="s">
        <v>282</v>
      </c>
      <c r="I639" s="4" t="s">
        <v>133</v>
      </c>
      <c r="J639" s="6">
        <f>J645+J653+J656</f>
        <v>67.768372461538462</v>
      </c>
    </row>
    <row r="640" spans="1:14">
      <c r="A640" s="2" t="s">
        <v>283</v>
      </c>
      <c r="B640" s="2" t="s">
        <v>284</v>
      </c>
      <c r="F640" s="4" t="s">
        <v>122</v>
      </c>
      <c r="G640" s="4" t="s">
        <v>285</v>
      </c>
      <c r="H640" s="4" t="s">
        <v>286</v>
      </c>
      <c r="I640" s="4" t="s">
        <v>287</v>
      </c>
      <c r="J640" s="4" t="s">
        <v>288</v>
      </c>
    </row>
    <row r="641" spans="1:10">
      <c r="B641" s="7" t="s">
        <v>289</v>
      </c>
    </row>
    <row r="642" spans="1:10">
      <c r="B642" t="s">
        <v>650</v>
      </c>
      <c r="F642" s="8" t="s">
        <v>291</v>
      </c>
      <c r="G642" s="9">
        <v>0.1</v>
      </c>
      <c r="H642" s="10">
        <f>G642*8/$D$639</f>
        <v>0.12307692307692308</v>
      </c>
      <c r="I642" s="12">
        <v>34.729999999999997</v>
      </c>
      <c r="J642" s="12">
        <f>H642*I642</f>
        <v>4.2744615384615381</v>
      </c>
    </row>
    <row r="643" spans="1:10">
      <c r="B643" t="s">
        <v>290</v>
      </c>
      <c r="F643" s="8" t="s">
        <v>291</v>
      </c>
      <c r="G643" s="9">
        <v>1</v>
      </c>
      <c r="H643" s="10">
        <f>G643*8/$D$639</f>
        <v>1.2307692307692308</v>
      </c>
      <c r="I643" s="12">
        <v>28.94</v>
      </c>
      <c r="J643" s="12">
        <f>H643*I643</f>
        <v>35.618461538461546</v>
      </c>
    </row>
    <row r="644" spans="1:10">
      <c r="B644" t="s">
        <v>293</v>
      </c>
      <c r="F644" s="8" t="s">
        <v>291</v>
      </c>
      <c r="G644" s="9">
        <v>0.4</v>
      </c>
      <c r="H644" s="10">
        <f>G644*8/$D$639</f>
        <v>0.49230769230769234</v>
      </c>
      <c r="I644" s="12">
        <v>20.51</v>
      </c>
      <c r="J644" s="12">
        <f>H644*I644</f>
        <v>10.097230769230771</v>
      </c>
    </row>
    <row r="645" spans="1:10">
      <c r="H645" s="10"/>
      <c r="J645" s="6">
        <f>SUM(J642:J644)</f>
        <v>49.990153846153852</v>
      </c>
    </row>
    <row r="646" spans="1:10">
      <c r="B646" s="7" t="s">
        <v>294</v>
      </c>
      <c r="F646" s="8"/>
    </row>
    <row r="647" spans="1:10">
      <c r="B647" t="s">
        <v>664</v>
      </c>
      <c r="F647" s="8" t="s">
        <v>203</v>
      </c>
      <c r="H647" s="10">
        <v>4.0000000000000001E-3</v>
      </c>
      <c r="I647" s="12">
        <v>6.14</v>
      </c>
      <c r="J647" s="12">
        <f>H647*I647</f>
        <v>2.4559999999999998E-2</v>
      </c>
    </row>
    <row r="648" spans="1:10">
      <c r="B648" t="s">
        <v>301</v>
      </c>
      <c r="F648" s="8" t="s">
        <v>296</v>
      </c>
      <c r="H648" s="10">
        <v>4.3999999999999997E-2</v>
      </c>
      <c r="I648" s="12">
        <v>5.51</v>
      </c>
      <c r="J648" s="12">
        <f>H648*I648</f>
        <v>0.24243999999999999</v>
      </c>
    </row>
    <row r="649" spans="1:10">
      <c r="B649" t="s">
        <v>967</v>
      </c>
      <c r="F649" s="8" t="s">
        <v>305</v>
      </c>
      <c r="H649" s="10">
        <v>3.8800000000000001E-2</v>
      </c>
      <c r="I649" s="12">
        <v>17.48</v>
      </c>
      <c r="J649" s="12">
        <f t="shared" ref="J649:J652" si="15">H649*I649</f>
        <v>0.67822400000000005</v>
      </c>
    </row>
    <row r="650" spans="1:10">
      <c r="B650" t="s">
        <v>721</v>
      </c>
      <c r="F650" s="8" t="s">
        <v>431</v>
      </c>
      <c r="H650" s="10">
        <v>0.11700000000000001</v>
      </c>
      <c r="I650" s="12">
        <v>24.52</v>
      </c>
      <c r="J650" s="12">
        <f t="shared" si="15"/>
        <v>2.8688400000000001</v>
      </c>
    </row>
    <row r="651" spans="1:10">
      <c r="B651" t="s">
        <v>896</v>
      </c>
      <c r="F651" s="8" t="s">
        <v>203</v>
      </c>
      <c r="H651" s="10">
        <v>1.7000000000000001E-2</v>
      </c>
      <c r="I651" s="12">
        <v>50.85</v>
      </c>
      <c r="J651" s="12">
        <f t="shared" si="15"/>
        <v>0.86445000000000005</v>
      </c>
    </row>
    <row r="652" spans="1:10">
      <c r="B652" t="s">
        <v>308</v>
      </c>
      <c r="F652" s="8" t="s">
        <v>305</v>
      </c>
      <c r="H652" s="10">
        <v>2</v>
      </c>
      <c r="I652" s="12">
        <v>5.8</v>
      </c>
      <c r="J652" s="12">
        <f t="shared" si="15"/>
        <v>11.6</v>
      </c>
    </row>
    <row r="653" spans="1:10">
      <c r="J653" s="6">
        <f>SUM(J647:J652)</f>
        <v>16.278514000000001</v>
      </c>
    </row>
    <row r="654" spans="1:10">
      <c r="B654" s="7" t="s">
        <v>317</v>
      </c>
    </row>
    <row r="655" spans="1:10">
      <c r="B655" t="s">
        <v>310</v>
      </c>
      <c r="F655" s="8" t="s">
        <v>311</v>
      </c>
      <c r="H655" s="10">
        <v>3</v>
      </c>
      <c r="I655" s="12">
        <f>J645</f>
        <v>49.990153846153852</v>
      </c>
      <c r="J655" s="12">
        <f>H655%*I655</f>
        <v>1.4997046153846154</v>
      </c>
    </row>
    <row r="656" spans="1:10">
      <c r="A656" s="14"/>
      <c r="B656" s="14"/>
      <c r="C656" s="14"/>
      <c r="D656" s="14"/>
      <c r="E656" s="14"/>
      <c r="F656" s="14"/>
      <c r="G656" s="14"/>
      <c r="H656" s="14"/>
      <c r="I656" s="14"/>
      <c r="J656" s="16">
        <f>SUM(J655)</f>
        <v>1.4997046153846154</v>
      </c>
    </row>
    <row r="658" spans="1:10">
      <c r="A658" s="2" t="s">
        <v>277</v>
      </c>
      <c r="B658" s="31" t="str">
        <f>ARQUITECTURA!A60</f>
        <v>03.07.07.03</v>
      </c>
      <c r="C658" s="2" t="s">
        <v>968</v>
      </c>
      <c r="D658" s="2"/>
      <c r="E658" s="2"/>
      <c r="F658" s="2"/>
      <c r="G658" s="2"/>
      <c r="H658" s="2"/>
      <c r="I658" s="2"/>
    </row>
    <row r="659" spans="1:10">
      <c r="A659" s="2" t="s">
        <v>278</v>
      </c>
      <c r="B659" s="2" t="s">
        <v>279</v>
      </c>
      <c r="C659" s="4" t="s">
        <v>280</v>
      </c>
      <c r="D659" s="5">
        <v>1</v>
      </c>
      <c r="E659" s="4" t="s">
        <v>281</v>
      </c>
      <c r="F659" s="5">
        <f>D659</f>
        <v>1</v>
      </c>
      <c r="G659" s="2" t="s">
        <v>282</v>
      </c>
      <c r="I659" s="4" t="s">
        <v>133</v>
      </c>
      <c r="J659" s="6">
        <f>J663</f>
        <v>39.51</v>
      </c>
    </row>
    <row r="660" spans="1:10">
      <c r="A660" s="2" t="s">
        <v>283</v>
      </c>
      <c r="B660" s="2" t="s">
        <v>284</v>
      </c>
      <c r="F660" s="4" t="s">
        <v>122</v>
      </c>
      <c r="G660" s="4" t="s">
        <v>285</v>
      </c>
      <c r="H660" s="4" t="s">
        <v>286</v>
      </c>
      <c r="I660" s="4" t="s">
        <v>287</v>
      </c>
      <c r="J660" s="4" t="s">
        <v>288</v>
      </c>
    </row>
    <row r="661" spans="1:10">
      <c r="B661" s="7" t="s">
        <v>294</v>
      </c>
    </row>
    <row r="662" spans="1:10">
      <c r="B662" t="s">
        <v>968</v>
      </c>
      <c r="F662" s="8" t="s">
        <v>133</v>
      </c>
      <c r="G662" s="9"/>
      <c r="H662" s="10">
        <v>1</v>
      </c>
      <c r="I662">
        <v>39.51</v>
      </c>
      <c r="J662" s="12">
        <f>H662*I662</f>
        <v>39.51</v>
      </c>
    </row>
    <row r="663" spans="1:10">
      <c r="A663" s="14"/>
      <c r="B663" s="14"/>
      <c r="C663" s="14"/>
      <c r="D663" s="14"/>
      <c r="E663" s="14"/>
      <c r="F663" s="14"/>
      <c r="G663" s="14"/>
      <c r="H663" s="14"/>
      <c r="I663" s="14"/>
      <c r="J663" s="16">
        <f>SUM(J662)</f>
        <v>39.51</v>
      </c>
    </row>
    <row r="665" spans="1:10">
      <c r="A665" s="2" t="s">
        <v>277</v>
      </c>
      <c r="B665" s="31" t="str">
        <f>ARQUITECTURA!A61</f>
        <v>03.07.07.04</v>
      </c>
      <c r="C665" s="2" t="s">
        <v>969</v>
      </c>
      <c r="D665" s="2"/>
      <c r="E665" s="2"/>
      <c r="F665" s="2"/>
      <c r="G665" s="2"/>
      <c r="H665" s="2"/>
      <c r="I665" s="2"/>
    </row>
    <row r="666" spans="1:10">
      <c r="A666" s="2" t="s">
        <v>278</v>
      </c>
      <c r="B666" s="2" t="s">
        <v>279</v>
      </c>
      <c r="C666" s="4" t="s">
        <v>280</v>
      </c>
      <c r="D666" s="5">
        <v>1</v>
      </c>
      <c r="E666" s="4" t="s">
        <v>281</v>
      </c>
      <c r="F666" s="5">
        <f>D666</f>
        <v>1</v>
      </c>
      <c r="G666" s="2" t="s">
        <v>282</v>
      </c>
      <c r="I666" s="4" t="s">
        <v>133</v>
      </c>
      <c r="J666" s="6">
        <f>J670</f>
        <v>17.38</v>
      </c>
    </row>
    <row r="667" spans="1:10">
      <c r="A667" s="2" t="s">
        <v>283</v>
      </c>
      <c r="B667" s="2" t="s">
        <v>284</v>
      </c>
      <c r="F667" s="4" t="s">
        <v>122</v>
      </c>
      <c r="G667" s="4" t="s">
        <v>285</v>
      </c>
      <c r="H667" s="4" t="s">
        <v>286</v>
      </c>
      <c r="I667" s="4" t="s">
        <v>287</v>
      </c>
      <c r="J667" s="4" t="s">
        <v>288</v>
      </c>
    </row>
    <row r="668" spans="1:10">
      <c r="B668" s="7" t="s">
        <v>294</v>
      </c>
    </row>
    <row r="669" spans="1:10">
      <c r="B669" t="s">
        <v>969</v>
      </c>
      <c r="F669" s="8" t="s">
        <v>133</v>
      </c>
      <c r="G669" s="9"/>
      <c r="H669" s="10">
        <v>1</v>
      </c>
      <c r="I669">
        <v>17.38</v>
      </c>
      <c r="J669" s="12">
        <f>H669*I669</f>
        <v>17.38</v>
      </c>
    </row>
    <row r="670" spans="1:10">
      <c r="A670" s="14"/>
      <c r="B670" s="14"/>
      <c r="C670" s="14"/>
      <c r="D670" s="14"/>
      <c r="E670" s="14"/>
      <c r="F670" s="14"/>
      <c r="G670" s="14"/>
      <c r="H670" s="14"/>
      <c r="I670" s="14"/>
      <c r="J670" s="16">
        <f>SUM(J669)</f>
        <v>17.38</v>
      </c>
    </row>
    <row r="672" spans="1:10">
      <c r="A672" s="2" t="s">
        <v>277</v>
      </c>
      <c r="B672" s="31" t="str">
        <f>ARQUITECTURA!A63</f>
        <v>03.07.08.01</v>
      </c>
      <c r="C672" s="2" t="s">
        <v>79</v>
      </c>
      <c r="D672" s="2"/>
      <c r="E672" s="2"/>
      <c r="F672" s="2"/>
      <c r="G672" s="2"/>
      <c r="H672" s="2"/>
      <c r="I672" s="2"/>
    </row>
    <row r="673" spans="1:10">
      <c r="A673" s="2" t="s">
        <v>278</v>
      </c>
      <c r="B673" s="2" t="s">
        <v>325</v>
      </c>
      <c r="C673" s="4" t="s">
        <v>280</v>
      </c>
      <c r="D673" s="5">
        <v>1</v>
      </c>
      <c r="E673" s="4" t="s">
        <v>281</v>
      </c>
      <c r="F673" s="5">
        <f>D673</f>
        <v>1</v>
      </c>
      <c r="G673" s="2" t="s">
        <v>282</v>
      </c>
      <c r="I673" s="4" t="s">
        <v>149</v>
      </c>
      <c r="J673" s="6">
        <f>J680+J699+J702</f>
        <v>2147.2003312655197</v>
      </c>
    </row>
    <row r="674" spans="1:10">
      <c r="A674" s="2" t="s">
        <v>283</v>
      </c>
      <c r="B674" s="2" t="s">
        <v>284</v>
      </c>
      <c r="F674" s="4" t="s">
        <v>122</v>
      </c>
      <c r="G674" s="4" t="s">
        <v>285</v>
      </c>
      <c r="H674" s="4" t="s">
        <v>286</v>
      </c>
      <c r="I674" s="4" t="s">
        <v>287</v>
      </c>
      <c r="J674" s="4" t="s">
        <v>288</v>
      </c>
    </row>
    <row r="675" spans="1:10">
      <c r="B675" s="7" t="s">
        <v>289</v>
      </c>
    </row>
    <row r="676" spans="1:10">
      <c r="B676" t="s">
        <v>650</v>
      </c>
      <c r="F676" s="8" t="s">
        <v>291</v>
      </c>
      <c r="G676" s="9">
        <v>0.1</v>
      </c>
      <c r="H676" s="10">
        <f>G676*8/$D$673</f>
        <v>0.8</v>
      </c>
      <c r="I676" s="12">
        <v>34.729999999999997</v>
      </c>
      <c r="J676" s="12">
        <f>H676*I676</f>
        <v>27.783999999999999</v>
      </c>
    </row>
    <row r="677" spans="1:10">
      <c r="B677" t="s">
        <v>290</v>
      </c>
      <c r="F677" s="8" t="s">
        <v>291</v>
      </c>
      <c r="G677" s="9">
        <v>1</v>
      </c>
      <c r="H677" s="10">
        <f>G677*8/$D$673</f>
        <v>8</v>
      </c>
      <c r="I677" s="12">
        <v>28.94</v>
      </c>
      <c r="J677" s="12">
        <f>H677*I677</f>
        <v>231.52</v>
      </c>
    </row>
    <row r="678" spans="1:10">
      <c r="B678" t="s">
        <v>679</v>
      </c>
      <c r="F678" s="8" t="s">
        <v>291</v>
      </c>
      <c r="G678" s="9">
        <v>1</v>
      </c>
      <c r="H678" s="10">
        <f>G678*8/$D$673</f>
        <v>8</v>
      </c>
      <c r="I678">
        <v>22.66</v>
      </c>
      <c r="J678" s="12">
        <f>H678*I678</f>
        <v>181.28</v>
      </c>
    </row>
    <row r="679" spans="1:10">
      <c r="B679" t="s">
        <v>293</v>
      </c>
      <c r="F679" s="8" t="s">
        <v>291</v>
      </c>
      <c r="G679" s="9">
        <v>2</v>
      </c>
      <c r="H679" s="10">
        <f>G679*8/$D$673</f>
        <v>16</v>
      </c>
      <c r="I679" s="12">
        <v>20.51</v>
      </c>
      <c r="J679" s="12">
        <f>H679*I679</f>
        <v>328.16</v>
      </c>
    </row>
    <row r="680" spans="1:10">
      <c r="J680" s="6">
        <f>SUM(J676:J679)</f>
        <v>768.74400000000014</v>
      </c>
    </row>
    <row r="681" spans="1:10">
      <c r="B681" s="7" t="s">
        <v>294</v>
      </c>
      <c r="F681" s="8"/>
    </row>
    <row r="682" spans="1:10">
      <c r="B682" s="214" t="s">
        <v>295</v>
      </c>
      <c r="F682" s="8" t="s">
        <v>296</v>
      </c>
      <c r="H682" s="10">
        <v>0.5</v>
      </c>
      <c r="I682">
        <v>2.64</v>
      </c>
      <c r="J682" s="12">
        <f>H682*I682</f>
        <v>1.32</v>
      </c>
    </row>
    <row r="683" spans="1:10">
      <c r="B683" s="214" t="s">
        <v>726</v>
      </c>
      <c r="F683" s="8" t="s">
        <v>296</v>
      </c>
      <c r="H683" s="10">
        <v>0.59200000000000008</v>
      </c>
      <c r="I683">
        <v>4.16</v>
      </c>
      <c r="J683" s="12">
        <f t="shared" ref="J683:J698" si="16">H683*I683</f>
        <v>2.4627200000000005</v>
      </c>
    </row>
    <row r="684" spans="1:10">
      <c r="B684" s="214" t="s">
        <v>970</v>
      </c>
      <c r="F684" s="8" t="s">
        <v>133</v>
      </c>
      <c r="H684" s="10">
        <v>0.03</v>
      </c>
      <c r="I684">
        <v>83.22</v>
      </c>
      <c r="J684" s="12">
        <f t="shared" si="16"/>
        <v>2.4965999999999999</v>
      </c>
    </row>
    <row r="685" spans="1:10">
      <c r="B685" s="215" t="s">
        <v>896</v>
      </c>
      <c r="F685" s="8" t="s">
        <v>203</v>
      </c>
      <c r="H685" s="10">
        <v>0.13800000000000001</v>
      </c>
      <c r="I685">
        <v>50.85</v>
      </c>
      <c r="J685" s="12">
        <f t="shared" si="16"/>
        <v>7.0173000000000005</v>
      </c>
    </row>
    <row r="686" spans="1:10">
      <c r="B686" s="214" t="s">
        <v>700</v>
      </c>
      <c r="F686" s="8" t="s">
        <v>203</v>
      </c>
      <c r="H686" s="10">
        <v>0.255</v>
      </c>
      <c r="I686" s="12">
        <v>47</v>
      </c>
      <c r="J686" s="12">
        <f t="shared" si="16"/>
        <v>11.984999999999999</v>
      </c>
    </row>
    <row r="687" spans="1:10">
      <c r="B687" s="214" t="s">
        <v>721</v>
      </c>
      <c r="F687" s="8" t="s">
        <v>431</v>
      </c>
      <c r="H687" s="10">
        <v>4.3260000000000005</v>
      </c>
      <c r="I687">
        <v>24.52</v>
      </c>
      <c r="J687" s="12">
        <f t="shared" si="16"/>
        <v>106.07352000000002</v>
      </c>
    </row>
    <row r="688" spans="1:10">
      <c r="B688" s="214" t="s">
        <v>308</v>
      </c>
      <c r="F688" s="8" t="s">
        <v>305</v>
      </c>
      <c r="G688" s="9"/>
      <c r="H688" s="10">
        <v>12.116</v>
      </c>
      <c r="I688" s="12">
        <v>8.8000000000000007</v>
      </c>
      <c r="J688" s="12">
        <f>H688*I688</f>
        <v>106.6208</v>
      </c>
    </row>
    <row r="689" spans="1:10">
      <c r="B689" s="214" t="s">
        <v>971</v>
      </c>
      <c r="F689" s="8" t="s">
        <v>439</v>
      </c>
      <c r="G689" s="9"/>
      <c r="H689" s="10">
        <v>5.7000000000000002E-2</v>
      </c>
      <c r="I689" s="12">
        <v>38.979999999999997</v>
      </c>
      <c r="J689" s="12">
        <f t="shared" si="16"/>
        <v>2.2218599999999999</v>
      </c>
    </row>
    <row r="690" spans="1:10">
      <c r="B690" s="214" t="s">
        <v>972</v>
      </c>
      <c r="F690" s="8" t="s">
        <v>439</v>
      </c>
      <c r="G690" s="9"/>
      <c r="H690" s="10">
        <v>0.1</v>
      </c>
      <c r="I690" s="12">
        <v>94</v>
      </c>
      <c r="J690" s="12">
        <f t="shared" si="16"/>
        <v>9.4</v>
      </c>
    </row>
    <row r="691" spans="1:10">
      <c r="B691" s="214" t="s">
        <v>973</v>
      </c>
      <c r="F691" s="8" t="s">
        <v>144</v>
      </c>
      <c r="G691" s="9"/>
      <c r="H691" s="10">
        <v>2.7</v>
      </c>
      <c r="I691" s="12">
        <v>52.704000000000001</v>
      </c>
      <c r="J691" s="12">
        <f t="shared" si="16"/>
        <v>142.30080000000001</v>
      </c>
    </row>
    <row r="692" spans="1:10">
      <c r="B692" s="214" t="s">
        <v>974</v>
      </c>
      <c r="F692" s="8" t="s">
        <v>144</v>
      </c>
      <c r="H692" s="10">
        <v>2.7</v>
      </c>
      <c r="I692" s="12">
        <v>101.49180000000001</v>
      </c>
      <c r="J692" s="12">
        <f t="shared" si="16"/>
        <v>274.02786000000003</v>
      </c>
    </row>
    <row r="693" spans="1:10">
      <c r="B693" s="214" t="s">
        <v>975</v>
      </c>
      <c r="F693" s="8" t="s">
        <v>144</v>
      </c>
      <c r="H693" s="10">
        <v>3.3000000000000003</v>
      </c>
      <c r="I693" s="12">
        <v>123.01260000000001</v>
      </c>
      <c r="J693" s="12">
        <f t="shared" si="16"/>
        <v>405.94158000000004</v>
      </c>
    </row>
    <row r="694" spans="1:10">
      <c r="B694" s="214" t="s">
        <v>976</v>
      </c>
      <c r="F694" s="8" t="s">
        <v>144</v>
      </c>
      <c r="H694" s="10">
        <v>18</v>
      </c>
      <c r="I694" s="12">
        <v>14.815447614898712</v>
      </c>
      <c r="J694" s="12">
        <f t="shared" si="16"/>
        <v>266.67805706817683</v>
      </c>
    </row>
    <row r="695" spans="1:10">
      <c r="B695" s="214" t="s">
        <v>977</v>
      </c>
      <c r="F695" s="8" t="s">
        <v>149</v>
      </c>
      <c r="H695" s="10">
        <v>6</v>
      </c>
      <c r="I695" s="12">
        <v>0.67</v>
      </c>
      <c r="J695" s="12">
        <f t="shared" si="16"/>
        <v>4.0200000000000005</v>
      </c>
    </row>
    <row r="696" spans="1:10">
      <c r="B696" s="214" t="s">
        <v>978</v>
      </c>
      <c r="F696" s="8" t="s">
        <v>149</v>
      </c>
      <c r="H696" s="10">
        <v>6</v>
      </c>
      <c r="I696" s="12">
        <v>0.62883903289043774</v>
      </c>
      <c r="J696" s="12">
        <f t="shared" si="16"/>
        <v>3.7730341973426267</v>
      </c>
    </row>
    <row r="697" spans="1:10">
      <c r="B697" s="214" t="s">
        <v>979</v>
      </c>
      <c r="F697" s="8" t="s">
        <v>296</v>
      </c>
      <c r="H697" s="10">
        <v>0.1</v>
      </c>
      <c r="I697" s="12">
        <v>84.9</v>
      </c>
      <c r="J697" s="12">
        <f t="shared" si="16"/>
        <v>8.49</v>
      </c>
    </row>
    <row r="698" spans="1:10">
      <c r="B698" s="214" t="s">
        <v>664</v>
      </c>
      <c r="F698" s="8" t="s">
        <v>203</v>
      </c>
      <c r="H698" s="10">
        <v>9.1999999999999998E-2</v>
      </c>
      <c r="I698" s="12">
        <v>6.14</v>
      </c>
      <c r="J698" s="12">
        <f t="shared" si="16"/>
        <v>0.56487999999999994</v>
      </c>
    </row>
    <row r="699" spans="1:10">
      <c r="J699" s="6">
        <f>SUM(J682:J698)</f>
        <v>1355.3940112655196</v>
      </c>
    </row>
    <row r="700" spans="1:10">
      <c r="B700" s="7" t="s">
        <v>317</v>
      </c>
    </row>
    <row r="701" spans="1:10">
      <c r="B701" t="s">
        <v>310</v>
      </c>
      <c r="F701" s="8" t="s">
        <v>311</v>
      </c>
      <c r="H701" s="10">
        <v>3</v>
      </c>
      <c r="I701" s="12">
        <f>J680</f>
        <v>768.74400000000014</v>
      </c>
      <c r="J701" s="12">
        <f>H701%*I701</f>
        <v>23.062320000000003</v>
      </c>
    </row>
    <row r="702" spans="1:10">
      <c r="A702" s="14"/>
      <c r="B702" s="14"/>
      <c r="C702" s="14"/>
      <c r="D702" s="14"/>
      <c r="E702" s="14"/>
      <c r="F702" s="14"/>
      <c r="G702" s="14"/>
      <c r="H702" s="14"/>
      <c r="I702" s="14"/>
      <c r="J702" s="16">
        <f>SUM(J701)</f>
        <v>23.062320000000003</v>
      </c>
    </row>
    <row r="704" spans="1:10">
      <c r="A704" s="2" t="s">
        <v>277</v>
      </c>
      <c r="B704" s="31" t="str">
        <f>ARQUITECTURA!A65</f>
        <v>03.07.09.01</v>
      </c>
      <c r="C704" s="2" t="s">
        <v>861</v>
      </c>
      <c r="D704" s="2"/>
      <c r="E704" s="2"/>
      <c r="F704" s="2"/>
      <c r="G704" s="2"/>
      <c r="H704" s="2"/>
      <c r="I704" s="2"/>
    </row>
    <row r="705" spans="1:14">
      <c r="A705" s="2" t="s">
        <v>278</v>
      </c>
      <c r="B705" s="2" t="s">
        <v>279</v>
      </c>
      <c r="C705" s="4" t="s">
        <v>280</v>
      </c>
      <c r="D705" s="5">
        <v>1</v>
      </c>
      <c r="E705" s="4" t="s">
        <v>281</v>
      </c>
      <c r="F705" s="5">
        <f>D705</f>
        <v>1</v>
      </c>
      <c r="G705" s="2" t="s">
        <v>282</v>
      </c>
      <c r="I705" s="4" t="s">
        <v>133</v>
      </c>
      <c r="J705" s="6">
        <f>J709</f>
        <v>169.49</v>
      </c>
      <c r="N705" s="31"/>
    </row>
    <row r="706" spans="1:14">
      <c r="A706" s="2" t="s">
        <v>283</v>
      </c>
      <c r="B706" s="2" t="s">
        <v>284</v>
      </c>
      <c r="F706" s="4" t="s">
        <v>122</v>
      </c>
      <c r="G706" s="4" t="s">
        <v>285</v>
      </c>
      <c r="H706" s="4" t="s">
        <v>286</v>
      </c>
      <c r="I706" s="4" t="s">
        <v>287</v>
      </c>
      <c r="J706" s="4" t="s">
        <v>288</v>
      </c>
      <c r="N706" s="31"/>
    </row>
    <row r="707" spans="1:14">
      <c r="B707" s="7" t="s">
        <v>294</v>
      </c>
      <c r="M707" s="31"/>
      <c r="N707" s="31"/>
    </row>
    <row r="708" spans="1:14">
      <c r="B708" t="s">
        <v>861</v>
      </c>
      <c r="F708" s="8" t="s">
        <v>133</v>
      </c>
      <c r="G708" s="9"/>
      <c r="H708" s="10">
        <v>1</v>
      </c>
      <c r="I708" s="12">
        <v>169.49</v>
      </c>
      <c r="J708" s="12">
        <f>H708*I708</f>
        <v>169.49</v>
      </c>
      <c r="N708" s="31"/>
    </row>
    <row r="709" spans="1:14">
      <c r="A709" s="14"/>
      <c r="B709" s="14"/>
      <c r="C709" s="14"/>
      <c r="D709" s="14"/>
      <c r="E709" s="14"/>
      <c r="F709" s="14"/>
      <c r="G709" s="14"/>
      <c r="H709" s="14"/>
      <c r="I709" s="14"/>
      <c r="J709" s="16">
        <f>SUM(J708)</f>
        <v>169.49</v>
      </c>
      <c r="N709" s="31"/>
    </row>
    <row r="710" spans="1:14">
      <c r="M710" s="31"/>
      <c r="N710" s="31"/>
    </row>
    <row r="711" spans="1:14">
      <c r="A711" s="2" t="s">
        <v>277</v>
      </c>
      <c r="B711" s="31" t="str">
        <f>ARQUITECTURA!A66</f>
        <v>03.07.09.02</v>
      </c>
      <c r="C711" s="2" t="s">
        <v>980</v>
      </c>
      <c r="D711" s="2"/>
      <c r="E711" s="2"/>
      <c r="F711" s="2"/>
      <c r="G711" s="2"/>
      <c r="H711" s="2"/>
      <c r="I711" s="2"/>
      <c r="N711" s="31"/>
    </row>
    <row r="712" spans="1:14">
      <c r="A712" s="2" t="s">
        <v>278</v>
      </c>
      <c r="B712" s="2" t="s">
        <v>279</v>
      </c>
      <c r="C712" s="4" t="s">
        <v>280</v>
      </c>
      <c r="D712" s="5">
        <v>1</v>
      </c>
      <c r="E712" s="4" t="s">
        <v>281</v>
      </c>
      <c r="F712" s="5">
        <f>D712</f>
        <v>1</v>
      </c>
      <c r="G712" s="2" t="s">
        <v>282</v>
      </c>
      <c r="I712" s="4" t="s">
        <v>133</v>
      </c>
      <c r="J712" s="6">
        <f>J716</f>
        <v>169.49</v>
      </c>
      <c r="N712" s="31"/>
    </row>
    <row r="713" spans="1:14">
      <c r="A713" s="2" t="s">
        <v>283</v>
      </c>
      <c r="B713" s="2" t="s">
        <v>284</v>
      </c>
      <c r="F713" s="4" t="s">
        <v>122</v>
      </c>
      <c r="G713" s="4" t="s">
        <v>285</v>
      </c>
      <c r="H713" s="4" t="s">
        <v>286</v>
      </c>
      <c r="I713" s="4" t="s">
        <v>287</v>
      </c>
      <c r="J713" s="4" t="s">
        <v>288</v>
      </c>
      <c r="M713" s="31"/>
      <c r="N713" s="31"/>
    </row>
    <row r="714" spans="1:14">
      <c r="B714" s="7" t="s">
        <v>294</v>
      </c>
    </row>
    <row r="715" spans="1:14">
      <c r="B715" t="s">
        <v>980</v>
      </c>
      <c r="F715" s="8" t="s">
        <v>133</v>
      </c>
      <c r="G715" s="9"/>
      <c r="H715" s="10">
        <v>1</v>
      </c>
      <c r="I715" s="12">
        <v>169.49</v>
      </c>
      <c r="J715" s="12">
        <f>H715*I715</f>
        <v>169.49</v>
      </c>
    </row>
    <row r="716" spans="1:14">
      <c r="A716" s="14"/>
      <c r="B716" s="14"/>
      <c r="C716" s="14"/>
      <c r="D716" s="14"/>
      <c r="E716" s="14"/>
      <c r="F716" s="14"/>
      <c r="G716" s="14"/>
      <c r="H716" s="14"/>
      <c r="I716" s="14"/>
      <c r="J716" s="16">
        <f>SUM(J715)</f>
        <v>169.49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00091-F64D-417B-BBA1-CBD8B3F8D311}">
  <sheetPr>
    <tabColor rgb="FFFF0000"/>
  </sheetPr>
  <dimension ref="A1:P29"/>
  <sheetViews>
    <sheetView workbookViewId="0">
      <selection activeCell="B26" sqref="B26:B28"/>
    </sheetView>
  </sheetViews>
  <sheetFormatPr defaultRowHeight="15"/>
  <cols>
    <col min="8" max="8" width="14" customWidth="1"/>
    <col min="9" max="9" width="12.42578125" customWidth="1"/>
    <col min="10" max="10" width="10.42578125" bestFit="1" customWidth="1"/>
    <col min="11" max="11" width="14.28515625" customWidth="1"/>
    <col min="15" max="15" width="21.28515625" customWidth="1"/>
  </cols>
  <sheetData>
    <row r="1" spans="1:16">
      <c r="G1" s="4" t="s">
        <v>122</v>
      </c>
      <c r="H1" s="4" t="s">
        <v>123</v>
      </c>
      <c r="I1" s="4" t="s">
        <v>124</v>
      </c>
      <c r="J1" s="4" t="s">
        <v>453</v>
      </c>
      <c r="K1" s="4" t="s">
        <v>454</v>
      </c>
    </row>
    <row r="2" spans="1:16">
      <c r="A2" s="2">
        <v>4</v>
      </c>
      <c r="B2" s="233" t="s">
        <v>981</v>
      </c>
      <c r="J2" s="19"/>
      <c r="K2" s="236">
        <f>J3+J8+J11+J13+J15+J17+J20+J22+J25</f>
        <v>517713.72377207968</v>
      </c>
      <c r="O2" s="2"/>
      <c r="P2" s="2"/>
    </row>
    <row r="3" spans="1:16">
      <c r="A3" s="2">
        <v>4.01</v>
      </c>
      <c r="B3" s="234" t="s">
        <v>982</v>
      </c>
      <c r="J3" s="235">
        <f>SUM(J4:J7)</f>
        <v>41052.703333333331</v>
      </c>
      <c r="K3" s="29"/>
      <c r="P3" s="2"/>
    </row>
    <row r="4" spans="1:16">
      <c r="A4" t="s">
        <v>983</v>
      </c>
      <c r="B4" t="s">
        <v>984</v>
      </c>
      <c r="G4" s="19" t="s">
        <v>149</v>
      </c>
      <c r="H4" s="12">
        <f>ROUNDUP(SUM(BIBLIOTECA:INGRESO!G44),0)</f>
        <v>84</v>
      </c>
      <c r="I4" s="50">
        <f>'APUS SANITARIAS'!J5</f>
        <v>193.33333333333331</v>
      </c>
      <c r="J4" s="12">
        <f>H4*I4</f>
        <v>16239.999999999998</v>
      </c>
      <c r="P4" s="2"/>
    </row>
    <row r="5" spans="1:16">
      <c r="A5" t="s">
        <v>985</v>
      </c>
      <c r="B5" t="s">
        <v>986</v>
      </c>
      <c r="G5" s="19" t="s">
        <v>149</v>
      </c>
      <c r="H5" s="12">
        <f>ROUNDUP(SUM(BIBLIOTECA:INGRESO!G45),0)</f>
        <v>52</v>
      </c>
      <c r="I5" s="12">
        <f>'APUS SANITARIAS'!J12</f>
        <v>192.42</v>
      </c>
      <c r="J5" s="12">
        <f t="shared" ref="J5:J6" si="0">H5*I5</f>
        <v>10005.84</v>
      </c>
    </row>
    <row r="6" spans="1:16">
      <c r="A6" t="s">
        <v>987</v>
      </c>
      <c r="B6" t="s">
        <v>988</v>
      </c>
      <c r="G6" s="19" t="s">
        <v>149</v>
      </c>
      <c r="H6" s="12">
        <f>ROUNDUP(SUM(BIBLIOTECA:INGRESO!G46),0)</f>
        <v>86</v>
      </c>
      <c r="I6" s="12">
        <f>'APUS SANITARIAS'!J19</f>
        <v>67.521666666666661</v>
      </c>
      <c r="J6" s="12">
        <f t="shared" si="0"/>
        <v>5806.8633333333328</v>
      </c>
    </row>
    <row r="7" spans="1:16">
      <c r="A7" t="s">
        <v>989</v>
      </c>
      <c r="B7" t="s">
        <v>990</v>
      </c>
      <c r="G7" s="19" t="s">
        <v>149</v>
      </c>
      <c r="H7" s="12">
        <f>ROUNDUP(SUM(BIBLIOTECA:INGRESO!G47),0)</f>
        <v>12</v>
      </c>
      <c r="I7" s="50">
        <f>'APUS SANITARIAS'!J26</f>
        <v>750</v>
      </c>
      <c r="J7" s="12">
        <f>H7*I7</f>
        <v>9000</v>
      </c>
    </row>
    <row r="8" spans="1:16">
      <c r="A8" s="2">
        <v>4.0199999999999996</v>
      </c>
      <c r="B8" s="234" t="s">
        <v>991</v>
      </c>
      <c r="G8" s="19"/>
      <c r="H8" s="12"/>
      <c r="I8" s="12"/>
      <c r="J8" s="287">
        <f>SUM(J9:J10)</f>
        <v>18781.216906666668</v>
      </c>
    </row>
    <row r="9" spans="1:16">
      <c r="A9" t="s">
        <v>992</v>
      </c>
      <c r="B9" t="s">
        <v>993</v>
      </c>
      <c r="G9" s="19" t="s">
        <v>214</v>
      </c>
      <c r="H9" s="12">
        <f>ROUNDUP(SUM(BIBLIOTECA:INGRESO!G48),0)</f>
        <v>101</v>
      </c>
      <c r="I9" s="12">
        <f>'APUS SANITARIAS'!J32</f>
        <v>131.73781333333332</v>
      </c>
      <c r="J9" s="12">
        <f t="shared" ref="J7:J26" si="1">H9*I9</f>
        <v>13305.519146666666</v>
      </c>
      <c r="P9" s="2"/>
    </row>
    <row r="10" spans="1:16">
      <c r="A10" t="s">
        <v>994</v>
      </c>
      <c r="B10" t="s">
        <v>995</v>
      </c>
      <c r="G10" s="19" t="s">
        <v>214</v>
      </c>
      <c r="H10" s="12">
        <f>ROUNDUP(SUM(BIBLIOTECA:INGRESO!G49),0)</f>
        <v>26</v>
      </c>
      <c r="I10" s="12">
        <f>'APUS SANITARIAS'!J50</f>
        <v>210.60376000000002</v>
      </c>
      <c r="J10" s="12">
        <f t="shared" si="1"/>
        <v>5475.6977600000009</v>
      </c>
    </row>
    <row r="11" spans="1:16">
      <c r="A11" s="2">
        <v>4.03</v>
      </c>
      <c r="B11" s="234" t="s">
        <v>996</v>
      </c>
      <c r="G11" s="19"/>
      <c r="H11" s="12"/>
      <c r="I11" s="12"/>
      <c r="J11" s="287">
        <f>SUM(J12)</f>
        <v>19200</v>
      </c>
    </row>
    <row r="12" spans="1:16">
      <c r="A12" t="s">
        <v>997</v>
      </c>
      <c r="B12" t="s">
        <v>998</v>
      </c>
      <c r="G12" s="19" t="s">
        <v>149</v>
      </c>
      <c r="H12" s="12">
        <f>ROUNDUP(SUM(BIBLIOTECA:INGRESO!G50),0)</f>
        <v>96</v>
      </c>
      <c r="I12" s="12">
        <f>'APUS SANITARIAS'!J69</f>
        <v>200</v>
      </c>
      <c r="J12" s="12">
        <f t="shared" si="1"/>
        <v>19200</v>
      </c>
      <c r="P12" s="2"/>
    </row>
    <row r="13" spans="1:16">
      <c r="A13" s="2">
        <v>4.04</v>
      </c>
      <c r="B13" s="67" t="s">
        <v>999</v>
      </c>
      <c r="G13" s="19"/>
      <c r="H13" s="12"/>
      <c r="I13" s="12"/>
      <c r="J13" s="287">
        <f>SUM(J14)</f>
        <v>3760.5197279999998</v>
      </c>
    </row>
    <row r="14" spans="1:16">
      <c r="A14" t="s">
        <v>1000</v>
      </c>
      <c r="B14" t="s">
        <v>999</v>
      </c>
      <c r="G14" s="19" t="s">
        <v>149</v>
      </c>
      <c r="H14" s="12">
        <f>ROUNDUP(SUM(BIBLIOTECA:INGRESO!G51),0)</f>
        <v>7</v>
      </c>
      <c r="I14" s="12">
        <f>'APUS SANITARIAS'!J76</f>
        <v>537.21710399999995</v>
      </c>
      <c r="J14" s="12">
        <f t="shared" si="1"/>
        <v>3760.5197279999998</v>
      </c>
      <c r="P14" s="2"/>
    </row>
    <row r="15" spans="1:16">
      <c r="A15" s="2">
        <v>4.05</v>
      </c>
      <c r="B15" s="67" t="s">
        <v>1001</v>
      </c>
      <c r="G15" s="19"/>
      <c r="H15" s="12"/>
      <c r="I15" s="12"/>
      <c r="J15" s="287">
        <f>SUM(J16)</f>
        <v>1265.1842656699725</v>
      </c>
    </row>
    <row r="16" spans="1:16">
      <c r="A16" t="s">
        <v>1002</v>
      </c>
      <c r="B16" t="s">
        <v>1003</v>
      </c>
      <c r="G16" s="19" t="s">
        <v>214</v>
      </c>
      <c r="H16" s="50">
        <f>ROUND(1.3*'Datos iniciales '!B3/75,0)</f>
        <v>8</v>
      </c>
      <c r="I16" s="12">
        <f>'APUS SANITARIAS'!J91</f>
        <v>158.14803320874657</v>
      </c>
      <c r="J16" s="12">
        <f t="shared" si="1"/>
        <v>1265.1842656699725</v>
      </c>
      <c r="P16" s="2"/>
    </row>
    <row r="17" spans="1:16">
      <c r="A17" s="2">
        <v>4.0599999999999996</v>
      </c>
      <c r="B17" s="67" t="s">
        <v>1004</v>
      </c>
      <c r="G17" s="19"/>
      <c r="H17" s="12"/>
      <c r="I17" s="12"/>
      <c r="J17" s="287">
        <f>SUM(J18:J19)</f>
        <v>29596.430239999998</v>
      </c>
    </row>
    <row r="18" spans="1:16">
      <c r="A18" t="s">
        <v>1005</v>
      </c>
      <c r="B18" t="s">
        <v>1006</v>
      </c>
      <c r="G18" s="19" t="s">
        <v>214</v>
      </c>
      <c r="H18" s="12">
        <f>ROUNDUP(SUM(BIBLIOTECA:INGRESO!G53),0)</f>
        <v>104</v>
      </c>
      <c r="I18" s="12">
        <f>'APUS SANITARIAS'!J108</f>
        <v>138.64527999999999</v>
      </c>
      <c r="J18" s="12">
        <f t="shared" si="1"/>
        <v>14419.109119999999</v>
      </c>
      <c r="P18" s="2"/>
    </row>
    <row r="19" spans="1:16">
      <c r="A19" t="s">
        <v>1007</v>
      </c>
      <c r="B19" t="s">
        <v>1008</v>
      </c>
      <c r="G19" s="19" t="s">
        <v>214</v>
      </c>
      <c r="H19" s="12">
        <f>ROUNDUP(SUM(BIBLIOTECA:INGRESO!G54),0)</f>
        <v>104</v>
      </c>
      <c r="I19" s="12">
        <f>'APUS SANITARIAS'!J127</f>
        <v>145.93577999999999</v>
      </c>
      <c r="J19" s="12">
        <f t="shared" si="1"/>
        <v>15177.321119999999</v>
      </c>
    </row>
    <row r="20" spans="1:16">
      <c r="A20" s="2">
        <v>4.07</v>
      </c>
      <c r="B20" s="67" t="s">
        <v>1009</v>
      </c>
      <c r="G20" s="19"/>
      <c r="H20" s="12"/>
      <c r="I20" s="12"/>
      <c r="J20" s="287">
        <f>SUM(J21)</f>
        <v>14671.40272</v>
      </c>
    </row>
    <row r="21" spans="1:16">
      <c r="A21" t="s">
        <v>1010</v>
      </c>
      <c r="B21" t="s">
        <v>1011</v>
      </c>
      <c r="G21" s="19" t="s">
        <v>214</v>
      </c>
      <c r="H21" s="12">
        <f>ROUNDUP(SUM(BIBLIOTECA:INGRESO!G55),0)</f>
        <v>104</v>
      </c>
      <c r="I21" s="12">
        <f>'APUS SANITARIAS'!J145</f>
        <v>141.07118</v>
      </c>
      <c r="J21" s="12">
        <f t="shared" si="1"/>
        <v>14671.40272</v>
      </c>
      <c r="P21" s="2"/>
    </row>
    <row r="22" spans="1:16">
      <c r="A22" s="2">
        <v>4.08</v>
      </c>
      <c r="B22" s="67" t="s">
        <v>1012</v>
      </c>
      <c r="G22" s="19"/>
      <c r="H22" s="12"/>
      <c r="I22" s="12"/>
      <c r="J22" s="287">
        <f>SUM(J23:J24)</f>
        <v>7896.1165784096756</v>
      </c>
    </row>
    <row r="23" spans="1:16">
      <c r="A23" t="s">
        <v>1013</v>
      </c>
      <c r="B23" t="s">
        <v>1014</v>
      </c>
      <c r="G23" s="19" t="s">
        <v>149</v>
      </c>
      <c r="H23" s="12">
        <f>ROUNDUP(SUM(BIBLIOTECA:INGRESO!G56),0)</f>
        <v>25</v>
      </c>
      <c r="I23" s="12">
        <f>'APUS SANITARIAS'!J163</f>
        <v>214.33091999999999</v>
      </c>
      <c r="J23" s="12">
        <f t="shared" si="1"/>
        <v>5358.2730000000001</v>
      </c>
      <c r="P23" s="2"/>
    </row>
    <row r="24" spans="1:16">
      <c r="A24" t="s">
        <v>1015</v>
      </c>
      <c r="B24" t="s">
        <v>1016</v>
      </c>
      <c r="G24" s="19" t="s">
        <v>149</v>
      </c>
      <c r="H24" s="12">
        <f>ROUNDUP(SUM(BIBLIOTECA:INGRESO!G57),0)</f>
        <v>25</v>
      </c>
      <c r="I24" s="12">
        <f>'APUS SANITARIAS'!J178</f>
        <v>101.51374313638702</v>
      </c>
      <c r="J24" s="12">
        <f t="shared" si="1"/>
        <v>2537.8435784096755</v>
      </c>
    </row>
    <row r="25" spans="1:16">
      <c r="A25" s="2">
        <v>4.09</v>
      </c>
      <c r="B25" s="1" t="s">
        <v>112</v>
      </c>
      <c r="F25" s="12"/>
      <c r="G25" s="19"/>
      <c r="H25" s="12"/>
      <c r="J25" s="287">
        <f>SUM(J26:J28)</f>
        <v>381490.15</v>
      </c>
    </row>
    <row r="26" spans="1:16">
      <c r="A26" t="s">
        <v>1017</v>
      </c>
      <c r="B26" t="s">
        <v>113</v>
      </c>
      <c r="G26" s="19" t="s">
        <v>1018</v>
      </c>
      <c r="H26" s="12">
        <v>1</v>
      </c>
      <c r="I26" s="50">
        <f>'APUS SANITARIAS'!J195</f>
        <v>79716.91</v>
      </c>
      <c r="J26" s="12">
        <f>H26*I26</f>
        <v>79716.91</v>
      </c>
      <c r="P26" s="2"/>
    </row>
    <row r="27" spans="1:16">
      <c r="A27" t="s">
        <v>1019</v>
      </c>
      <c r="B27" t="s">
        <v>114</v>
      </c>
      <c r="G27" s="19" t="s">
        <v>1018</v>
      </c>
      <c r="H27" s="12">
        <v>1</v>
      </c>
      <c r="I27" s="50">
        <f>'APUS SANITARIAS'!J202</f>
        <v>131735.24</v>
      </c>
      <c r="J27" s="12">
        <f t="shared" ref="J27:J28" si="2">H27*I27</f>
        <v>131735.24</v>
      </c>
    </row>
    <row r="28" spans="1:16">
      <c r="A28" t="s">
        <v>1020</v>
      </c>
      <c r="B28" t="s">
        <v>115</v>
      </c>
      <c r="G28" s="19" t="s">
        <v>1018</v>
      </c>
      <c r="H28" s="12">
        <v>1</v>
      </c>
      <c r="I28" s="50">
        <f>'APUS SANITARIAS'!J209</f>
        <v>170038</v>
      </c>
      <c r="J28" s="12">
        <f t="shared" si="2"/>
        <v>170038</v>
      </c>
    </row>
    <row r="29" spans="1:16">
      <c r="I29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71AD-179D-41A0-B75B-AF96B9E2C60B}">
  <sheetPr>
    <tabColor rgb="FFFF0000"/>
  </sheetPr>
  <dimension ref="A4:T861"/>
  <sheetViews>
    <sheetView topLeftCell="A189" workbookViewId="0">
      <selection activeCell="M208" sqref="M208"/>
    </sheetView>
  </sheetViews>
  <sheetFormatPr defaultRowHeight="15"/>
  <cols>
    <col min="9" max="9" width="9.28515625" bestFit="1" customWidth="1"/>
    <col min="10" max="10" width="13.5703125" customWidth="1"/>
    <col min="16" max="17" width="10.85546875" bestFit="1" customWidth="1"/>
  </cols>
  <sheetData>
    <row r="4" spans="1:15">
      <c r="A4" s="2" t="s">
        <v>277</v>
      </c>
      <c r="B4" s="2" t="str">
        <f>SANITARIAS!A4</f>
        <v>04.01.01</v>
      </c>
      <c r="C4" s="2" t="s">
        <v>318</v>
      </c>
      <c r="D4" s="2"/>
    </row>
    <row r="5" spans="1:15">
      <c r="A5" s="2" t="s">
        <v>278</v>
      </c>
      <c r="B5" s="2" t="s">
        <v>325</v>
      </c>
      <c r="C5" s="4" t="s">
        <v>280</v>
      </c>
      <c r="D5" s="5">
        <v>35</v>
      </c>
      <c r="E5" s="4" t="s">
        <v>281</v>
      </c>
      <c r="F5" s="5">
        <f>D5</f>
        <v>35</v>
      </c>
      <c r="G5" s="2" t="s">
        <v>282</v>
      </c>
      <c r="I5" s="4" t="s">
        <v>149</v>
      </c>
      <c r="J5" s="6">
        <f>J9</f>
        <v>193.33333333333331</v>
      </c>
      <c r="N5" s="2"/>
      <c r="O5" s="2"/>
    </row>
    <row r="6" spans="1:15">
      <c r="A6" s="2" t="s">
        <v>283</v>
      </c>
      <c r="B6" s="2" t="s">
        <v>284</v>
      </c>
      <c r="F6" s="4" t="s">
        <v>122</v>
      </c>
      <c r="G6" s="4" t="s">
        <v>285</v>
      </c>
      <c r="H6" s="4" t="s">
        <v>286</v>
      </c>
      <c r="I6" s="4" t="s">
        <v>287</v>
      </c>
      <c r="J6" s="4" t="s">
        <v>288</v>
      </c>
      <c r="O6" s="2"/>
    </row>
    <row r="7" spans="1:15">
      <c r="B7" s="7" t="s">
        <v>653</v>
      </c>
      <c r="O7" s="2"/>
    </row>
    <row r="8" spans="1:15">
      <c r="B8" t="s">
        <v>984</v>
      </c>
      <c r="F8" s="8" t="s">
        <v>149</v>
      </c>
      <c r="G8" s="9"/>
      <c r="H8" s="10">
        <f>1/3</f>
        <v>0.33333333333333331</v>
      </c>
      <c r="I8" s="12">
        <v>580</v>
      </c>
      <c r="J8" s="12">
        <f>H8*I8</f>
        <v>193.33333333333331</v>
      </c>
    </row>
    <row r="9" spans="1:15">
      <c r="A9" s="14"/>
      <c r="B9" s="14"/>
      <c r="C9" s="14"/>
      <c r="D9" s="14"/>
      <c r="E9" s="14"/>
      <c r="F9" s="44"/>
      <c r="G9" s="45"/>
      <c r="H9" s="46"/>
      <c r="I9" s="14"/>
      <c r="J9" s="16">
        <f>SUM(J8)</f>
        <v>193.33333333333331</v>
      </c>
    </row>
    <row r="10" spans="1:15">
      <c r="F10" s="8"/>
      <c r="G10" s="9"/>
      <c r="H10" s="10"/>
      <c r="J10" s="12"/>
    </row>
    <row r="11" spans="1:15">
      <c r="A11" s="2" t="s">
        <v>277</v>
      </c>
      <c r="B11" s="2" t="str">
        <f>SANITARIAS!A5</f>
        <v>04.01.02</v>
      </c>
      <c r="C11" s="2" t="s">
        <v>1021</v>
      </c>
      <c r="D11" s="2"/>
    </row>
    <row r="12" spans="1:15">
      <c r="A12" s="2" t="s">
        <v>278</v>
      </c>
      <c r="B12" s="2" t="s">
        <v>325</v>
      </c>
      <c r="C12" s="4" t="s">
        <v>280</v>
      </c>
      <c r="D12" s="5">
        <v>35</v>
      </c>
      <c r="E12" s="4" t="s">
        <v>281</v>
      </c>
      <c r="F12" s="5">
        <f>D12</f>
        <v>35</v>
      </c>
      <c r="G12" s="2" t="s">
        <v>282</v>
      </c>
      <c r="I12" s="4" t="s">
        <v>149</v>
      </c>
      <c r="J12" s="6">
        <f>J16</f>
        <v>192.42</v>
      </c>
    </row>
    <row r="13" spans="1:15">
      <c r="A13" s="2" t="s">
        <v>283</v>
      </c>
      <c r="B13" s="2" t="s">
        <v>284</v>
      </c>
      <c r="F13" s="4" t="s">
        <v>122</v>
      </c>
      <c r="G13" s="4" t="s">
        <v>285</v>
      </c>
      <c r="H13" s="4" t="s">
        <v>286</v>
      </c>
      <c r="I13" s="4" t="s">
        <v>287</v>
      </c>
      <c r="J13" s="4" t="s">
        <v>288</v>
      </c>
    </row>
    <row r="14" spans="1:15">
      <c r="B14" s="7" t="s">
        <v>653</v>
      </c>
    </row>
    <row r="15" spans="1:15">
      <c r="B15" t="s">
        <v>986</v>
      </c>
      <c r="F15" s="8" t="s">
        <v>149</v>
      </c>
      <c r="G15" s="9"/>
      <c r="H15" s="10">
        <f>1/3</f>
        <v>0.33333333333333331</v>
      </c>
      <c r="I15" s="12">
        <v>577.26</v>
      </c>
      <c r="J15" s="12">
        <f>H15*I15</f>
        <v>192.42</v>
      </c>
    </row>
    <row r="16" spans="1:15">
      <c r="A16" s="14"/>
      <c r="B16" s="14"/>
      <c r="C16" s="14"/>
      <c r="D16" s="14"/>
      <c r="E16" s="14"/>
      <c r="F16" s="44"/>
      <c r="G16" s="45"/>
      <c r="H16" s="46"/>
      <c r="I16" s="14"/>
      <c r="J16" s="16">
        <f>SUM(J15)</f>
        <v>192.42</v>
      </c>
    </row>
    <row r="18" spans="1:10">
      <c r="A18" s="2" t="s">
        <v>277</v>
      </c>
      <c r="B18" s="2" t="str">
        <f>SANITARIAS!A6</f>
        <v>04.01.03</v>
      </c>
      <c r="C18" s="2" t="s">
        <v>1022</v>
      </c>
      <c r="D18" s="2"/>
    </row>
    <row r="19" spans="1:10">
      <c r="A19" s="2" t="s">
        <v>278</v>
      </c>
      <c r="B19" s="2" t="s">
        <v>325</v>
      </c>
      <c r="C19" s="4" t="s">
        <v>280</v>
      </c>
      <c r="D19" s="5">
        <v>35</v>
      </c>
      <c r="E19" s="4" t="s">
        <v>281</v>
      </c>
      <c r="F19" s="5">
        <f>D19</f>
        <v>35</v>
      </c>
      <c r="G19" s="2" t="s">
        <v>282</v>
      </c>
      <c r="I19" s="4" t="s">
        <v>149</v>
      </c>
      <c r="J19" s="6">
        <f>J23</f>
        <v>67.521666666666661</v>
      </c>
    </row>
    <row r="20" spans="1:10">
      <c r="A20" s="2" t="s">
        <v>283</v>
      </c>
      <c r="B20" s="2" t="s">
        <v>284</v>
      </c>
      <c r="F20" s="4" t="s">
        <v>122</v>
      </c>
      <c r="G20" s="4" t="s">
        <v>285</v>
      </c>
      <c r="H20" s="4" t="s">
        <v>286</v>
      </c>
      <c r="I20" s="4" t="s">
        <v>287</v>
      </c>
      <c r="J20" s="4" t="s">
        <v>288</v>
      </c>
    </row>
    <row r="21" spans="1:10">
      <c r="B21" s="7" t="s">
        <v>653</v>
      </c>
    </row>
    <row r="22" spans="1:10">
      <c r="B22" t="s">
        <v>988</v>
      </c>
      <c r="F22" s="8" t="s">
        <v>149</v>
      </c>
      <c r="G22" s="9"/>
      <c r="H22" s="10">
        <f>1/3</f>
        <v>0.33333333333333331</v>
      </c>
      <c r="I22" s="17">
        <v>202.565</v>
      </c>
      <c r="J22" s="12">
        <f>H22*I22</f>
        <v>67.521666666666661</v>
      </c>
    </row>
    <row r="23" spans="1:10">
      <c r="A23" s="14"/>
      <c r="B23" s="14"/>
      <c r="C23" s="14"/>
      <c r="D23" s="14"/>
      <c r="E23" s="14"/>
      <c r="F23" s="44"/>
      <c r="G23" s="45"/>
      <c r="H23" s="46"/>
      <c r="I23" s="14"/>
      <c r="J23" s="16">
        <f>SUM(J22:J22)</f>
        <v>67.521666666666661</v>
      </c>
    </row>
    <row r="25" spans="1:10">
      <c r="A25" s="2" t="s">
        <v>277</v>
      </c>
      <c r="B25" s="2" t="str">
        <f>SANITARIAS!A7</f>
        <v>04.01.04</v>
      </c>
      <c r="C25" s="2" t="s">
        <v>990</v>
      </c>
      <c r="D25" s="2"/>
    </row>
    <row r="26" spans="1:10">
      <c r="A26" s="2" t="s">
        <v>278</v>
      </c>
      <c r="B26" s="2" t="s">
        <v>325</v>
      </c>
      <c r="C26" s="4" t="s">
        <v>280</v>
      </c>
      <c r="D26" s="5">
        <v>1</v>
      </c>
      <c r="E26" s="4" t="s">
        <v>281</v>
      </c>
      <c r="F26" s="5">
        <f>D26</f>
        <v>1</v>
      </c>
      <c r="G26" s="2" t="s">
        <v>282</v>
      </c>
      <c r="I26" s="4" t="s">
        <v>149</v>
      </c>
      <c r="J26" s="6">
        <f>J30</f>
        <v>750</v>
      </c>
    </row>
    <row r="27" spans="1:10">
      <c r="A27" s="2" t="s">
        <v>283</v>
      </c>
      <c r="B27" s="2" t="s">
        <v>284</v>
      </c>
      <c r="F27" s="4" t="s">
        <v>122</v>
      </c>
      <c r="G27" s="4" t="s">
        <v>285</v>
      </c>
      <c r="H27" s="4" t="s">
        <v>286</v>
      </c>
      <c r="I27" s="4" t="s">
        <v>287</v>
      </c>
      <c r="J27" s="4" t="s">
        <v>288</v>
      </c>
    </row>
    <row r="28" spans="1:10">
      <c r="B28" s="7" t="s">
        <v>653</v>
      </c>
    </row>
    <row r="29" spans="1:10">
      <c r="B29" t="s">
        <v>990</v>
      </c>
      <c r="F29" s="8" t="s">
        <v>149</v>
      </c>
      <c r="G29" s="9"/>
      <c r="H29" s="10">
        <v>1</v>
      </c>
      <c r="I29" s="12">
        <v>750</v>
      </c>
      <c r="J29" s="12">
        <f>H29*I29</f>
        <v>750</v>
      </c>
    </row>
    <row r="30" spans="1:10">
      <c r="A30" s="14"/>
      <c r="B30" s="14"/>
      <c r="C30" s="14"/>
      <c r="D30" s="14"/>
      <c r="E30" s="14"/>
      <c r="F30" s="14"/>
      <c r="G30" s="14"/>
      <c r="H30" s="14"/>
      <c r="I30" s="15"/>
      <c r="J30" s="16">
        <f>SUM(J29)</f>
        <v>750</v>
      </c>
    </row>
    <row r="31" spans="1:10">
      <c r="A31" s="2" t="s">
        <v>277</v>
      </c>
      <c r="B31" s="2" t="str">
        <f>SANITARIAS!A9</f>
        <v>04.02.01</v>
      </c>
      <c r="C31" s="2" t="s">
        <v>993</v>
      </c>
      <c r="D31" s="2"/>
    </row>
    <row r="32" spans="1:10">
      <c r="A32" s="2" t="s">
        <v>278</v>
      </c>
      <c r="B32" s="2" t="s">
        <v>413</v>
      </c>
      <c r="C32" s="4" t="s">
        <v>280</v>
      </c>
      <c r="D32" s="5">
        <v>3</v>
      </c>
      <c r="E32" s="4" t="s">
        <v>281</v>
      </c>
      <c r="F32" s="5">
        <f>D32</f>
        <v>3</v>
      </c>
      <c r="G32" s="2" t="s">
        <v>282</v>
      </c>
      <c r="I32" s="4" t="s">
        <v>214</v>
      </c>
      <c r="J32" s="6">
        <f>J38+J44+J47</f>
        <v>131.73781333333332</v>
      </c>
    </row>
    <row r="33" spans="1:10">
      <c r="A33" s="2" t="s">
        <v>283</v>
      </c>
      <c r="B33" s="2" t="s">
        <v>284</v>
      </c>
      <c r="F33" s="4" t="s">
        <v>122</v>
      </c>
      <c r="G33" s="4" t="s">
        <v>285</v>
      </c>
      <c r="H33" s="4" t="s">
        <v>286</v>
      </c>
      <c r="I33" s="4" t="s">
        <v>287</v>
      </c>
      <c r="J33" s="4" t="s">
        <v>288</v>
      </c>
    </row>
    <row r="34" spans="1:10">
      <c r="B34" s="7" t="s">
        <v>289</v>
      </c>
    </row>
    <row r="35" spans="1:10">
      <c r="B35" t="s">
        <v>650</v>
      </c>
      <c r="F35" s="8" t="s">
        <v>291</v>
      </c>
      <c r="G35" s="9">
        <v>0.1</v>
      </c>
      <c r="H35" s="10">
        <f>G35*8/$D$32</f>
        <v>0.26666666666666666</v>
      </c>
      <c r="I35" s="12">
        <v>34.729999999999997</v>
      </c>
      <c r="J35" s="12">
        <f>H35*I35</f>
        <v>9.261333333333333</v>
      </c>
    </row>
    <row r="36" spans="1:10">
      <c r="B36" t="s">
        <v>290</v>
      </c>
      <c r="F36" s="8" t="s">
        <v>291</v>
      </c>
      <c r="G36" s="9">
        <v>1</v>
      </c>
      <c r="H36" s="10">
        <f>G36*8/$D$32</f>
        <v>2.6666666666666665</v>
      </c>
      <c r="I36" s="12">
        <v>28.94</v>
      </c>
      <c r="J36" s="12">
        <f>H36*I36</f>
        <v>77.173333333333332</v>
      </c>
    </row>
    <row r="37" spans="1:10">
      <c r="B37" t="s">
        <v>293</v>
      </c>
      <c r="F37" s="8" t="s">
        <v>291</v>
      </c>
      <c r="G37" s="9">
        <v>0.5</v>
      </c>
      <c r="H37" s="10">
        <f>G37*8/$D$32</f>
        <v>1.3333333333333333</v>
      </c>
      <c r="I37">
        <v>20.51</v>
      </c>
      <c r="J37" s="12">
        <f>H37*I37</f>
        <v>27.346666666666668</v>
      </c>
    </row>
    <row r="38" spans="1:10">
      <c r="F38" s="8"/>
      <c r="G38" s="9"/>
      <c r="H38" s="10"/>
      <c r="J38" s="6">
        <f>SUM(J35:J37)</f>
        <v>113.78133333333332</v>
      </c>
    </row>
    <row r="39" spans="1:10">
      <c r="B39" s="7" t="s">
        <v>653</v>
      </c>
      <c r="F39" s="8"/>
      <c r="G39" s="9"/>
      <c r="H39" s="10"/>
      <c r="J39" s="12"/>
    </row>
    <row r="40" spans="1:10">
      <c r="B40" t="s">
        <v>1023</v>
      </c>
      <c r="F40" s="8" t="s">
        <v>439</v>
      </c>
      <c r="H40" s="10">
        <v>0.03</v>
      </c>
      <c r="I40">
        <v>189.66</v>
      </c>
      <c r="J40" s="12">
        <f>H40*I40</f>
        <v>5.6898</v>
      </c>
    </row>
    <row r="41" spans="1:10">
      <c r="B41" t="s">
        <v>1024</v>
      </c>
      <c r="F41" s="8" t="s">
        <v>330</v>
      </c>
      <c r="H41" s="10">
        <v>0.41199999999999998</v>
      </c>
      <c r="I41">
        <v>11.27</v>
      </c>
      <c r="J41" s="12">
        <f t="shared" ref="J41:J43" si="0">H41*I41</f>
        <v>4.6432399999999996</v>
      </c>
    </row>
    <row r="42" spans="1:10">
      <c r="B42" t="s">
        <v>1025</v>
      </c>
      <c r="F42" s="8" t="s">
        <v>330</v>
      </c>
      <c r="H42" s="10">
        <v>2</v>
      </c>
      <c r="I42" s="12">
        <v>1.19</v>
      </c>
      <c r="J42" s="12">
        <f t="shared" si="0"/>
        <v>2.38</v>
      </c>
    </row>
    <row r="43" spans="1:10">
      <c r="B43" t="s">
        <v>1026</v>
      </c>
      <c r="F43" s="8" t="s">
        <v>330</v>
      </c>
      <c r="H43" s="10">
        <v>1</v>
      </c>
      <c r="I43" s="12">
        <v>1.83</v>
      </c>
      <c r="J43" s="12">
        <f t="shared" si="0"/>
        <v>1.83</v>
      </c>
    </row>
    <row r="44" spans="1:10">
      <c r="F44" s="8"/>
      <c r="H44" s="10"/>
      <c r="I44" s="12"/>
      <c r="J44" s="6">
        <f>SUM(J40:J43)</f>
        <v>14.54304</v>
      </c>
    </row>
    <row r="45" spans="1:10">
      <c r="B45" s="7" t="s">
        <v>309</v>
      </c>
    </row>
    <row r="46" spans="1:10">
      <c r="B46" t="s">
        <v>310</v>
      </c>
      <c r="F46" s="8" t="s">
        <v>311</v>
      </c>
      <c r="H46" s="10">
        <v>3</v>
      </c>
      <c r="I46" s="12">
        <f>J38</f>
        <v>113.78133333333332</v>
      </c>
      <c r="J46" s="12">
        <f>H46%*I46</f>
        <v>3.4134399999999996</v>
      </c>
    </row>
    <row r="47" spans="1:10">
      <c r="A47" s="14"/>
      <c r="B47" s="14"/>
      <c r="C47" s="14"/>
      <c r="D47" s="14"/>
      <c r="E47" s="14"/>
      <c r="F47" s="14"/>
      <c r="G47" s="14"/>
      <c r="H47" s="14"/>
      <c r="I47" s="15"/>
      <c r="J47" s="16">
        <f>SUM(J46)</f>
        <v>3.4134399999999996</v>
      </c>
    </row>
    <row r="49" spans="1:10">
      <c r="A49" s="2" t="s">
        <v>277</v>
      </c>
      <c r="B49" s="2" t="str">
        <f>SANITARIAS!A10</f>
        <v>04.02.02</v>
      </c>
      <c r="C49" s="2" t="s">
        <v>995</v>
      </c>
      <c r="D49" s="2"/>
    </row>
    <row r="50" spans="1:10">
      <c r="A50" s="2" t="s">
        <v>278</v>
      </c>
      <c r="B50" s="2" t="s">
        <v>413</v>
      </c>
      <c r="C50" s="4" t="s">
        <v>280</v>
      </c>
      <c r="D50" s="5">
        <v>2</v>
      </c>
      <c r="E50" s="4" t="s">
        <v>281</v>
      </c>
      <c r="F50" s="5">
        <f>D50</f>
        <v>2</v>
      </c>
      <c r="G50" s="2" t="s">
        <v>282</v>
      </c>
      <c r="I50" s="4" t="s">
        <v>214</v>
      </c>
      <c r="J50" s="6">
        <f>J56+J63+J66</f>
        <v>210.60376000000002</v>
      </c>
    </row>
    <row r="51" spans="1:10">
      <c r="A51" s="2" t="s">
        <v>283</v>
      </c>
      <c r="B51" s="2" t="s">
        <v>284</v>
      </c>
      <c r="F51" s="4" t="s">
        <v>122</v>
      </c>
      <c r="G51" s="4" t="s">
        <v>285</v>
      </c>
      <c r="H51" s="4" t="s">
        <v>286</v>
      </c>
      <c r="I51" s="4" t="s">
        <v>287</v>
      </c>
      <c r="J51" s="4" t="s">
        <v>288</v>
      </c>
    </row>
    <row r="52" spans="1:10">
      <c r="B52" s="7" t="s">
        <v>289</v>
      </c>
    </row>
    <row r="53" spans="1:10">
      <c r="B53" t="s">
        <v>650</v>
      </c>
      <c r="F53" s="8" t="s">
        <v>291</v>
      </c>
      <c r="G53" s="9">
        <v>0.1</v>
      </c>
      <c r="H53" s="10">
        <f>G53*8/$D$50</f>
        <v>0.4</v>
      </c>
      <c r="I53" s="12">
        <v>34.729999999999997</v>
      </c>
      <c r="J53" s="12">
        <f>H53*I53</f>
        <v>13.891999999999999</v>
      </c>
    </row>
    <row r="54" spans="1:10">
      <c r="B54" t="s">
        <v>290</v>
      </c>
      <c r="F54" s="8" t="s">
        <v>291</v>
      </c>
      <c r="G54" s="9">
        <v>1</v>
      </c>
      <c r="H54" s="10">
        <f>G54*8/$D$50</f>
        <v>4</v>
      </c>
      <c r="I54" s="12">
        <v>28.94</v>
      </c>
      <c r="J54" s="12">
        <f>H54*I54</f>
        <v>115.76</v>
      </c>
    </row>
    <row r="55" spans="1:10">
      <c r="B55" t="s">
        <v>293</v>
      </c>
      <c r="F55" s="8" t="s">
        <v>291</v>
      </c>
      <c r="G55" s="9">
        <v>0.5</v>
      </c>
      <c r="H55" s="10">
        <f>G55*8/$D$50</f>
        <v>2</v>
      </c>
      <c r="I55" s="12">
        <v>20.51</v>
      </c>
      <c r="J55" s="12">
        <f>H55*I55</f>
        <v>41.02</v>
      </c>
    </row>
    <row r="56" spans="1:10">
      <c r="F56" s="8"/>
      <c r="G56" s="9"/>
      <c r="H56" s="10"/>
      <c r="I56" s="12"/>
      <c r="J56" s="6">
        <f>SUM(J53:J55)</f>
        <v>170.67200000000003</v>
      </c>
    </row>
    <row r="57" spans="1:10">
      <c r="B57" s="7" t="s">
        <v>653</v>
      </c>
      <c r="F57" s="8"/>
      <c r="G57" s="9"/>
      <c r="H57" s="10"/>
      <c r="I57" s="12"/>
      <c r="J57" s="12"/>
    </row>
    <row r="58" spans="1:10">
      <c r="B58" t="s">
        <v>1027</v>
      </c>
      <c r="F58" s="8" t="s">
        <v>439</v>
      </c>
      <c r="H58" s="10">
        <v>0.04</v>
      </c>
      <c r="I58" s="12">
        <v>400.54</v>
      </c>
      <c r="J58" s="12">
        <f>H58*I58</f>
        <v>16.021599999999999</v>
      </c>
    </row>
    <row r="59" spans="1:10">
      <c r="B59" t="s">
        <v>1028</v>
      </c>
      <c r="F59" s="8" t="s">
        <v>330</v>
      </c>
      <c r="H59" s="10">
        <v>0.5</v>
      </c>
      <c r="I59" s="12">
        <v>26.1</v>
      </c>
      <c r="J59" s="12">
        <f>H59*I59</f>
        <v>13.05</v>
      </c>
    </row>
    <row r="60" spans="1:10">
      <c r="B60" t="s">
        <v>1029</v>
      </c>
      <c r="F60" s="8" t="s">
        <v>330</v>
      </c>
      <c r="H60" s="10">
        <v>1</v>
      </c>
      <c r="I60" s="12">
        <v>1</v>
      </c>
      <c r="J60" s="12">
        <f>H60*I60</f>
        <v>1</v>
      </c>
    </row>
    <row r="61" spans="1:10">
      <c r="B61" t="s">
        <v>1030</v>
      </c>
      <c r="F61" s="8" t="s">
        <v>330</v>
      </c>
      <c r="H61" s="10">
        <v>2</v>
      </c>
      <c r="I61" s="12">
        <v>1.27</v>
      </c>
      <c r="J61" s="12">
        <f>H61*I61</f>
        <v>2.54</v>
      </c>
    </row>
    <row r="62" spans="1:10">
      <c r="B62" t="s">
        <v>1031</v>
      </c>
      <c r="F62" s="8" t="s">
        <v>330</v>
      </c>
      <c r="H62" s="10">
        <v>1</v>
      </c>
      <c r="I62" s="50">
        <v>2.2000000000000002</v>
      </c>
      <c r="J62" s="12">
        <f>H62*I62</f>
        <v>2.2000000000000002</v>
      </c>
    </row>
    <row r="63" spans="1:10">
      <c r="F63" s="8"/>
      <c r="H63" s="10"/>
      <c r="I63" s="12"/>
      <c r="J63" s="6">
        <f>SUM(J58:J62)</f>
        <v>34.811600000000006</v>
      </c>
    </row>
    <row r="64" spans="1:10">
      <c r="B64" s="7" t="s">
        <v>309</v>
      </c>
    </row>
    <row r="65" spans="1:10">
      <c r="B65" t="s">
        <v>310</v>
      </c>
      <c r="F65" s="8" t="s">
        <v>311</v>
      </c>
      <c r="H65" s="10">
        <v>3</v>
      </c>
      <c r="I65" s="12">
        <f>J56</f>
        <v>170.67200000000003</v>
      </c>
      <c r="J65" s="12">
        <f>H65%*I65</f>
        <v>5.1201600000000003</v>
      </c>
    </row>
    <row r="66" spans="1:10">
      <c r="A66" s="14"/>
      <c r="B66" s="14"/>
      <c r="C66" s="14"/>
      <c r="D66" s="14"/>
      <c r="E66" s="14"/>
      <c r="F66" s="14"/>
      <c r="G66" s="14"/>
      <c r="H66" s="14"/>
      <c r="I66" s="15"/>
      <c r="J66" s="16">
        <f>SUM(J65)</f>
        <v>5.1201600000000003</v>
      </c>
    </row>
    <row r="68" spans="1:10">
      <c r="A68" s="2" t="s">
        <v>277</v>
      </c>
      <c r="B68" s="2" t="str">
        <f>SANITARIAS!A12</f>
        <v>04.03.01</v>
      </c>
      <c r="C68" s="2" t="s">
        <v>998</v>
      </c>
      <c r="D68" s="2"/>
    </row>
    <row r="69" spans="1:10">
      <c r="A69" s="2" t="s">
        <v>278</v>
      </c>
      <c r="B69" s="2" t="s">
        <v>331</v>
      </c>
      <c r="C69" s="4" t="s">
        <v>280</v>
      </c>
      <c r="D69" s="5">
        <v>1</v>
      </c>
      <c r="E69" s="4" t="s">
        <v>281</v>
      </c>
      <c r="F69" s="5">
        <f>D69</f>
        <v>1</v>
      </c>
      <c r="G69" s="2" t="s">
        <v>282</v>
      </c>
      <c r="I69" s="4" t="s">
        <v>154</v>
      </c>
      <c r="J69" s="6">
        <f>J73</f>
        <v>200</v>
      </c>
    </row>
    <row r="70" spans="1:10">
      <c r="A70" s="2" t="s">
        <v>283</v>
      </c>
      <c r="B70" s="2" t="s">
        <v>284</v>
      </c>
      <c r="F70" s="4" t="s">
        <v>122</v>
      </c>
      <c r="G70" s="4" t="s">
        <v>285</v>
      </c>
      <c r="H70" s="4" t="s">
        <v>286</v>
      </c>
      <c r="I70" s="4" t="s">
        <v>287</v>
      </c>
      <c r="J70" s="4" t="s">
        <v>288</v>
      </c>
    </row>
    <row r="71" spans="1:10">
      <c r="B71" s="7" t="s">
        <v>294</v>
      </c>
    </row>
    <row r="72" spans="1:10">
      <c r="B72" t="s">
        <v>998</v>
      </c>
      <c r="F72" s="8" t="s">
        <v>154</v>
      </c>
      <c r="G72" s="9"/>
      <c r="H72" s="10">
        <v>1</v>
      </c>
      <c r="I72" s="12">
        <v>200</v>
      </c>
      <c r="J72" s="12">
        <f>H72*I72</f>
        <v>200</v>
      </c>
    </row>
    <row r="73" spans="1:10">
      <c r="A73" s="14"/>
      <c r="B73" s="14"/>
      <c r="C73" s="14"/>
      <c r="D73" s="14"/>
      <c r="E73" s="14"/>
      <c r="F73" s="14"/>
      <c r="G73" s="14"/>
      <c r="H73" s="14"/>
      <c r="I73" s="15"/>
      <c r="J73" s="16">
        <f>SUM(J72)</f>
        <v>200</v>
      </c>
    </row>
    <row r="75" spans="1:10">
      <c r="A75" s="2" t="s">
        <v>277</v>
      </c>
      <c r="B75" s="2" t="str">
        <f>SANITARIAS!A14</f>
        <v>04.04.01</v>
      </c>
      <c r="C75" s="2" t="s">
        <v>999</v>
      </c>
      <c r="D75" s="2"/>
    </row>
    <row r="76" spans="1:10">
      <c r="A76" s="2" t="s">
        <v>278</v>
      </c>
      <c r="B76" s="2" t="s">
        <v>331</v>
      </c>
      <c r="C76" s="4" t="s">
        <v>280</v>
      </c>
      <c r="D76" s="5">
        <v>5</v>
      </c>
      <c r="E76" s="4" t="s">
        <v>281</v>
      </c>
      <c r="F76" s="5">
        <f>D76</f>
        <v>5</v>
      </c>
      <c r="G76" s="2" t="s">
        <v>282</v>
      </c>
      <c r="I76" s="4" t="s">
        <v>154</v>
      </c>
      <c r="J76" s="6">
        <f>J82+J85+J88</f>
        <v>537.21710399999995</v>
      </c>
    </row>
    <row r="77" spans="1:10">
      <c r="A77" s="2" t="s">
        <v>283</v>
      </c>
      <c r="B77" s="2" t="s">
        <v>284</v>
      </c>
      <c r="F77" s="4" t="s">
        <v>122</v>
      </c>
      <c r="G77" s="4" t="s">
        <v>285</v>
      </c>
      <c r="H77" s="4" t="s">
        <v>286</v>
      </c>
      <c r="I77" s="4" t="s">
        <v>287</v>
      </c>
      <c r="J77" s="4" t="s">
        <v>288</v>
      </c>
    </row>
    <row r="78" spans="1:10">
      <c r="B78" s="7" t="s">
        <v>289</v>
      </c>
    </row>
    <row r="79" spans="1:10">
      <c r="B79" t="s">
        <v>650</v>
      </c>
      <c r="F79" s="8" t="s">
        <v>291</v>
      </c>
      <c r="G79" s="9">
        <v>0.1</v>
      </c>
      <c r="H79" s="10">
        <f>G79*8/$D$76</f>
        <v>0.16</v>
      </c>
      <c r="I79" s="12">
        <v>34.729999999999997</v>
      </c>
      <c r="J79" s="12">
        <f>H79*I79</f>
        <v>5.5568</v>
      </c>
    </row>
    <row r="80" spans="1:10">
      <c r="B80" t="s">
        <v>290</v>
      </c>
      <c r="F80" s="8" t="s">
        <v>291</v>
      </c>
      <c r="G80" s="9">
        <v>1</v>
      </c>
      <c r="H80" s="10">
        <f>G80*8/$D$76</f>
        <v>1.6</v>
      </c>
      <c r="I80" s="12">
        <v>28.94</v>
      </c>
      <c r="J80" s="12">
        <f>H80*I80</f>
        <v>46.304000000000002</v>
      </c>
    </row>
    <row r="81" spans="1:14">
      <c r="B81" t="s">
        <v>293</v>
      </c>
      <c r="F81" s="8" t="s">
        <v>291</v>
      </c>
      <c r="G81" s="9">
        <v>1</v>
      </c>
      <c r="H81" s="10">
        <f>G81*8/$D$76</f>
        <v>1.6</v>
      </c>
      <c r="I81">
        <v>20.51</v>
      </c>
      <c r="J81" s="12">
        <f>H81*I81</f>
        <v>32.816000000000003</v>
      </c>
    </row>
    <row r="82" spans="1:14">
      <c r="F82" s="8"/>
      <c r="G82" s="9"/>
      <c r="H82" s="10"/>
      <c r="J82" s="6">
        <f>SUM(J79:J81)</f>
        <v>84.676800000000014</v>
      </c>
    </row>
    <row r="83" spans="1:14">
      <c r="B83" s="7" t="s">
        <v>653</v>
      </c>
      <c r="F83" s="8"/>
      <c r="G83" s="9"/>
      <c r="H83" s="12"/>
      <c r="J83" s="12"/>
    </row>
    <row r="84" spans="1:14">
      <c r="B84" t="s">
        <v>1032</v>
      </c>
      <c r="F84" s="8" t="s">
        <v>149</v>
      </c>
      <c r="H84" s="12">
        <v>1</v>
      </c>
      <c r="I84" s="50">
        <v>450</v>
      </c>
      <c r="J84" s="12">
        <f>H84*I84</f>
        <v>450</v>
      </c>
    </row>
    <row r="85" spans="1:14">
      <c r="F85" s="8"/>
      <c r="H85" s="12"/>
      <c r="I85" s="12"/>
      <c r="J85" s="6">
        <f>SUM(J84)</f>
        <v>450</v>
      </c>
    </row>
    <row r="86" spans="1:14">
      <c r="B86" s="7" t="s">
        <v>309</v>
      </c>
    </row>
    <row r="87" spans="1:14">
      <c r="B87" t="s">
        <v>310</v>
      </c>
      <c r="F87" s="8" t="s">
        <v>311</v>
      </c>
      <c r="H87" s="10">
        <v>3</v>
      </c>
      <c r="I87" s="12">
        <f>J82</f>
        <v>84.676800000000014</v>
      </c>
      <c r="J87" s="12">
        <f>H87%*I87</f>
        <v>2.5403040000000003</v>
      </c>
    </row>
    <row r="88" spans="1:14">
      <c r="A88" s="14"/>
      <c r="B88" s="14"/>
      <c r="C88" s="14"/>
      <c r="D88" s="14"/>
      <c r="E88" s="14"/>
      <c r="F88" s="14"/>
      <c r="G88" s="14"/>
      <c r="H88" s="14"/>
      <c r="I88" s="15"/>
      <c r="J88" s="16">
        <f>SUM(J87:J87)</f>
        <v>2.5403040000000003</v>
      </c>
    </row>
    <row r="89" spans="1:14">
      <c r="F89" s="8"/>
      <c r="H89" s="12"/>
      <c r="I89" s="12"/>
      <c r="J89" s="12"/>
    </row>
    <row r="90" spans="1:14">
      <c r="A90" s="2" t="s">
        <v>277</v>
      </c>
      <c r="B90" s="2" t="str">
        <f>SANITARIAS!A16</f>
        <v>04.05.01</v>
      </c>
      <c r="C90" s="2" t="s">
        <v>1003</v>
      </c>
      <c r="D90" s="2"/>
    </row>
    <row r="91" spans="1:14">
      <c r="A91" s="2" t="s">
        <v>278</v>
      </c>
      <c r="B91" s="2" t="s">
        <v>413</v>
      </c>
      <c r="C91" s="4" t="s">
        <v>280</v>
      </c>
      <c r="D91" s="5">
        <v>4</v>
      </c>
      <c r="E91" s="4" t="s">
        <v>281</v>
      </c>
      <c r="F91" s="5">
        <f>D91</f>
        <v>4</v>
      </c>
      <c r="G91" s="2" t="s">
        <v>282</v>
      </c>
      <c r="I91" s="4" t="s">
        <v>214</v>
      </c>
      <c r="J91" s="6">
        <f>J97+J102+J105</f>
        <v>158.14803320874657</v>
      </c>
      <c r="N91" s="2"/>
    </row>
    <row r="92" spans="1:14">
      <c r="A92" s="2" t="s">
        <v>283</v>
      </c>
      <c r="B92" s="2" t="s">
        <v>284</v>
      </c>
      <c r="F92" s="4" t="s">
        <v>122</v>
      </c>
      <c r="G92" s="4" t="s">
        <v>285</v>
      </c>
      <c r="H92" s="4" t="s">
        <v>286</v>
      </c>
      <c r="I92" s="4" t="s">
        <v>287</v>
      </c>
      <c r="J92" s="4" t="s">
        <v>288</v>
      </c>
      <c r="M92" s="2"/>
      <c r="N92" s="2"/>
    </row>
    <row r="93" spans="1:14">
      <c r="B93" s="7" t="s">
        <v>289</v>
      </c>
      <c r="N93" s="2"/>
    </row>
    <row r="94" spans="1:14">
      <c r="B94" t="s">
        <v>650</v>
      </c>
      <c r="F94" s="8" t="s">
        <v>291</v>
      </c>
      <c r="G94" s="9">
        <v>0.1</v>
      </c>
      <c r="H94" s="10">
        <f>G94*8/$D$91</f>
        <v>0.2</v>
      </c>
      <c r="I94" s="12">
        <v>34.729999999999997</v>
      </c>
      <c r="J94" s="12">
        <f>H94*I94</f>
        <v>6.9459999999999997</v>
      </c>
      <c r="N94" s="2"/>
    </row>
    <row r="95" spans="1:14">
      <c r="B95" t="s">
        <v>290</v>
      </c>
      <c r="F95" s="8" t="s">
        <v>291</v>
      </c>
      <c r="G95" s="9">
        <v>1</v>
      </c>
      <c r="H95" s="10">
        <f>G95*8/$D$91</f>
        <v>2</v>
      </c>
      <c r="I95" s="12">
        <v>28.94</v>
      </c>
      <c r="J95" s="12">
        <f>H95*I95</f>
        <v>57.88</v>
      </c>
      <c r="M95" s="2"/>
      <c r="N95" s="2"/>
    </row>
    <row r="96" spans="1:14">
      <c r="B96" t="s">
        <v>293</v>
      </c>
      <c r="F96" s="8" t="s">
        <v>291</v>
      </c>
      <c r="G96" s="9">
        <v>1</v>
      </c>
      <c r="H96" s="10">
        <f>G96*8/$D$91</f>
        <v>2</v>
      </c>
      <c r="I96">
        <v>20.51</v>
      </c>
      <c r="J96" s="12">
        <f>H96*I96</f>
        <v>41.02</v>
      </c>
      <c r="N96" s="2"/>
    </row>
    <row r="97" spans="1:14">
      <c r="F97" s="8"/>
      <c r="G97" s="9"/>
      <c r="H97" s="10"/>
      <c r="J97" s="6">
        <f>SUM(J94:J96)</f>
        <v>105.846</v>
      </c>
      <c r="M97" s="2"/>
      <c r="N97" s="2"/>
    </row>
    <row r="98" spans="1:14">
      <c r="B98" s="7" t="s">
        <v>653</v>
      </c>
      <c r="F98" s="8"/>
      <c r="G98" s="9"/>
      <c r="H98" s="12"/>
      <c r="J98" s="12"/>
      <c r="N98" s="2"/>
    </row>
    <row r="99" spans="1:14">
      <c r="B99" t="s">
        <v>1033</v>
      </c>
      <c r="F99" s="8" t="s">
        <v>203</v>
      </c>
      <c r="H99" s="12">
        <v>3.2399999999999998E-2</v>
      </c>
      <c r="I99" s="50">
        <v>88.037464604661281</v>
      </c>
      <c r="J99" s="12">
        <f>H99*I99</f>
        <v>2.8524138531910253</v>
      </c>
      <c r="M99" s="2"/>
      <c r="N99" s="2"/>
    </row>
    <row r="100" spans="1:14">
      <c r="B100" t="s">
        <v>1034</v>
      </c>
      <c r="F100" s="8" t="s">
        <v>203</v>
      </c>
      <c r="H100" s="12">
        <v>0.3</v>
      </c>
      <c r="I100" s="50">
        <v>19.242474406447396</v>
      </c>
      <c r="J100" s="12">
        <f>H100*I100</f>
        <v>5.7727423219342189</v>
      </c>
      <c r="N100" s="2"/>
    </row>
    <row r="101" spans="1:14">
      <c r="B101" t="s">
        <v>1035</v>
      </c>
      <c r="F101" s="8" t="s">
        <v>149</v>
      </c>
      <c r="H101" s="12">
        <v>2</v>
      </c>
      <c r="I101" s="50">
        <v>20.25074851681066</v>
      </c>
      <c r="J101" s="12">
        <f>H101*I101</f>
        <v>40.50149703362132</v>
      </c>
    </row>
    <row r="102" spans="1:14">
      <c r="F102" s="8"/>
      <c r="H102" s="12"/>
      <c r="I102" s="12"/>
      <c r="J102" s="6">
        <f>SUM(J99:J101)</f>
        <v>49.126653208746561</v>
      </c>
    </row>
    <row r="103" spans="1:14">
      <c r="B103" s="7" t="s">
        <v>309</v>
      </c>
    </row>
    <row r="104" spans="1:14">
      <c r="B104" t="s">
        <v>310</v>
      </c>
      <c r="F104" s="8" t="s">
        <v>311</v>
      </c>
      <c r="H104" s="10">
        <v>3</v>
      </c>
      <c r="I104" s="12">
        <f>J97</f>
        <v>105.846</v>
      </c>
      <c r="J104" s="12">
        <f>H104%*I104</f>
        <v>3.1753800000000001</v>
      </c>
    </row>
    <row r="105" spans="1:14">
      <c r="A105" s="14"/>
      <c r="B105" s="14"/>
      <c r="C105" s="14"/>
      <c r="D105" s="14"/>
      <c r="E105" s="14"/>
      <c r="F105" s="14"/>
      <c r="G105" s="14"/>
      <c r="H105" s="14"/>
      <c r="I105" s="15"/>
      <c r="J105" s="16">
        <f>SUM(J104:J104)</f>
        <v>3.1753800000000001</v>
      </c>
    </row>
    <row r="107" spans="1:14">
      <c r="A107" s="2" t="s">
        <v>277</v>
      </c>
      <c r="B107" s="2" t="str">
        <f>SANITARIAS!A18</f>
        <v>04.06.01</v>
      </c>
      <c r="C107" s="2" t="s">
        <v>1036</v>
      </c>
      <c r="D107" s="2"/>
    </row>
    <row r="108" spans="1:14">
      <c r="A108" s="2" t="s">
        <v>278</v>
      </c>
      <c r="B108" s="2" t="s">
        <v>413</v>
      </c>
      <c r="C108" s="4" t="s">
        <v>280</v>
      </c>
      <c r="D108" s="5">
        <v>4</v>
      </c>
      <c r="E108" s="4" t="s">
        <v>281</v>
      </c>
      <c r="F108" s="5">
        <f>D108</f>
        <v>4</v>
      </c>
      <c r="G108" s="2" t="s">
        <v>282</v>
      </c>
      <c r="I108" s="4" t="s">
        <v>214</v>
      </c>
      <c r="J108" s="6">
        <f>J114+J121+J124</f>
        <v>138.64527999999999</v>
      </c>
    </row>
    <row r="109" spans="1:14">
      <c r="A109" s="2" t="s">
        <v>283</v>
      </c>
      <c r="B109" s="2" t="s">
        <v>284</v>
      </c>
      <c r="F109" s="4" t="s">
        <v>122</v>
      </c>
      <c r="G109" s="4" t="s">
        <v>285</v>
      </c>
      <c r="H109" s="4" t="s">
        <v>286</v>
      </c>
      <c r="I109" s="4" t="s">
        <v>287</v>
      </c>
      <c r="J109" s="4" t="s">
        <v>288</v>
      </c>
    </row>
    <row r="110" spans="1:14">
      <c r="B110" s="7" t="s">
        <v>289</v>
      </c>
    </row>
    <row r="111" spans="1:14">
      <c r="B111" t="s">
        <v>650</v>
      </c>
      <c r="F111" s="8" t="s">
        <v>291</v>
      </c>
      <c r="G111" s="9">
        <v>0.1</v>
      </c>
      <c r="H111" s="10">
        <f>G111*8/$D$108</f>
        <v>0.2</v>
      </c>
      <c r="I111" s="12">
        <v>34.729999999999997</v>
      </c>
      <c r="J111" s="12">
        <f>H111*I111</f>
        <v>6.9459999999999997</v>
      </c>
    </row>
    <row r="112" spans="1:14">
      <c r="B112" t="s">
        <v>290</v>
      </c>
      <c r="F112" s="8" t="s">
        <v>291</v>
      </c>
      <c r="G112" s="9">
        <v>1</v>
      </c>
      <c r="H112" s="10">
        <f>G112*8/$D$108</f>
        <v>2</v>
      </c>
      <c r="I112" s="12">
        <v>28.94</v>
      </c>
      <c r="J112" s="12">
        <f>H112*I112</f>
        <v>57.88</v>
      </c>
    </row>
    <row r="113" spans="1:10">
      <c r="B113" t="s">
        <v>293</v>
      </c>
      <c r="F113" s="8" t="s">
        <v>291</v>
      </c>
      <c r="G113" s="9">
        <v>1</v>
      </c>
      <c r="H113" s="10">
        <f>G113*8/$D$108</f>
        <v>2</v>
      </c>
      <c r="I113">
        <v>20.51</v>
      </c>
      <c r="J113" s="12">
        <f>H113*I113</f>
        <v>41.02</v>
      </c>
    </row>
    <row r="114" spans="1:10">
      <c r="F114" s="8"/>
      <c r="G114" s="9"/>
      <c r="H114" s="10"/>
      <c r="J114" s="6">
        <f>SUM(J111:J113)</f>
        <v>105.846</v>
      </c>
    </row>
    <row r="115" spans="1:10">
      <c r="B115" s="7" t="s">
        <v>653</v>
      </c>
      <c r="F115" s="8"/>
      <c r="G115" s="9"/>
      <c r="H115" s="10"/>
      <c r="J115" s="12"/>
    </row>
    <row r="116" spans="1:10">
      <c r="B116" t="s">
        <v>1023</v>
      </c>
      <c r="F116" s="8" t="s">
        <v>439</v>
      </c>
      <c r="H116">
        <v>0.03</v>
      </c>
      <c r="I116">
        <v>189.66</v>
      </c>
      <c r="J116" s="12">
        <f>H116*I116</f>
        <v>5.6898</v>
      </c>
    </row>
    <row r="117" spans="1:10">
      <c r="B117" t="s">
        <v>1037</v>
      </c>
      <c r="F117" s="8" t="s">
        <v>330</v>
      </c>
      <c r="H117">
        <v>0.35</v>
      </c>
      <c r="I117">
        <v>16.53</v>
      </c>
      <c r="J117" s="12">
        <f>H117*I117</f>
        <v>5.7854999999999999</v>
      </c>
    </row>
    <row r="118" spans="1:10">
      <c r="B118" t="s">
        <v>1038</v>
      </c>
      <c r="F118" s="8" t="s">
        <v>330</v>
      </c>
      <c r="H118" s="10">
        <v>1.03</v>
      </c>
      <c r="I118" s="12">
        <v>1.44</v>
      </c>
      <c r="J118" s="12">
        <f>H118*I118</f>
        <v>1.4832000000000001</v>
      </c>
    </row>
    <row r="119" spans="1:10">
      <c r="B119" t="s">
        <v>1039</v>
      </c>
      <c r="F119" s="8" t="s">
        <v>330</v>
      </c>
      <c r="H119" s="10">
        <v>1.03</v>
      </c>
      <c r="I119" s="12">
        <v>3.47</v>
      </c>
      <c r="J119" s="12">
        <f>H119*I119</f>
        <v>3.5741000000000005</v>
      </c>
    </row>
    <row r="120" spans="1:10">
      <c r="B120" t="s">
        <v>1040</v>
      </c>
      <c r="F120" s="8" t="s">
        <v>330</v>
      </c>
      <c r="H120">
        <v>1.03</v>
      </c>
      <c r="I120">
        <v>12.71</v>
      </c>
      <c r="J120" s="12">
        <f>H120*I120</f>
        <v>13.0913</v>
      </c>
    </row>
    <row r="121" spans="1:10">
      <c r="F121" s="8"/>
      <c r="H121" s="10"/>
      <c r="I121" s="12"/>
      <c r="J121" s="6">
        <f>SUM(J116:J120)</f>
        <v>29.623900000000003</v>
      </c>
    </row>
    <row r="122" spans="1:10">
      <c r="B122" s="7" t="s">
        <v>309</v>
      </c>
    </row>
    <row r="123" spans="1:10">
      <c r="B123" t="s">
        <v>310</v>
      </c>
      <c r="F123" s="8" t="s">
        <v>311</v>
      </c>
      <c r="H123" s="10">
        <v>3</v>
      </c>
      <c r="I123" s="12">
        <f>J114</f>
        <v>105.846</v>
      </c>
      <c r="J123" s="12">
        <f>H123%*I123</f>
        <v>3.1753800000000001</v>
      </c>
    </row>
    <row r="124" spans="1:10">
      <c r="A124" s="14"/>
      <c r="B124" s="14"/>
      <c r="C124" s="14"/>
      <c r="D124" s="14"/>
      <c r="E124" s="14"/>
      <c r="F124" s="14"/>
      <c r="G124" s="14"/>
      <c r="H124" s="14"/>
      <c r="I124" s="15"/>
      <c r="J124" s="16">
        <f>SUM(J123)</f>
        <v>3.1753800000000001</v>
      </c>
    </row>
    <row r="125" spans="1:10">
      <c r="A125" s="2"/>
      <c r="B125" s="2"/>
      <c r="C125" s="4"/>
      <c r="D125" s="5"/>
      <c r="E125" s="4"/>
      <c r="F125" s="5"/>
      <c r="G125" s="2"/>
      <c r="I125" s="4"/>
      <c r="J125" s="6"/>
    </row>
    <row r="126" spans="1:10">
      <c r="A126" s="2" t="s">
        <v>277</v>
      </c>
      <c r="B126" s="2" t="str">
        <f>SANITARIAS!A19</f>
        <v>04.06.02</v>
      </c>
      <c r="C126" s="2" t="s">
        <v>1041</v>
      </c>
      <c r="D126" s="2"/>
    </row>
    <row r="127" spans="1:10">
      <c r="A127" s="2" t="s">
        <v>278</v>
      </c>
      <c r="B127" s="2" t="s">
        <v>413</v>
      </c>
      <c r="C127" s="4" t="s">
        <v>280</v>
      </c>
      <c r="D127" s="5">
        <v>4</v>
      </c>
      <c r="E127" s="4" t="s">
        <v>281</v>
      </c>
      <c r="F127" s="5">
        <f>D127</f>
        <v>4</v>
      </c>
      <c r="G127" s="2" t="s">
        <v>282</v>
      </c>
      <c r="I127" s="4" t="s">
        <v>214</v>
      </c>
      <c r="J127" s="6">
        <f>J133+J139+J142</f>
        <v>145.93577999999999</v>
      </c>
    </row>
    <row r="128" spans="1:10">
      <c r="A128" s="2" t="s">
        <v>283</v>
      </c>
      <c r="B128" s="2" t="s">
        <v>284</v>
      </c>
      <c r="F128" s="4" t="s">
        <v>122</v>
      </c>
      <c r="G128" s="4" t="s">
        <v>285</v>
      </c>
      <c r="H128" s="4" t="s">
        <v>286</v>
      </c>
      <c r="I128" s="4" t="s">
        <v>287</v>
      </c>
      <c r="J128" s="4" t="s">
        <v>288</v>
      </c>
    </row>
    <row r="129" spans="1:10">
      <c r="B129" s="7" t="s">
        <v>289</v>
      </c>
    </row>
    <row r="130" spans="1:10">
      <c r="B130" t="s">
        <v>650</v>
      </c>
      <c r="F130" s="8" t="s">
        <v>291</v>
      </c>
      <c r="G130" s="9">
        <v>0.1</v>
      </c>
      <c r="H130" s="10">
        <f>G130*8/$D$127</f>
        <v>0.2</v>
      </c>
      <c r="I130" s="12">
        <v>34.729999999999997</v>
      </c>
      <c r="J130" s="12">
        <f>H130*I130</f>
        <v>6.9459999999999997</v>
      </c>
    </row>
    <row r="131" spans="1:10">
      <c r="B131" t="s">
        <v>290</v>
      </c>
      <c r="F131" s="8" t="s">
        <v>291</v>
      </c>
      <c r="G131" s="9">
        <v>1</v>
      </c>
      <c r="H131" s="10">
        <f>G131*8/$D$127</f>
        <v>2</v>
      </c>
      <c r="I131" s="12">
        <v>28.94</v>
      </c>
      <c r="J131" s="12">
        <f>H131*I131</f>
        <v>57.88</v>
      </c>
    </row>
    <row r="132" spans="1:10">
      <c r="B132" t="s">
        <v>293</v>
      </c>
      <c r="F132" s="8" t="s">
        <v>291</v>
      </c>
      <c r="G132" s="9">
        <v>1</v>
      </c>
      <c r="H132" s="10">
        <f>G132*8/$D$127</f>
        <v>2</v>
      </c>
      <c r="I132">
        <v>20.51</v>
      </c>
      <c r="J132" s="12">
        <f>H132*I132</f>
        <v>41.02</v>
      </c>
    </row>
    <row r="133" spans="1:10">
      <c r="F133" s="8"/>
      <c r="G133" s="9"/>
      <c r="H133" s="10"/>
      <c r="J133" s="6">
        <f>SUM(J130:J132)</f>
        <v>105.846</v>
      </c>
    </row>
    <row r="134" spans="1:10">
      <c r="B134" s="7" t="s">
        <v>653</v>
      </c>
      <c r="F134" s="8"/>
      <c r="G134" s="9"/>
      <c r="H134" s="10"/>
      <c r="J134" s="12"/>
    </row>
    <row r="135" spans="1:10">
      <c r="B135" t="s">
        <v>1023</v>
      </c>
      <c r="F135" s="8" t="s">
        <v>439</v>
      </c>
      <c r="H135">
        <v>0.03</v>
      </c>
      <c r="I135">
        <v>189.66</v>
      </c>
      <c r="J135" s="12">
        <f>H135*I135</f>
        <v>5.6898</v>
      </c>
    </row>
    <row r="136" spans="1:10">
      <c r="B136" t="s">
        <v>1042</v>
      </c>
      <c r="F136" s="8" t="s">
        <v>330</v>
      </c>
      <c r="H136">
        <v>0.35</v>
      </c>
      <c r="I136">
        <v>29.12</v>
      </c>
      <c r="J136" s="12">
        <f>H136*I136</f>
        <v>10.192</v>
      </c>
    </row>
    <row r="137" spans="1:10">
      <c r="B137" t="s">
        <v>1043</v>
      </c>
      <c r="F137" s="8" t="s">
        <v>330</v>
      </c>
      <c r="H137" s="10">
        <v>1.03</v>
      </c>
      <c r="I137" s="12">
        <v>5.93</v>
      </c>
      <c r="J137" s="12">
        <f>H137*I137</f>
        <v>6.1078999999999999</v>
      </c>
    </row>
    <row r="138" spans="1:10">
      <c r="B138" t="s">
        <v>1044</v>
      </c>
      <c r="F138" s="8" t="s">
        <v>330</v>
      </c>
      <c r="H138" s="10">
        <v>1.03</v>
      </c>
      <c r="I138" s="12">
        <v>14.49</v>
      </c>
      <c r="J138" s="12">
        <f>H138*I138</f>
        <v>14.924700000000001</v>
      </c>
    </row>
    <row r="139" spans="1:10">
      <c r="F139" s="8"/>
      <c r="H139" s="10"/>
      <c r="I139" s="12"/>
      <c r="J139" s="6">
        <f>SUM(J135:J138)</f>
        <v>36.914400000000001</v>
      </c>
    </row>
    <row r="140" spans="1:10">
      <c r="B140" s="7" t="s">
        <v>309</v>
      </c>
    </row>
    <row r="141" spans="1:10">
      <c r="B141" t="s">
        <v>310</v>
      </c>
      <c r="F141" s="8" t="s">
        <v>311</v>
      </c>
      <c r="H141" s="10">
        <v>3</v>
      </c>
      <c r="I141" s="12">
        <f>J133</f>
        <v>105.846</v>
      </c>
      <c r="J141" s="12">
        <f>H141%*I141</f>
        <v>3.1753800000000001</v>
      </c>
    </row>
    <row r="142" spans="1:10">
      <c r="A142" s="14"/>
      <c r="B142" s="14"/>
      <c r="C142" s="14"/>
      <c r="D142" s="14"/>
      <c r="E142" s="14"/>
      <c r="F142" s="14"/>
      <c r="G142" s="14"/>
      <c r="H142" s="14"/>
      <c r="I142" s="15"/>
      <c r="J142" s="16">
        <f>SUM(J141)</f>
        <v>3.1753800000000001</v>
      </c>
    </row>
    <row r="144" spans="1:10">
      <c r="A144" s="2" t="s">
        <v>277</v>
      </c>
      <c r="B144" s="2" t="str">
        <f>SANITARIAS!A21</f>
        <v>04.07.01</v>
      </c>
      <c r="C144" s="2" t="s">
        <v>1045</v>
      </c>
      <c r="D144" s="2"/>
    </row>
    <row r="145" spans="1:10">
      <c r="A145" s="2" t="s">
        <v>278</v>
      </c>
      <c r="B145" s="2" t="s">
        <v>413</v>
      </c>
      <c r="C145" s="4" t="s">
        <v>280</v>
      </c>
      <c r="D145" s="5">
        <v>4</v>
      </c>
      <c r="E145" s="4" t="s">
        <v>281</v>
      </c>
      <c r="F145" s="5">
        <f>D145</f>
        <v>4</v>
      </c>
      <c r="G145" s="2" t="s">
        <v>282</v>
      </c>
      <c r="I145" s="4" t="s">
        <v>214</v>
      </c>
      <c r="J145" s="6">
        <f>J151+J157+J160</f>
        <v>141.07118</v>
      </c>
    </row>
    <row r="146" spans="1:10">
      <c r="A146" s="2" t="s">
        <v>283</v>
      </c>
      <c r="B146" s="2" t="s">
        <v>284</v>
      </c>
      <c r="F146" s="4" t="s">
        <v>122</v>
      </c>
      <c r="G146" s="4" t="s">
        <v>285</v>
      </c>
      <c r="H146" s="4" t="s">
        <v>286</v>
      </c>
      <c r="I146" s="4" t="s">
        <v>287</v>
      </c>
      <c r="J146" s="4" t="s">
        <v>288</v>
      </c>
    </row>
    <row r="147" spans="1:10">
      <c r="B147" s="7" t="s">
        <v>289</v>
      </c>
    </row>
    <row r="148" spans="1:10">
      <c r="B148" t="s">
        <v>650</v>
      </c>
      <c r="F148" s="8" t="s">
        <v>291</v>
      </c>
      <c r="G148" s="9">
        <v>0.1</v>
      </c>
      <c r="H148" s="10">
        <f>G148*8/$D$145</f>
        <v>0.2</v>
      </c>
      <c r="I148" s="12">
        <v>34.729999999999997</v>
      </c>
      <c r="J148" s="12">
        <f>H148*I148</f>
        <v>6.9459999999999997</v>
      </c>
    </row>
    <row r="149" spans="1:10">
      <c r="B149" t="s">
        <v>290</v>
      </c>
      <c r="F149" s="8" t="s">
        <v>291</v>
      </c>
      <c r="G149" s="9">
        <v>1</v>
      </c>
      <c r="H149" s="10">
        <f>G149*8/$D$145</f>
        <v>2</v>
      </c>
      <c r="I149" s="12">
        <v>28.94</v>
      </c>
      <c r="J149" s="12">
        <f>H149*I149</f>
        <v>57.88</v>
      </c>
    </row>
    <row r="150" spans="1:10">
      <c r="B150" t="s">
        <v>293</v>
      </c>
      <c r="F150" s="8" t="s">
        <v>291</v>
      </c>
      <c r="G150" s="9">
        <v>1</v>
      </c>
      <c r="H150" s="10">
        <f>G150*8/$D$145</f>
        <v>2</v>
      </c>
      <c r="I150">
        <v>20.51</v>
      </c>
      <c r="J150" s="12">
        <f>H150*I150</f>
        <v>41.02</v>
      </c>
    </row>
    <row r="151" spans="1:10">
      <c r="F151" s="8"/>
      <c r="G151" s="9"/>
      <c r="H151" s="10"/>
      <c r="J151" s="6">
        <f>SUM(J148:J150)</f>
        <v>105.846</v>
      </c>
    </row>
    <row r="152" spans="1:10">
      <c r="B152" s="7" t="s">
        <v>653</v>
      </c>
      <c r="F152" s="8"/>
      <c r="G152" s="9"/>
      <c r="H152" s="10"/>
      <c r="J152" s="12"/>
    </row>
    <row r="153" spans="1:10">
      <c r="B153" t="s">
        <v>1023</v>
      </c>
      <c r="F153" s="8" t="s">
        <v>439</v>
      </c>
      <c r="H153" s="10">
        <v>0.03</v>
      </c>
      <c r="I153">
        <v>189.66</v>
      </c>
      <c r="J153" s="12">
        <f>H153*I153</f>
        <v>5.6898</v>
      </c>
    </row>
    <row r="154" spans="1:10">
      <c r="B154" t="s">
        <v>1037</v>
      </c>
      <c r="F154" s="8" t="s">
        <v>330</v>
      </c>
      <c r="H154" s="10">
        <v>1</v>
      </c>
      <c r="I154">
        <v>16.53</v>
      </c>
      <c r="J154" s="12">
        <f>H154*I154</f>
        <v>16.53</v>
      </c>
    </row>
    <row r="155" spans="1:10">
      <c r="B155" t="s">
        <v>1038</v>
      </c>
      <c r="F155" s="8" t="s">
        <v>330</v>
      </c>
      <c r="H155" s="10">
        <v>1</v>
      </c>
      <c r="I155" s="12">
        <v>1.44</v>
      </c>
      <c r="J155" s="12">
        <f>H155*I155</f>
        <v>1.44</v>
      </c>
    </row>
    <row r="156" spans="1:10">
      <c r="B156" t="s">
        <v>1046</v>
      </c>
      <c r="F156" s="8" t="s">
        <v>330</v>
      </c>
      <c r="H156" s="10">
        <v>1</v>
      </c>
      <c r="I156" s="12">
        <v>8.39</v>
      </c>
      <c r="J156" s="12">
        <f>H156*I156</f>
        <v>8.39</v>
      </c>
    </row>
    <row r="157" spans="1:10">
      <c r="F157" s="8"/>
      <c r="H157" s="10"/>
      <c r="I157" s="12"/>
      <c r="J157" s="6">
        <f>SUM(J153:J156)</f>
        <v>32.049800000000005</v>
      </c>
    </row>
    <row r="158" spans="1:10">
      <c r="B158" s="7" t="s">
        <v>309</v>
      </c>
    </row>
    <row r="159" spans="1:10">
      <c r="B159" t="s">
        <v>310</v>
      </c>
      <c r="F159" s="8" t="s">
        <v>311</v>
      </c>
      <c r="H159" s="10">
        <v>3</v>
      </c>
      <c r="I159" s="12">
        <f>J151</f>
        <v>105.846</v>
      </c>
      <c r="J159" s="12">
        <f>H159%*I159</f>
        <v>3.1753800000000001</v>
      </c>
    </row>
    <row r="160" spans="1:10">
      <c r="A160" s="14"/>
      <c r="B160" s="14"/>
      <c r="C160" s="14"/>
      <c r="D160" s="14"/>
      <c r="E160" s="14"/>
      <c r="F160" s="14"/>
      <c r="G160" s="14"/>
      <c r="H160" s="14"/>
      <c r="I160" s="15"/>
      <c r="J160" s="16">
        <f>SUM(J159)</f>
        <v>3.1753800000000001</v>
      </c>
    </row>
    <row r="162" spans="1:10">
      <c r="A162" s="2" t="s">
        <v>277</v>
      </c>
      <c r="B162" s="2" t="str">
        <f>SANITARIAS!A23</f>
        <v>04.08.01</v>
      </c>
      <c r="C162" s="2" t="s">
        <v>1014</v>
      </c>
      <c r="D162" s="2"/>
    </row>
    <row r="163" spans="1:10">
      <c r="A163" s="2" t="s">
        <v>278</v>
      </c>
      <c r="B163" s="2" t="s">
        <v>325</v>
      </c>
      <c r="C163" s="4" t="s">
        <v>280</v>
      </c>
      <c r="D163" s="5">
        <v>6</v>
      </c>
      <c r="E163" s="4" t="s">
        <v>281</v>
      </c>
      <c r="F163" s="5">
        <f>D163</f>
        <v>6</v>
      </c>
      <c r="G163" s="2" t="s">
        <v>282</v>
      </c>
      <c r="I163" s="4" t="s">
        <v>149</v>
      </c>
      <c r="J163" s="6">
        <f>J169+J172+J175</f>
        <v>214.33091999999999</v>
      </c>
    </row>
    <row r="164" spans="1:10">
      <c r="A164" s="2" t="s">
        <v>283</v>
      </c>
      <c r="B164" s="2" t="s">
        <v>284</v>
      </c>
      <c r="F164" s="4" t="s">
        <v>122</v>
      </c>
      <c r="G164" s="4" t="s">
        <v>285</v>
      </c>
      <c r="H164" s="4" t="s">
        <v>286</v>
      </c>
      <c r="I164" s="4" t="s">
        <v>287</v>
      </c>
      <c r="J164" s="4" t="s">
        <v>288</v>
      </c>
    </row>
    <row r="165" spans="1:10">
      <c r="B165" s="7" t="s">
        <v>289</v>
      </c>
    </row>
    <row r="166" spans="1:10">
      <c r="B166" t="s">
        <v>650</v>
      </c>
      <c r="F166" s="8" t="s">
        <v>291</v>
      </c>
      <c r="G166" s="9">
        <v>0.1</v>
      </c>
      <c r="H166" s="10">
        <f>G166*8/$D$163</f>
        <v>0.13333333333333333</v>
      </c>
      <c r="I166" s="12">
        <v>34.729999999999997</v>
      </c>
      <c r="J166" s="12">
        <f>H166*I166</f>
        <v>4.6306666666666665</v>
      </c>
    </row>
    <row r="167" spans="1:10">
      <c r="B167" t="s">
        <v>290</v>
      </c>
      <c r="F167" s="8" t="s">
        <v>291</v>
      </c>
      <c r="G167" s="9">
        <v>1</v>
      </c>
      <c r="H167" s="10">
        <f>G167*8/$D$163</f>
        <v>1.3333333333333333</v>
      </c>
      <c r="I167" s="12">
        <v>28.94</v>
      </c>
      <c r="J167" s="12">
        <f>H167*I167</f>
        <v>38.586666666666666</v>
      </c>
    </row>
    <row r="168" spans="1:10">
      <c r="B168" t="s">
        <v>293</v>
      </c>
      <c r="F168" s="8" t="s">
        <v>291</v>
      </c>
      <c r="G168" s="9">
        <v>1</v>
      </c>
      <c r="H168" s="10">
        <f>G168*8/$D$163</f>
        <v>1.3333333333333333</v>
      </c>
      <c r="I168">
        <v>20.51</v>
      </c>
      <c r="J168" s="12">
        <f>H168*I168</f>
        <v>27.346666666666668</v>
      </c>
    </row>
    <row r="169" spans="1:10">
      <c r="F169" s="8"/>
      <c r="G169" s="9"/>
      <c r="H169" s="10"/>
      <c r="J169" s="6">
        <f>SUM(J166:J168)</f>
        <v>70.563999999999993</v>
      </c>
    </row>
    <row r="170" spans="1:10">
      <c r="B170" s="7" t="s">
        <v>653</v>
      </c>
      <c r="F170" s="8"/>
      <c r="G170" s="9"/>
      <c r="H170" s="12"/>
      <c r="J170" s="12"/>
    </row>
    <row r="171" spans="1:10">
      <c r="B171" t="s">
        <v>1047</v>
      </c>
      <c r="F171" s="8" t="s">
        <v>149</v>
      </c>
      <c r="H171" s="12">
        <v>1</v>
      </c>
      <c r="I171" s="50">
        <v>141.65</v>
      </c>
      <c r="J171" s="12">
        <f>H171*I171</f>
        <v>141.65</v>
      </c>
    </row>
    <row r="172" spans="1:10">
      <c r="F172" s="8"/>
      <c r="H172" s="12"/>
      <c r="I172" s="12"/>
      <c r="J172" s="6">
        <f>SUM(J171:J171)</f>
        <v>141.65</v>
      </c>
    </row>
    <row r="173" spans="1:10">
      <c r="B173" s="7" t="s">
        <v>309</v>
      </c>
    </row>
    <row r="174" spans="1:10">
      <c r="B174" t="s">
        <v>310</v>
      </c>
      <c r="F174" s="8" t="s">
        <v>311</v>
      </c>
      <c r="H174" s="10">
        <v>3</v>
      </c>
      <c r="I174" s="12">
        <f>J169</f>
        <v>70.563999999999993</v>
      </c>
      <c r="J174" s="12">
        <f>H174%*I174</f>
        <v>2.1169199999999999</v>
      </c>
    </row>
    <row r="175" spans="1:10">
      <c r="A175" s="14"/>
      <c r="B175" s="14"/>
      <c r="C175" s="14"/>
      <c r="D175" s="14"/>
      <c r="E175" s="14"/>
      <c r="F175" s="14"/>
      <c r="G175" s="14"/>
      <c r="H175" s="14"/>
      <c r="I175" s="15"/>
      <c r="J175" s="16">
        <f>SUM(J174:J174)</f>
        <v>2.1169199999999999</v>
      </c>
    </row>
    <row r="177" spans="1:10">
      <c r="A177" s="2" t="s">
        <v>277</v>
      </c>
      <c r="B177" s="2" t="str">
        <f>SANITARIAS!A24</f>
        <v>04.08.02</v>
      </c>
      <c r="C177" s="2" t="s">
        <v>1016</v>
      </c>
      <c r="D177" s="2"/>
    </row>
    <row r="178" spans="1:10">
      <c r="A178" s="2" t="s">
        <v>278</v>
      </c>
      <c r="B178" s="2" t="s">
        <v>325</v>
      </c>
      <c r="C178" s="4" t="s">
        <v>280</v>
      </c>
      <c r="D178" s="5">
        <v>8</v>
      </c>
      <c r="E178" s="4" t="s">
        <v>281</v>
      </c>
      <c r="F178" s="5">
        <f>D178</f>
        <v>8</v>
      </c>
      <c r="G178" s="2" t="s">
        <v>282</v>
      </c>
      <c r="I178" s="4" t="s">
        <v>149</v>
      </c>
      <c r="J178" s="6">
        <f>J184+J189+J192</f>
        <v>101.51374313638702</v>
      </c>
    </row>
    <row r="179" spans="1:10">
      <c r="A179" s="2" t="s">
        <v>283</v>
      </c>
      <c r="B179" s="2" t="s">
        <v>284</v>
      </c>
      <c r="F179" s="4" t="s">
        <v>122</v>
      </c>
      <c r="G179" s="4" t="s">
        <v>285</v>
      </c>
      <c r="H179" s="4" t="s">
        <v>286</v>
      </c>
      <c r="I179" s="4" t="s">
        <v>287</v>
      </c>
      <c r="J179" s="4" t="s">
        <v>288</v>
      </c>
    </row>
    <row r="180" spans="1:10">
      <c r="B180" s="7" t="s">
        <v>289</v>
      </c>
    </row>
    <row r="181" spans="1:10">
      <c r="B181" t="s">
        <v>650</v>
      </c>
      <c r="F181" s="8" t="s">
        <v>291</v>
      </c>
      <c r="G181" s="9">
        <v>0.1</v>
      </c>
      <c r="H181" s="10">
        <f>G181*8/$D$178</f>
        <v>0.1</v>
      </c>
      <c r="I181" s="12">
        <v>34.729999999999997</v>
      </c>
      <c r="J181" s="12">
        <f>H181*I181</f>
        <v>3.4729999999999999</v>
      </c>
    </row>
    <row r="182" spans="1:10">
      <c r="B182" t="s">
        <v>290</v>
      </c>
      <c r="F182" s="8" t="s">
        <v>291</v>
      </c>
      <c r="G182" s="9">
        <v>1</v>
      </c>
      <c r="H182" s="10">
        <f>G182*8/$D$178</f>
        <v>1</v>
      </c>
      <c r="I182" s="12">
        <v>28.94</v>
      </c>
      <c r="J182" s="12">
        <f>H182*I182</f>
        <v>28.94</v>
      </c>
    </row>
    <row r="183" spans="1:10">
      <c r="B183" t="s">
        <v>293</v>
      </c>
      <c r="F183" s="8" t="s">
        <v>291</v>
      </c>
      <c r="G183" s="9">
        <v>1</v>
      </c>
      <c r="H183" s="10">
        <f>G183*8/$D$178</f>
        <v>1</v>
      </c>
      <c r="I183">
        <v>20.51</v>
      </c>
      <c r="J183" s="12">
        <f>H183*I183</f>
        <v>20.51</v>
      </c>
    </row>
    <row r="184" spans="1:10">
      <c r="F184" s="8"/>
      <c r="G184" s="9"/>
      <c r="H184" s="10"/>
      <c r="J184" s="6">
        <f>SUM(J181:J183)</f>
        <v>52.923000000000002</v>
      </c>
    </row>
    <row r="185" spans="1:10">
      <c r="B185" s="7" t="s">
        <v>653</v>
      </c>
      <c r="F185" s="8"/>
      <c r="G185" s="9"/>
      <c r="H185" s="12"/>
      <c r="J185" s="12"/>
    </row>
    <row r="186" spans="1:10">
      <c r="B186" t="s">
        <v>1047</v>
      </c>
      <c r="F186" s="8" t="s">
        <v>149</v>
      </c>
      <c r="H186" s="12">
        <v>1</v>
      </c>
      <c r="I186" s="50">
        <v>18.012507891268491</v>
      </c>
      <c r="J186" s="12">
        <f>H186*I186</f>
        <v>18.012507891268491</v>
      </c>
    </row>
    <row r="187" spans="1:10">
      <c r="B187" t="s">
        <v>1048</v>
      </c>
      <c r="F187" s="8" t="s">
        <v>307</v>
      </c>
      <c r="H187" s="12">
        <v>1</v>
      </c>
      <c r="I187" s="50">
        <v>23.767983785519981</v>
      </c>
      <c r="J187" s="12">
        <f>H187*I187</f>
        <v>23.767983785519981</v>
      </c>
    </row>
    <row r="188" spans="1:10">
      <c r="B188" t="s">
        <v>916</v>
      </c>
      <c r="F188" s="8" t="s">
        <v>296</v>
      </c>
      <c r="H188" s="12">
        <v>1</v>
      </c>
      <c r="I188" s="50">
        <v>5.2225614595985554</v>
      </c>
      <c r="J188" s="12">
        <f>H188*I188</f>
        <v>5.2225614595985554</v>
      </c>
    </row>
    <row r="189" spans="1:10">
      <c r="F189" s="8"/>
      <c r="H189" s="12"/>
      <c r="I189" s="12"/>
      <c r="J189" s="6">
        <f>SUM(J186:J188)</f>
        <v>47.003053136387024</v>
      </c>
    </row>
    <row r="190" spans="1:10">
      <c r="B190" s="7" t="s">
        <v>309</v>
      </c>
    </row>
    <row r="191" spans="1:10">
      <c r="B191" t="s">
        <v>310</v>
      </c>
      <c r="F191" s="8" t="s">
        <v>311</v>
      </c>
      <c r="H191" s="10">
        <v>3</v>
      </c>
      <c r="I191" s="12">
        <f>J184</f>
        <v>52.923000000000002</v>
      </c>
      <c r="J191" s="12">
        <f>H191%*I191</f>
        <v>1.58769</v>
      </c>
    </row>
    <row r="192" spans="1:10">
      <c r="A192" s="14"/>
      <c r="B192" s="14"/>
      <c r="C192" s="14"/>
      <c r="D192" s="14"/>
      <c r="E192" s="14"/>
      <c r="F192" s="14"/>
      <c r="G192" s="14"/>
      <c r="H192" s="14"/>
      <c r="I192" s="15"/>
      <c r="J192" s="16">
        <f>SUM(J191:J191)</f>
        <v>1.58769</v>
      </c>
    </row>
    <row r="194" spans="1:14">
      <c r="A194" s="2" t="s">
        <v>277</v>
      </c>
      <c r="B194" s="2" t="str">
        <f>SANITARIAS!A26</f>
        <v>04.09.01</v>
      </c>
      <c r="C194" s="2" t="s">
        <v>1049</v>
      </c>
      <c r="D194" s="2"/>
      <c r="E194" s="2"/>
      <c r="F194" s="2"/>
      <c r="G194" s="2"/>
      <c r="H194" s="2"/>
      <c r="I194" s="2"/>
    </row>
    <row r="195" spans="1:14">
      <c r="A195" s="2" t="s">
        <v>278</v>
      </c>
      <c r="B195" s="2" t="s">
        <v>331</v>
      </c>
      <c r="C195" s="4" t="s">
        <v>280</v>
      </c>
      <c r="D195" s="5">
        <v>1</v>
      </c>
      <c r="E195" s="4" t="s">
        <v>281</v>
      </c>
      <c r="F195" s="5">
        <f>D195</f>
        <v>1</v>
      </c>
      <c r="G195" s="2" t="s">
        <v>282</v>
      </c>
      <c r="I195" s="4" t="s">
        <v>154</v>
      </c>
      <c r="J195" s="6">
        <f>J199</f>
        <v>79716.91</v>
      </c>
    </row>
    <row r="196" spans="1:14">
      <c r="A196" s="2" t="s">
        <v>283</v>
      </c>
      <c r="B196" s="2" t="s">
        <v>284</v>
      </c>
      <c r="F196" s="4" t="s">
        <v>122</v>
      </c>
      <c r="G196" s="4" t="s">
        <v>285</v>
      </c>
      <c r="H196" s="4" t="s">
        <v>286</v>
      </c>
      <c r="I196" s="4" t="s">
        <v>287</v>
      </c>
      <c r="J196" s="4" t="s">
        <v>288</v>
      </c>
    </row>
    <row r="197" spans="1:14">
      <c r="B197" s="7" t="s">
        <v>294</v>
      </c>
    </row>
    <row r="198" spans="1:14">
      <c r="B198" t="s">
        <v>1049</v>
      </c>
      <c r="F198" s="8" t="s">
        <v>154</v>
      </c>
      <c r="G198" s="9"/>
      <c r="H198" s="10">
        <v>1</v>
      </c>
      <c r="I198" s="17">
        <v>79716.91</v>
      </c>
      <c r="J198" s="12">
        <f>H198*I198</f>
        <v>79716.91</v>
      </c>
    </row>
    <row r="199" spans="1:14">
      <c r="A199" s="14"/>
      <c r="B199" s="14"/>
      <c r="C199" s="14"/>
      <c r="D199" s="14"/>
      <c r="E199" s="14"/>
      <c r="F199" s="14"/>
      <c r="G199" s="14"/>
      <c r="H199" s="14"/>
      <c r="I199" s="14"/>
      <c r="J199" s="16">
        <f>SUM(J198)</f>
        <v>79716.91</v>
      </c>
    </row>
    <row r="201" spans="1:14">
      <c r="A201" s="2" t="s">
        <v>277</v>
      </c>
      <c r="B201" s="2" t="str">
        <f>SANITARIAS!A27</f>
        <v>04.09.02</v>
      </c>
      <c r="C201" s="2" t="s">
        <v>1050</v>
      </c>
      <c r="D201" s="2"/>
      <c r="E201" s="2"/>
      <c r="F201" s="2"/>
      <c r="G201" s="2"/>
      <c r="H201" s="2"/>
      <c r="I201" s="2"/>
    </row>
    <row r="202" spans="1:14">
      <c r="A202" s="2" t="s">
        <v>278</v>
      </c>
      <c r="B202" s="2" t="s">
        <v>331</v>
      </c>
      <c r="C202" s="4" t="s">
        <v>280</v>
      </c>
      <c r="D202" s="5">
        <v>1</v>
      </c>
      <c r="E202" s="4" t="s">
        <v>281</v>
      </c>
      <c r="F202" s="5">
        <f>D202</f>
        <v>1</v>
      </c>
      <c r="G202" s="2" t="s">
        <v>282</v>
      </c>
      <c r="I202" s="4" t="s">
        <v>154</v>
      </c>
      <c r="J202" s="6">
        <f>J206</f>
        <v>131735.24</v>
      </c>
    </row>
    <row r="203" spans="1:14">
      <c r="A203" s="2" t="s">
        <v>283</v>
      </c>
      <c r="B203" s="2" t="s">
        <v>284</v>
      </c>
      <c r="F203" s="4" t="s">
        <v>122</v>
      </c>
      <c r="G203" s="4" t="s">
        <v>285</v>
      </c>
      <c r="H203" s="4" t="s">
        <v>286</v>
      </c>
      <c r="I203" s="4" t="s">
        <v>287</v>
      </c>
      <c r="J203" s="4" t="s">
        <v>288</v>
      </c>
    </row>
    <row r="204" spans="1:14">
      <c r="B204" s="7" t="s">
        <v>294</v>
      </c>
    </row>
    <row r="205" spans="1:14">
      <c r="B205" t="s">
        <v>1050</v>
      </c>
      <c r="F205" s="8" t="s">
        <v>154</v>
      </c>
      <c r="G205" s="9"/>
      <c r="H205" s="10">
        <v>1</v>
      </c>
      <c r="I205" s="17">
        <v>131735.24</v>
      </c>
      <c r="J205" s="12">
        <f>H205*I205</f>
        <v>131735.24</v>
      </c>
      <c r="M205" s="2"/>
      <c r="N205" s="2"/>
    </row>
    <row r="206" spans="1:14">
      <c r="A206" s="14"/>
      <c r="B206" s="14"/>
      <c r="C206" s="14"/>
      <c r="D206" s="14"/>
      <c r="E206" s="14"/>
      <c r="F206" s="14"/>
      <c r="G206" s="14"/>
      <c r="H206" s="14"/>
      <c r="I206" s="14"/>
      <c r="J206" s="16">
        <f>SUM(J205)</f>
        <v>131735.24</v>
      </c>
      <c r="N206" s="2"/>
    </row>
    <row r="207" spans="1:14">
      <c r="N207" s="2"/>
    </row>
    <row r="208" spans="1:14">
      <c r="A208" s="2" t="s">
        <v>277</v>
      </c>
      <c r="B208" s="2" t="str">
        <f>SANITARIAS!A28</f>
        <v>04.09.03</v>
      </c>
      <c r="C208" s="2" t="s">
        <v>115</v>
      </c>
      <c r="D208" s="2"/>
      <c r="E208" s="2"/>
      <c r="F208" s="2"/>
      <c r="G208" s="2"/>
      <c r="H208" s="2"/>
      <c r="I208" s="2"/>
      <c r="M208" s="2"/>
      <c r="N208" s="2"/>
    </row>
    <row r="209" spans="1:15">
      <c r="A209" s="2" t="s">
        <v>278</v>
      </c>
      <c r="B209" s="2" t="s">
        <v>331</v>
      </c>
      <c r="C209" s="4" t="s">
        <v>280</v>
      </c>
      <c r="D209" s="5">
        <v>1</v>
      </c>
      <c r="E209" s="4" t="s">
        <v>281</v>
      </c>
      <c r="F209" s="5">
        <f>D209</f>
        <v>1</v>
      </c>
      <c r="G209" s="2" t="s">
        <v>282</v>
      </c>
      <c r="I209" s="4" t="s">
        <v>154</v>
      </c>
      <c r="J209" s="6">
        <f>J213</f>
        <v>170038</v>
      </c>
      <c r="N209" s="2"/>
    </row>
    <row r="210" spans="1:15">
      <c r="A210" s="2" t="s">
        <v>283</v>
      </c>
      <c r="B210" s="2" t="s">
        <v>284</v>
      </c>
      <c r="F210" s="4" t="s">
        <v>122</v>
      </c>
      <c r="G210" s="4" t="s">
        <v>285</v>
      </c>
      <c r="H210" s="4" t="s">
        <v>286</v>
      </c>
      <c r="I210" s="4" t="s">
        <v>287</v>
      </c>
      <c r="J210" s="4" t="s">
        <v>288</v>
      </c>
      <c r="M210" s="2"/>
      <c r="N210" s="2"/>
    </row>
    <row r="211" spans="1:15">
      <c r="B211" s="7" t="s">
        <v>294</v>
      </c>
      <c r="N211" s="2"/>
    </row>
    <row r="212" spans="1:15">
      <c r="B212" t="s">
        <v>115</v>
      </c>
      <c r="F212" s="8" t="s">
        <v>154</v>
      </c>
      <c r="G212" s="9"/>
      <c r="H212" s="10">
        <v>1</v>
      </c>
      <c r="I212" s="17">
        <v>170038</v>
      </c>
      <c r="J212" s="12">
        <f>H212*I212</f>
        <v>170038</v>
      </c>
      <c r="N212" s="2"/>
    </row>
    <row r="213" spans="1:15">
      <c r="A213" s="14"/>
      <c r="B213" s="14"/>
      <c r="C213" s="14"/>
      <c r="D213" s="14"/>
      <c r="E213" s="14"/>
      <c r="F213" s="14"/>
      <c r="G213" s="14"/>
      <c r="H213" s="14"/>
      <c r="I213" s="14"/>
      <c r="J213" s="16">
        <f>SUM(J212)</f>
        <v>170038</v>
      </c>
      <c r="M213" s="2"/>
      <c r="N213" s="2"/>
    </row>
    <row r="214" spans="1:15">
      <c r="N214" s="2"/>
    </row>
    <row r="215" spans="1:15">
      <c r="A215" s="2"/>
      <c r="B215" s="2"/>
      <c r="C215" s="2"/>
      <c r="D215" s="2"/>
      <c r="E215" s="2"/>
      <c r="F215" s="2"/>
      <c r="G215" s="2"/>
      <c r="H215" s="2"/>
      <c r="I215" s="2"/>
      <c r="N215" s="2"/>
    </row>
    <row r="216" spans="1:15">
      <c r="A216" s="2"/>
      <c r="B216" s="2"/>
      <c r="C216" s="4"/>
      <c r="D216" s="5"/>
      <c r="E216" s="4"/>
      <c r="F216" s="5"/>
      <c r="G216" s="2"/>
      <c r="I216" s="4"/>
      <c r="J216" s="6"/>
      <c r="N216" s="2"/>
      <c r="O216" s="12"/>
    </row>
    <row r="217" spans="1:15">
      <c r="A217" s="2"/>
      <c r="B217" s="2"/>
      <c r="F217" s="4"/>
      <c r="G217" s="4"/>
      <c r="H217" s="4"/>
      <c r="I217" s="4"/>
      <c r="J217" s="4"/>
    </row>
    <row r="218" spans="1:15">
      <c r="B218" s="7"/>
    </row>
    <row r="219" spans="1:15">
      <c r="F219" s="8"/>
      <c r="G219" s="9"/>
      <c r="H219" s="10"/>
      <c r="J219" s="12"/>
    </row>
    <row r="220" spans="1:15">
      <c r="J220" s="6"/>
    </row>
    <row r="221" spans="1:15">
      <c r="F221" s="8"/>
      <c r="G221" s="9"/>
      <c r="H221" s="10"/>
      <c r="J221" s="12"/>
    </row>
    <row r="222" spans="1:15">
      <c r="J222" s="6"/>
    </row>
    <row r="223" spans="1:15">
      <c r="B223" s="7"/>
      <c r="F223" s="8"/>
      <c r="G223" s="9"/>
      <c r="H223" s="10"/>
      <c r="J223" s="12"/>
    </row>
    <row r="224" spans="1:15">
      <c r="F224" s="8"/>
      <c r="H224" s="10"/>
      <c r="J224" s="12"/>
    </row>
    <row r="225" spans="1:10">
      <c r="F225" s="8"/>
      <c r="H225" s="10"/>
      <c r="J225" s="12"/>
    </row>
    <row r="226" spans="1:10">
      <c r="F226" s="8"/>
      <c r="H226" s="10"/>
      <c r="J226" s="12"/>
    </row>
    <row r="227" spans="1:10">
      <c r="F227" s="8"/>
      <c r="H227" s="10"/>
      <c r="J227" s="12"/>
    </row>
    <row r="228" spans="1:10">
      <c r="F228" s="8"/>
      <c r="H228" s="10"/>
      <c r="J228" s="12"/>
    </row>
    <row r="229" spans="1:10">
      <c r="F229" s="8"/>
      <c r="H229" s="10"/>
      <c r="J229" s="12"/>
    </row>
    <row r="230" spans="1:10">
      <c r="F230" s="8"/>
      <c r="J230" s="12"/>
    </row>
    <row r="231" spans="1:10">
      <c r="F231" s="8"/>
      <c r="H231" s="10"/>
      <c r="J231" s="12"/>
    </row>
    <row r="232" spans="1:10">
      <c r="J232" s="6"/>
    </row>
    <row r="233" spans="1:10">
      <c r="B233" s="7"/>
    </row>
    <row r="234" spans="1:10">
      <c r="F234" s="8"/>
      <c r="H234" s="10"/>
      <c r="I234" s="12"/>
      <c r="J234" s="12"/>
    </row>
    <row r="235" spans="1:10">
      <c r="I235" s="2"/>
      <c r="J235" s="6"/>
    </row>
    <row r="237" spans="1:10">
      <c r="A237" s="2"/>
      <c r="B237" s="2"/>
      <c r="C237" s="2"/>
      <c r="D237" s="2"/>
    </row>
    <row r="238" spans="1:10">
      <c r="A238" s="2"/>
      <c r="B238" s="2"/>
      <c r="C238" s="4"/>
      <c r="D238" s="5"/>
      <c r="E238" s="4"/>
      <c r="F238" s="5"/>
      <c r="G238" s="2"/>
      <c r="I238" s="4"/>
      <c r="J238" s="6"/>
    </row>
    <row r="239" spans="1:10">
      <c r="A239" s="2"/>
      <c r="B239" s="2"/>
      <c r="F239" s="4"/>
      <c r="G239" s="4"/>
      <c r="H239" s="4"/>
      <c r="I239" s="4"/>
      <c r="J239" s="4"/>
    </row>
    <row r="240" spans="1:10">
      <c r="B240" s="7"/>
    </row>
    <row r="241" spans="1:10">
      <c r="F241" s="8"/>
      <c r="G241" s="9"/>
      <c r="H241" s="10"/>
      <c r="I241" s="12"/>
      <c r="J241" s="12"/>
    </row>
    <row r="242" spans="1:10">
      <c r="F242" s="8"/>
      <c r="G242" s="9"/>
      <c r="H242" s="10"/>
      <c r="J242" s="12"/>
    </row>
    <row r="243" spans="1:10">
      <c r="J243" s="6"/>
    </row>
    <row r="244" spans="1:10">
      <c r="B244" s="7"/>
      <c r="F244" s="8"/>
      <c r="G244" s="9"/>
      <c r="H244" s="10"/>
      <c r="J244" s="12"/>
    </row>
    <row r="245" spans="1:10">
      <c r="F245" s="8"/>
      <c r="H245" s="10"/>
      <c r="J245" s="12"/>
    </row>
    <row r="246" spans="1:10">
      <c r="F246" s="8"/>
      <c r="H246" s="10"/>
      <c r="J246" s="12"/>
    </row>
    <row r="247" spans="1:10">
      <c r="F247" s="8"/>
      <c r="H247" s="10"/>
      <c r="J247" s="12"/>
    </row>
    <row r="248" spans="1:10">
      <c r="F248" s="8"/>
      <c r="H248" s="10"/>
      <c r="J248" s="12"/>
    </row>
    <row r="249" spans="1:10">
      <c r="F249" s="8"/>
      <c r="J249" s="12"/>
    </row>
    <row r="250" spans="1:10">
      <c r="F250" s="8"/>
      <c r="H250" s="10"/>
      <c r="J250" s="6"/>
    </row>
    <row r="251" spans="1:10">
      <c r="B251" s="7"/>
    </row>
    <row r="252" spans="1:10">
      <c r="F252" s="8"/>
      <c r="H252" s="10"/>
      <c r="I252" s="12"/>
      <c r="J252" s="12"/>
    </row>
    <row r="253" spans="1:10">
      <c r="I253" s="2"/>
      <c r="J253" s="6"/>
    </row>
    <row r="254" spans="1:10">
      <c r="I254" s="2"/>
      <c r="J254" s="6"/>
    </row>
    <row r="255" spans="1:10">
      <c r="A255" s="2"/>
      <c r="B255" s="2"/>
      <c r="C255" s="2"/>
      <c r="D255" s="2"/>
    </row>
    <row r="256" spans="1:10">
      <c r="A256" s="2"/>
      <c r="B256" s="2"/>
      <c r="C256" s="4"/>
      <c r="D256" s="5"/>
      <c r="E256" s="4"/>
      <c r="F256" s="5"/>
      <c r="G256" s="2"/>
      <c r="I256" s="4"/>
      <c r="J256" s="6"/>
    </row>
    <row r="257" spans="1:20">
      <c r="A257" s="2"/>
      <c r="B257" s="2"/>
      <c r="F257" s="4"/>
      <c r="G257" s="4"/>
      <c r="H257" s="4"/>
      <c r="I257" s="4"/>
      <c r="J257" s="4"/>
    </row>
    <row r="258" spans="1:20">
      <c r="B258" s="7"/>
    </row>
    <row r="259" spans="1:20">
      <c r="F259" s="8"/>
      <c r="G259" s="9"/>
      <c r="H259" s="10"/>
      <c r="J259" s="12"/>
    </row>
    <row r="260" spans="1:20">
      <c r="F260" s="8"/>
      <c r="G260" s="9"/>
      <c r="H260" s="10"/>
      <c r="J260" s="6"/>
    </row>
    <row r="263" spans="1:20">
      <c r="A263" s="2"/>
      <c r="B263" s="2"/>
      <c r="C263" s="2"/>
      <c r="D263" s="2"/>
    </row>
    <row r="264" spans="1:20">
      <c r="A264" s="2"/>
      <c r="B264" s="2"/>
      <c r="C264" s="4"/>
      <c r="D264" s="5"/>
      <c r="E264" s="4"/>
      <c r="F264" s="5"/>
      <c r="G264" s="2"/>
      <c r="I264" s="4"/>
      <c r="J264" s="6"/>
    </row>
    <row r="265" spans="1:20">
      <c r="A265" s="2"/>
      <c r="B265" s="2"/>
      <c r="F265" s="4"/>
      <c r="G265" s="4"/>
      <c r="H265" s="4"/>
      <c r="I265" s="4"/>
      <c r="J265" s="4"/>
    </row>
    <row r="266" spans="1:20">
      <c r="B266" s="7"/>
      <c r="T266" s="12"/>
    </row>
    <row r="267" spans="1:20">
      <c r="F267" s="8"/>
      <c r="G267" s="9"/>
      <c r="H267" s="10"/>
      <c r="I267" s="12"/>
      <c r="J267" s="12"/>
      <c r="T267" s="12"/>
    </row>
    <row r="268" spans="1:20">
      <c r="F268" s="8"/>
      <c r="G268" s="9"/>
      <c r="H268" s="10"/>
      <c r="J268" s="12"/>
    </row>
    <row r="269" spans="1:20">
      <c r="J269" s="6"/>
      <c r="T269" s="12"/>
    </row>
    <row r="270" spans="1:20">
      <c r="B270" s="7"/>
      <c r="F270" s="8"/>
      <c r="G270" s="9"/>
      <c r="H270" s="10"/>
      <c r="J270" s="12"/>
      <c r="S270" s="70"/>
    </row>
    <row r="271" spans="1:20">
      <c r="F271" s="8"/>
      <c r="G271" s="9"/>
      <c r="H271" s="10"/>
      <c r="J271" s="12"/>
    </row>
    <row r="272" spans="1:20">
      <c r="F272" s="8"/>
      <c r="J272" s="6"/>
    </row>
    <row r="273" spans="1:20">
      <c r="B273" s="7"/>
    </row>
    <row r="274" spans="1:20">
      <c r="F274" s="8"/>
      <c r="H274" s="10"/>
      <c r="I274" s="12"/>
      <c r="J274" s="12"/>
    </row>
    <row r="275" spans="1:20">
      <c r="I275" s="2"/>
      <c r="J275" s="6"/>
    </row>
    <row r="277" spans="1:20">
      <c r="A277" s="2"/>
      <c r="B277" s="2"/>
      <c r="C277" s="2"/>
      <c r="D277" s="2"/>
    </row>
    <row r="278" spans="1:20">
      <c r="A278" s="2"/>
      <c r="B278" s="2"/>
      <c r="C278" s="4"/>
      <c r="D278" s="5"/>
      <c r="E278" s="4"/>
      <c r="F278" s="5"/>
      <c r="G278" s="2"/>
      <c r="I278" s="4"/>
      <c r="J278" s="6"/>
    </row>
    <row r="279" spans="1:20">
      <c r="A279" s="2"/>
      <c r="B279" s="2"/>
      <c r="F279" s="4"/>
      <c r="G279" s="4"/>
      <c r="H279" s="4"/>
      <c r="I279" s="4"/>
      <c r="J279" s="4"/>
    </row>
    <row r="280" spans="1:20">
      <c r="B280" s="7"/>
    </row>
    <row r="281" spans="1:20">
      <c r="F281" s="8"/>
      <c r="G281" s="9"/>
      <c r="H281" s="10"/>
      <c r="J281" s="12"/>
      <c r="T281" s="70"/>
    </row>
    <row r="282" spans="1:20">
      <c r="F282" s="8"/>
      <c r="G282" s="9"/>
      <c r="H282" s="10"/>
      <c r="J282" s="12"/>
    </row>
    <row r="283" spans="1:20">
      <c r="F283" s="8"/>
      <c r="G283" s="9"/>
      <c r="H283" s="10"/>
      <c r="J283" s="12"/>
    </row>
    <row r="284" spans="1:20">
      <c r="J284" s="6"/>
    </row>
    <row r="285" spans="1:20">
      <c r="B285" s="7"/>
      <c r="F285" s="8"/>
      <c r="G285" s="9"/>
      <c r="H285" s="10"/>
      <c r="J285" s="12"/>
    </row>
    <row r="286" spans="1:20">
      <c r="F286" s="8"/>
      <c r="G286" s="9"/>
      <c r="H286" s="10"/>
      <c r="J286" s="12"/>
    </row>
    <row r="287" spans="1:20">
      <c r="F287" s="8"/>
      <c r="G287" s="9"/>
      <c r="H287" s="10"/>
      <c r="J287" s="12"/>
    </row>
    <row r="288" spans="1:20">
      <c r="F288" s="8"/>
      <c r="J288" s="12"/>
    </row>
    <row r="289" spans="1:10">
      <c r="F289" s="8"/>
      <c r="J289" s="6"/>
    </row>
    <row r="290" spans="1:10">
      <c r="B290" s="7"/>
    </row>
    <row r="291" spans="1:10">
      <c r="F291" s="8"/>
      <c r="H291" s="10"/>
      <c r="I291" s="12"/>
      <c r="J291" s="12"/>
    </row>
    <row r="292" spans="1:10">
      <c r="F292" s="8"/>
      <c r="G292" s="9"/>
      <c r="H292" s="10"/>
      <c r="J292" s="12"/>
    </row>
    <row r="293" spans="1:10">
      <c r="I293" s="2"/>
      <c r="J293" s="6"/>
    </row>
    <row r="294" spans="1:10">
      <c r="I294" s="2"/>
      <c r="J294" s="6"/>
    </row>
    <row r="295" spans="1:10">
      <c r="A295" s="2"/>
      <c r="B295" s="2"/>
      <c r="C295" s="2"/>
      <c r="D295" s="2"/>
    </row>
    <row r="296" spans="1:10">
      <c r="A296" s="2"/>
      <c r="B296" s="2"/>
      <c r="C296" s="4"/>
      <c r="D296" s="5"/>
      <c r="E296" s="4"/>
      <c r="F296" s="5"/>
      <c r="G296" s="2"/>
      <c r="I296" s="4"/>
      <c r="J296" s="6"/>
    </row>
    <row r="297" spans="1:10">
      <c r="A297" s="2"/>
      <c r="B297" s="2"/>
      <c r="F297" s="4"/>
      <c r="G297" s="4"/>
      <c r="H297" s="4"/>
      <c r="I297" s="4"/>
      <c r="J297" s="4"/>
    </row>
    <row r="298" spans="1:10">
      <c r="B298" s="7"/>
    </row>
    <row r="299" spans="1:10">
      <c r="F299" s="8"/>
      <c r="G299" s="9"/>
      <c r="H299" s="10"/>
      <c r="J299" s="12"/>
    </row>
    <row r="300" spans="1:10">
      <c r="F300" s="8"/>
      <c r="G300" s="9"/>
      <c r="H300" s="10"/>
      <c r="J300" s="6"/>
    </row>
    <row r="301" spans="1:10">
      <c r="I301" s="2"/>
      <c r="J301" s="6"/>
    </row>
    <row r="302" spans="1:10">
      <c r="I302" s="2"/>
      <c r="J302" s="6"/>
    </row>
    <row r="303" spans="1:10">
      <c r="A303" s="2"/>
      <c r="B303" s="2"/>
      <c r="C303" s="2"/>
      <c r="D303" s="2"/>
    </row>
    <row r="304" spans="1:10">
      <c r="A304" s="2"/>
      <c r="B304" s="2"/>
      <c r="C304" s="4"/>
      <c r="D304" s="5"/>
      <c r="E304" s="4"/>
      <c r="F304" s="5"/>
      <c r="G304" s="2"/>
      <c r="I304" s="4"/>
      <c r="J304" s="6"/>
    </row>
    <row r="305" spans="1:10">
      <c r="A305" s="2"/>
      <c r="B305" s="2"/>
      <c r="F305" s="4"/>
      <c r="G305" s="4"/>
      <c r="H305" s="4"/>
      <c r="I305" s="4"/>
      <c r="J305" s="4"/>
    </row>
    <row r="306" spans="1:10">
      <c r="B306" s="7"/>
    </row>
    <row r="307" spans="1:10">
      <c r="F307" s="8"/>
      <c r="G307" s="9"/>
      <c r="H307" s="10"/>
      <c r="J307" s="12"/>
    </row>
    <row r="308" spans="1:10">
      <c r="F308" s="8"/>
      <c r="G308" s="9"/>
      <c r="H308" s="10"/>
      <c r="J308" s="12"/>
    </row>
    <row r="309" spans="1:10">
      <c r="J309" s="6"/>
    </row>
    <row r="310" spans="1:10">
      <c r="B310" s="7"/>
      <c r="F310" s="8"/>
      <c r="G310" s="9"/>
      <c r="H310" s="10"/>
      <c r="J310" s="12"/>
    </row>
    <row r="311" spans="1:10">
      <c r="F311" s="8"/>
      <c r="G311" s="9"/>
      <c r="H311" s="10"/>
      <c r="J311" s="12"/>
    </row>
    <row r="312" spans="1:10">
      <c r="F312" s="8"/>
      <c r="H312" s="10"/>
      <c r="J312" s="12"/>
    </row>
    <row r="313" spans="1:10">
      <c r="F313" s="8"/>
      <c r="H313" s="10"/>
      <c r="J313" s="12"/>
    </row>
    <row r="314" spans="1:10">
      <c r="F314" s="8"/>
      <c r="G314" s="9"/>
      <c r="H314" s="10"/>
      <c r="J314" s="12"/>
    </row>
    <row r="315" spans="1:10">
      <c r="F315" s="8"/>
      <c r="G315" s="9"/>
      <c r="H315" s="10"/>
      <c r="J315" s="12"/>
    </row>
    <row r="316" spans="1:10">
      <c r="F316" s="8"/>
      <c r="G316" s="9"/>
      <c r="H316" s="10"/>
      <c r="J316" s="12"/>
    </row>
    <row r="317" spans="1:10">
      <c r="F317" s="8"/>
      <c r="J317" s="6"/>
    </row>
    <row r="318" spans="1:10">
      <c r="B318" s="7"/>
    </row>
    <row r="319" spans="1:10">
      <c r="F319" s="8"/>
      <c r="H319" s="10"/>
      <c r="I319" s="12"/>
      <c r="J319" s="12"/>
    </row>
    <row r="320" spans="1:10">
      <c r="I320" s="2"/>
      <c r="J320" s="6"/>
    </row>
    <row r="322" spans="1:10">
      <c r="A322" s="2"/>
      <c r="B322" s="2"/>
      <c r="C322" s="2"/>
      <c r="D322" s="2"/>
    </row>
    <row r="323" spans="1:10">
      <c r="A323" s="2"/>
      <c r="B323" s="2"/>
      <c r="C323" s="4"/>
      <c r="D323" s="5"/>
      <c r="E323" s="4"/>
      <c r="F323" s="5"/>
      <c r="G323" s="2"/>
      <c r="I323" s="4"/>
      <c r="J323" s="6"/>
    </row>
    <row r="324" spans="1:10">
      <c r="A324" s="2"/>
      <c r="B324" s="2"/>
      <c r="F324" s="4"/>
      <c r="G324" s="4"/>
      <c r="H324" s="4"/>
      <c r="I324" s="4"/>
      <c r="J324" s="4"/>
    </row>
    <row r="325" spans="1:10">
      <c r="B325" s="7"/>
    </row>
    <row r="326" spans="1:10">
      <c r="F326" s="8"/>
      <c r="G326" s="9"/>
      <c r="H326" s="10"/>
      <c r="J326" s="12"/>
    </row>
    <row r="327" spans="1:10">
      <c r="F327" s="8"/>
      <c r="G327" s="9"/>
      <c r="H327" s="10"/>
      <c r="J327" s="6"/>
    </row>
    <row r="329" spans="1:10">
      <c r="A329" s="2"/>
      <c r="B329" s="2"/>
      <c r="C329" s="2"/>
      <c r="D329" s="2"/>
    </row>
    <row r="330" spans="1:10">
      <c r="A330" s="2"/>
      <c r="B330" s="2"/>
      <c r="C330" s="4"/>
      <c r="D330" s="5"/>
      <c r="E330" s="4"/>
      <c r="F330" s="5"/>
      <c r="G330" s="2"/>
      <c r="I330" s="4"/>
      <c r="J330" s="6"/>
    </row>
    <row r="331" spans="1:10">
      <c r="A331" s="2"/>
      <c r="B331" s="2"/>
      <c r="F331" s="4"/>
      <c r="G331" s="4"/>
      <c r="H331" s="4"/>
      <c r="I331" s="4"/>
      <c r="J331" s="4"/>
    </row>
    <row r="332" spans="1:10">
      <c r="B332" s="7"/>
    </row>
    <row r="333" spans="1:10">
      <c r="F333" s="8"/>
      <c r="G333" s="9"/>
      <c r="H333" s="10"/>
      <c r="J333" s="12"/>
    </row>
    <row r="334" spans="1:10">
      <c r="F334" s="8"/>
      <c r="G334" s="9"/>
      <c r="H334" s="10"/>
      <c r="J334" s="6"/>
    </row>
    <row r="338" spans="1:10">
      <c r="A338" s="2"/>
      <c r="B338" s="2"/>
      <c r="C338" s="2"/>
      <c r="D338" s="2"/>
    </row>
    <row r="339" spans="1:10">
      <c r="A339" s="2"/>
      <c r="B339" s="2"/>
      <c r="C339" s="4"/>
      <c r="D339" s="5"/>
      <c r="E339" s="4"/>
      <c r="F339" s="5"/>
      <c r="G339" s="2"/>
      <c r="I339" s="4"/>
      <c r="J339" s="6"/>
    </row>
    <row r="340" spans="1:10">
      <c r="A340" s="2"/>
      <c r="B340" s="2"/>
      <c r="F340" s="4"/>
      <c r="G340" s="4"/>
      <c r="H340" s="4"/>
      <c r="I340" s="4"/>
      <c r="J340" s="4"/>
    </row>
    <row r="341" spans="1:10">
      <c r="B341" s="7"/>
    </row>
    <row r="342" spans="1:10">
      <c r="F342" s="8"/>
      <c r="G342" s="9"/>
      <c r="H342" s="10"/>
      <c r="I342" s="12"/>
      <c r="J342" s="12"/>
    </row>
    <row r="343" spans="1:10">
      <c r="F343" s="8"/>
      <c r="G343" s="9"/>
      <c r="H343" s="10"/>
      <c r="J343" s="12"/>
    </row>
    <row r="344" spans="1:10">
      <c r="F344" s="8"/>
      <c r="G344" s="9"/>
      <c r="H344" s="10"/>
      <c r="J344" s="6"/>
    </row>
    <row r="345" spans="1:10">
      <c r="B345" s="7"/>
      <c r="F345" s="8"/>
      <c r="G345" s="9"/>
      <c r="H345" s="10"/>
      <c r="I345" s="10"/>
      <c r="J345" s="12"/>
    </row>
    <row r="346" spans="1:10">
      <c r="F346" s="8"/>
      <c r="H346" s="10"/>
      <c r="I346" s="12"/>
      <c r="J346" s="12"/>
    </row>
    <row r="347" spans="1:10">
      <c r="F347" s="8"/>
      <c r="H347" s="10"/>
      <c r="I347" s="12"/>
      <c r="J347" s="12"/>
    </row>
    <row r="348" spans="1:10">
      <c r="F348" s="8"/>
      <c r="H348" s="10"/>
      <c r="I348" s="12"/>
      <c r="J348" s="12"/>
    </row>
    <row r="349" spans="1:10">
      <c r="F349" s="8"/>
      <c r="H349" s="10"/>
      <c r="I349" s="12"/>
      <c r="J349" s="12"/>
    </row>
    <row r="350" spans="1:10">
      <c r="F350" s="8"/>
      <c r="H350" s="10"/>
      <c r="I350" s="12"/>
      <c r="J350" s="12"/>
    </row>
    <row r="351" spans="1:10">
      <c r="J351" s="6"/>
    </row>
    <row r="352" spans="1:10">
      <c r="B352" s="7"/>
    </row>
    <row r="353" spans="1:10">
      <c r="F353" s="8"/>
      <c r="H353" s="10"/>
      <c r="I353" s="12"/>
      <c r="J353" s="12"/>
    </row>
    <row r="354" spans="1:10">
      <c r="I354" s="2"/>
      <c r="J354" s="6"/>
    </row>
    <row r="356" spans="1:10">
      <c r="A356" s="2"/>
      <c r="B356" s="2"/>
      <c r="C356" s="2"/>
      <c r="D356" s="2"/>
    </row>
    <row r="357" spans="1:10">
      <c r="A357" s="2"/>
      <c r="B357" s="2"/>
      <c r="C357" s="4"/>
      <c r="D357" s="5"/>
      <c r="E357" s="4"/>
      <c r="F357" s="5"/>
      <c r="G357" s="2"/>
      <c r="I357" s="4"/>
      <c r="J357" s="6"/>
    </row>
    <row r="358" spans="1:10">
      <c r="A358" s="2"/>
      <c r="B358" s="2"/>
      <c r="F358" s="4"/>
      <c r="G358" s="4"/>
      <c r="H358" s="4"/>
      <c r="I358" s="4"/>
      <c r="J358" s="4"/>
    </row>
    <row r="359" spans="1:10">
      <c r="B359" s="7"/>
    </row>
    <row r="360" spans="1:10">
      <c r="F360" s="8"/>
      <c r="G360" s="9"/>
      <c r="H360" s="10"/>
      <c r="I360" s="12"/>
      <c r="J360" s="12"/>
    </row>
    <row r="361" spans="1:10">
      <c r="F361" s="8"/>
      <c r="G361" s="9"/>
      <c r="H361" s="10"/>
      <c r="J361" s="12"/>
    </row>
    <row r="362" spans="1:10">
      <c r="F362" s="8"/>
      <c r="G362" s="9"/>
      <c r="H362" s="10"/>
      <c r="J362" s="6"/>
    </row>
    <row r="363" spans="1:10">
      <c r="B363" s="7"/>
      <c r="F363" s="8"/>
      <c r="G363" s="9"/>
      <c r="H363" s="10"/>
      <c r="I363" s="10"/>
      <c r="J363" s="12"/>
    </row>
    <row r="364" spans="1:10">
      <c r="F364" s="8"/>
      <c r="H364" s="10"/>
      <c r="I364" s="12"/>
      <c r="J364" s="12"/>
    </row>
    <row r="365" spans="1:10">
      <c r="F365" s="8"/>
      <c r="H365" s="10"/>
      <c r="I365" s="12"/>
      <c r="J365" s="12"/>
    </row>
    <row r="366" spans="1:10">
      <c r="F366" s="8"/>
      <c r="H366" s="10"/>
      <c r="I366" s="12"/>
      <c r="J366" s="12"/>
    </row>
    <row r="367" spans="1:10">
      <c r="F367" s="8"/>
      <c r="H367" s="10"/>
      <c r="I367" s="12"/>
      <c r="J367" s="12"/>
    </row>
    <row r="368" spans="1:10">
      <c r="F368" s="8"/>
      <c r="H368" s="10"/>
      <c r="I368" s="12"/>
      <c r="J368" s="12"/>
    </row>
    <row r="369" spans="1:10">
      <c r="J369" s="6"/>
    </row>
    <row r="370" spans="1:10">
      <c r="B370" s="7"/>
    </row>
    <row r="371" spans="1:10">
      <c r="F371" s="8"/>
      <c r="H371" s="10"/>
      <c r="I371" s="12"/>
      <c r="J371" s="12"/>
    </row>
    <row r="372" spans="1:10">
      <c r="I372" s="2"/>
      <c r="J372" s="6"/>
    </row>
    <row r="374" spans="1:10">
      <c r="A374" s="2"/>
      <c r="B374" s="2"/>
      <c r="C374" s="2"/>
      <c r="D374" s="2"/>
    </row>
    <row r="375" spans="1:10">
      <c r="A375" s="2"/>
      <c r="B375" s="2"/>
      <c r="C375" s="4"/>
      <c r="D375" s="5"/>
      <c r="E375" s="4"/>
      <c r="F375" s="5"/>
      <c r="G375" s="2"/>
      <c r="I375" s="4"/>
      <c r="J375" s="6"/>
    </row>
    <row r="376" spans="1:10">
      <c r="A376" s="2"/>
      <c r="B376" s="2"/>
      <c r="F376" s="4"/>
      <c r="G376" s="4"/>
      <c r="H376" s="4"/>
      <c r="I376" s="4"/>
      <c r="J376" s="4"/>
    </row>
    <row r="377" spans="1:10">
      <c r="B377" s="7"/>
    </row>
    <row r="378" spans="1:10">
      <c r="F378" s="8"/>
      <c r="G378" s="9"/>
      <c r="H378" s="10"/>
      <c r="I378" s="12"/>
      <c r="J378" s="12"/>
    </row>
    <row r="379" spans="1:10">
      <c r="F379" s="8"/>
      <c r="G379" s="9"/>
      <c r="H379" s="10"/>
      <c r="J379" s="12"/>
    </row>
    <row r="380" spans="1:10">
      <c r="F380" s="8"/>
      <c r="G380" s="9"/>
      <c r="H380" s="10"/>
      <c r="J380" s="6"/>
    </row>
    <row r="381" spans="1:10">
      <c r="B381" s="7"/>
      <c r="F381" s="8"/>
      <c r="G381" s="9"/>
      <c r="H381" s="10"/>
      <c r="I381" s="10"/>
      <c r="J381" s="12"/>
    </row>
    <row r="382" spans="1:10">
      <c r="F382" s="8"/>
      <c r="H382" s="10"/>
      <c r="I382" s="12"/>
      <c r="J382" s="12"/>
    </row>
    <row r="383" spans="1:10">
      <c r="F383" s="8"/>
      <c r="H383" s="10"/>
      <c r="I383" s="12"/>
      <c r="J383" s="12"/>
    </row>
    <row r="384" spans="1:10">
      <c r="F384" s="8"/>
      <c r="H384" s="10"/>
      <c r="I384" s="12"/>
      <c r="J384" s="12"/>
    </row>
    <row r="385" spans="1:10">
      <c r="F385" s="8"/>
      <c r="H385" s="10"/>
      <c r="I385" s="12"/>
      <c r="J385" s="12"/>
    </row>
    <row r="386" spans="1:10">
      <c r="F386" s="8"/>
      <c r="H386" s="10"/>
      <c r="I386" s="12"/>
      <c r="J386" s="12"/>
    </row>
    <row r="387" spans="1:10">
      <c r="J387" s="6"/>
    </row>
    <row r="388" spans="1:10">
      <c r="B388" s="7"/>
    </row>
    <row r="389" spans="1:10">
      <c r="F389" s="8"/>
      <c r="H389" s="10"/>
      <c r="I389" s="12"/>
      <c r="J389" s="12"/>
    </row>
    <row r="390" spans="1:10">
      <c r="I390" s="2"/>
      <c r="J390" s="6"/>
    </row>
    <row r="392" spans="1:10">
      <c r="A392" s="2"/>
      <c r="B392" s="2"/>
      <c r="C392" s="2"/>
      <c r="D392" s="2"/>
    </row>
    <row r="393" spans="1:10">
      <c r="A393" s="2"/>
      <c r="B393" s="2"/>
      <c r="C393" s="4"/>
      <c r="D393" s="5"/>
      <c r="E393" s="4"/>
      <c r="F393" s="5"/>
      <c r="G393" s="2"/>
      <c r="I393" s="4"/>
      <c r="J393" s="6"/>
    </row>
    <row r="394" spans="1:10">
      <c r="A394" s="2"/>
      <c r="B394" s="2"/>
      <c r="F394" s="4"/>
      <c r="G394" s="4"/>
      <c r="H394" s="4"/>
      <c r="I394" s="4"/>
      <c r="J394" s="4"/>
    </row>
    <row r="395" spans="1:10">
      <c r="B395" s="7"/>
    </row>
    <row r="396" spans="1:10">
      <c r="F396" s="8"/>
      <c r="G396" s="9"/>
      <c r="H396" s="10"/>
      <c r="J396" s="12"/>
    </row>
    <row r="397" spans="1:10">
      <c r="F397" s="8"/>
      <c r="G397" s="9"/>
      <c r="H397" s="10"/>
      <c r="I397" s="12"/>
      <c r="J397" s="12"/>
    </row>
    <row r="398" spans="1:10">
      <c r="F398" s="8"/>
      <c r="G398" s="9"/>
      <c r="H398" s="10"/>
      <c r="J398" s="12"/>
    </row>
    <row r="399" spans="1:10">
      <c r="F399" s="8"/>
      <c r="G399" s="9"/>
      <c r="H399" s="10"/>
      <c r="J399" s="6"/>
    </row>
    <row r="400" spans="1:10">
      <c r="B400" s="7"/>
      <c r="F400" s="8"/>
      <c r="G400" s="9"/>
      <c r="H400" s="10"/>
      <c r="I400" s="10"/>
      <c r="J400" s="12"/>
    </row>
    <row r="401" spans="1:10">
      <c r="F401" s="8"/>
      <c r="G401" s="9"/>
      <c r="H401" s="10"/>
      <c r="J401" s="12"/>
    </row>
    <row r="402" spans="1:10">
      <c r="F402" s="8"/>
      <c r="G402" s="9"/>
      <c r="H402" s="10"/>
      <c r="J402" s="12"/>
    </row>
    <row r="403" spans="1:10">
      <c r="F403" s="8"/>
      <c r="G403" s="9"/>
      <c r="H403" s="10"/>
      <c r="J403" s="12"/>
    </row>
    <row r="404" spans="1:10">
      <c r="F404" s="8"/>
      <c r="G404" s="9"/>
      <c r="H404" s="10"/>
      <c r="J404" s="12"/>
    </row>
    <row r="405" spans="1:10">
      <c r="J405" s="6"/>
    </row>
    <row r="406" spans="1:10">
      <c r="B406" s="7"/>
    </row>
    <row r="407" spans="1:10">
      <c r="F407" s="8"/>
      <c r="H407" s="10"/>
      <c r="I407" s="12"/>
      <c r="J407" s="12"/>
    </row>
    <row r="408" spans="1:10">
      <c r="I408" s="2"/>
      <c r="J408" s="6"/>
    </row>
    <row r="410" spans="1:10">
      <c r="A410" s="2"/>
      <c r="B410" s="2"/>
      <c r="C410" s="2"/>
      <c r="D410" s="2"/>
    </row>
    <row r="411" spans="1:10">
      <c r="A411" s="2"/>
      <c r="B411" s="2"/>
      <c r="C411" s="4"/>
      <c r="D411" s="5"/>
      <c r="E411" s="4"/>
      <c r="F411" s="5"/>
      <c r="G411" s="2"/>
      <c r="I411" s="4"/>
      <c r="J411" s="6"/>
    </row>
    <row r="412" spans="1:10">
      <c r="A412" s="2"/>
      <c r="B412" s="2"/>
      <c r="F412" s="4"/>
      <c r="G412" s="4"/>
      <c r="H412" s="4"/>
      <c r="I412" s="4"/>
      <c r="J412" s="4"/>
    </row>
    <row r="413" spans="1:10">
      <c r="B413" s="7"/>
    </row>
    <row r="414" spans="1:10">
      <c r="F414" s="8"/>
      <c r="G414" s="9"/>
      <c r="H414" s="10"/>
      <c r="J414" s="12"/>
    </row>
    <row r="415" spans="1:10">
      <c r="F415" s="8"/>
      <c r="G415" s="9"/>
      <c r="H415" s="10"/>
      <c r="I415" s="12"/>
      <c r="J415" s="12"/>
    </row>
    <row r="416" spans="1:10">
      <c r="F416" s="8"/>
      <c r="G416" s="9"/>
      <c r="H416" s="10"/>
      <c r="J416" s="12"/>
    </row>
    <row r="417" spans="1:10">
      <c r="F417" s="8"/>
      <c r="G417" s="9"/>
      <c r="H417" s="10"/>
      <c r="J417" s="6"/>
    </row>
    <row r="418" spans="1:10">
      <c r="B418" s="7"/>
      <c r="F418" s="8"/>
      <c r="G418" s="9"/>
      <c r="H418" s="10"/>
      <c r="I418" s="10"/>
      <c r="J418" s="12"/>
    </row>
    <row r="419" spans="1:10">
      <c r="F419" s="8"/>
      <c r="G419" s="9"/>
      <c r="H419" s="10"/>
      <c r="J419" s="12"/>
    </row>
    <row r="420" spans="1:10">
      <c r="F420" s="8"/>
      <c r="G420" s="9"/>
      <c r="H420" s="10"/>
      <c r="J420" s="12"/>
    </row>
    <row r="421" spans="1:10">
      <c r="F421" s="8"/>
      <c r="G421" s="9"/>
      <c r="H421" s="10"/>
      <c r="J421" s="12"/>
    </row>
    <row r="422" spans="1:10">
      <c r="F422" s="8"/>
      <c r="G422" s="9"/>
      <c r="H422" s="10"/>
      <c r="J422" s="12"/>
    </row>
    <row r="423" spans="1:10">
      <c r="J423" s="6"/>
    </row>
    <row r="424" spans="1:10">
      <c r="B424" s="7"/>
    </row>
    <row r="425" spans="1:10">
      <c r="F425" s="8"/>
      <c r="H425" s="10"/>
      <c r="I425" s="12"/>
      <c r="J425" s="12"/>
    </row>
    <row r="426" spans="1:10">
      <c r="I426" s="2"/>
      <c r="J426" s="6"/>
    </row>
    <row r="428" spans="1:10">
      <c r="A428" s="2"/>
      <c r="B428" s="2"/>
      <c r="C428" s="2"/>
      <c r="D428" s="2"/>
    </row>
    <row r="429" spans="1:10">
      <c r="A429" s="2"/>
      <c r="B429" s="2"/>
      <c r="C429" s="4"/>
      <c r="D429" s="5"/>
      <c r="E429" s="4"/>
      <c r="F429" s="5"/>
      <c r="G429" s="2"/>
      <c r="I429" s="4"/>
      <c r="J429" s="6"/>
    </row>
    <row r="430" spans="1:10">
      <c r="A430" s="2"/>
      <c r="B430" s="2"/>
      <c r="F430" s="4"/>
      <c r="G430" s="4"/>
      <c r="H430" s="4"/>
      <c r="I430" s="4"/>
      <c r="J430" s="4"/>
    </row>
    <row r="431" spans="1:10">
      <c r="B431" s="7"/>
    </row>
    <row r="432" spans="1:10">
      <c r="F432" s="8"/>
      <c r="G432" s="9"/>
      <c r="H432" s="10"/>
      <c r="J432" s="12"/>
    </row>
    <row r="433" spans="1:10">
      <c r="F433" s="8"/>
      <c r="G433" s="9"/>
      <c r="H433" s="10"/>
      <c r="I433" s="12"/>
      <c r="J433" s="12"/>
    </row>
    <row r="434" spans="1:10">
      <c r="F434" s="8"/>
      <c r="G434" s="9"/>
      <c r="H434" s="10"/>
      <c r="J434" s="12"/>
    </row>
    <row r="435" spans="1:10">
      <c r="F435" s="8"/>
      <c r="G435" s="9"/>
      <c r="H435" s="10"/>
      <c r="J435" s="6"/>
    </row>
    <row r="436" spans="1:10">
      <c r="B436" s="7"/>
      <c r="F436" s="8"/>
      <c r="G436" s="9"/>
      <c r="H436" s="10"/>
      <c r="I436" s="10"/>
      <c r="J436" s="12"/>
    </row>
    <row r="437" spans="1:10">
      <c r="F437" s="8"/>
      <c r="G437" s="9"/>
      <c r="H437" s="10"/>
      <c r="J437" s="12"/>
    </row>
    <row r="438" spans="1:10">
      <c r="F438" s="8"/>
      <c r="G438" s="9"/>
      <c r="H438" s="10"/>
      <c r="J438" s="12"/>
    </row>
    <row r="439" spans="1:10">
      <c r="F439" s="8"/>
      <c r="G439" s="9"/>
      <c r="H439" s="10"/>
      <c r="J439" s="12"/>
    </row>
    <row r="440" spans="1:10">
      <c r="F440" s="8"/>
      <c r="G440" s="9"/>
      <c r="H440" s="10"/>
      <c r="J440" s="12"/>
    </row>
    <row r="441" spans="1:10">
      <c r="J441" s="6"/>
    </row>
    <row r="442" spans="1:10">
      <c r="B442" s="7"/>
    </row>
    <row r="443" spans="1:10">
      <c r="F443" s="8"/>
      <c r="H443" s="10"/>
      <c r="I443" s="12"/>
      <c r="J443" s="12"/>
    </row>
    <row r="444" spans="1:10">
      <c r="I444" s="2"/>
      <c r="J444" s="6"/>
    </row>
    <row r="446" spans="1:10">
      <c r="A446" s="2"/>
      <c r="B446" s="2"/>
      <c r="C446" s="2"/>
      <c r="D446" s="2"/>
    </row>
    <row r="447" spans="1:10">
      <c r="A447" s="2"/>
      <c r="B447" s="2"/>
      <c r="C447" s="4"/>
      <c r="D447" s="5"/>
      <c r="E447" s="4"/>
      <c r="F447" s="5"/>
      <c r="G447" s="2"/>
      <c r="I447" s="4"/>
      <c r="J447" s="6"/>
    </row>
    <row r="448" spans="1:10">
      <c r="A448" s="2"/>
      <c r="B448" s="2"/>
      <c r="F448" s="4"/>
      <c r="G448" s="4"/>
      <c r="H448" s="4"/>
      <c r="I448" s="4"/>
      <c r="J448" s="4"/>
    </row>
    <row r="449" spans="1:10">
      <c r="B449" s="7"/>
    </row>
    <row r="450" spans="1:10">
      <c r="F450" s="8"/>
      <c r="G450" s="9"/>
      <c r="H450" s="10"/>
      <c r="J450" s="12"/>
    </row>
    <row r="451" spans="1:10">
      <c r="F451" s="8"/>
      <c r="G451" s="9"/>
      <c r="H451" s="10"/>
      <c r="I451" s="12"/>
      <c r="J451" s="12"/>
    </row>
    <row r="452" spans="1:10">
      <c r="F452" s="8"/>
      <c r="G452" s="9"/>
      <c r="H452" s="10"/>
      <c r="J452" s="12"/>
    </row>
    <row r="453" spans="1:10">
      <c r="F453" s="8"/>
      <c r="G453" s="9"/>
      <c r="H453" s="10"/>
      <c r="J453" s="6"/>
    </row>
    <row r="454" spans="1:10">
      <c r="B454" s="7"/>
      <c r="F454" s="8"/>
      <c r="G454" s="9"/>
      <c r="H454" s="10"/>
      <c r="I454" s="10"/>
      <c r="J454" s="12"/>
    </row>
    <row r="455" spans="1:10">
      <c r="F455" s="8"/>
      <c r="G455" s="9"/>
      <c r="H455" s="10"/>
      <c r="J455" s="12"/>
    </row>
    <row r="456" spans="1:10">
      <c r="F456" s="8"/>
      <c r="G456" s="9"/>
      <c r="H456" s="10"/>
      <c r="J456" s="12"/>
    </row>
    <row r="457" spans="1:10">
      <c r="F457" s="8"/>
      <c r="G457" s="9"/>
      <c r="H457" s="10"/>
      <c r="J457" s="12"/>
    </row>
    <row r="458" spans="1:10">
      <c r="F458" s="8"/>
      <c r="G458" s="9"/>
      <c r="H458" s="10"/>
      <c r="J458" s="12"/>
    </row>
    <row r="459" spans="1:10">
      <c r="J459" s="6"/>
    </row>
    <row r="460" spans="1:10">
      <c r="B460" s="7"/>
    </row>
    <row r="461" spans="1:10">
      <c r="F461" s="8"/>
      <c r="H461" s="10"/>
      <c r="I461" s="12"/>
      <c r="J461" s="12"/>
    </row>
    <row r="462" spans="1:10">
      <c r="I462" s="2"/>
      <c r="J462" s="6"/>
    </row>
    <row r="464" spans="1:10">
      <c r="A464" s="2"/>
      <c r="B464" s="2"/>
      <c r="C464" s="2"/>
      <c r="D464" s="2"/>
    </row>
    <row r="465" spans="1:10">
      <c r="A465" s="2"/>
      <c r="B465" s="2"/>
      <c r="C465" s="4"/>
      <c r="D465" s="5"/>
      <c r="E465" s="4"/>
      <c r="F465" s="5"/>
      <c r="G465" s="2"/>
      <c r="I465" s="4"/>
      <c r="J465" s="6"/>
    </row>
    <row r="466" spans="1:10">
      <c r="A466" s="2"/>
      <c r="B466" s="2"/>
      <c r="F466" s="4"/>
      <c r="G466" s="4"/>
      <c r="H466" s="4"/>
      <c r="I466" s="4"/>
      <c r="J466" s="4"/>
    </row>
    <row r="467" spans="1:10">
      <c r="B467" s="7"/>
    </row>
    <row r="468" spans="1:10">
      <c r="F468" s="8"/>
      <c r="G468" s="9"/>
      <c r="H468" s="10"/>
      <c r="J468" s="12"/>
    </row>
    <row r="469" spans="1:10">
      <c r="F469" s="8"/>
      <c r="G469" s="9"/>
      <c r="H469" s="10"/>
      <c r="I469" s="12"/>
      <c r="J469" s="12"/>
    </row>
    <row r="470" spans="1:10">
      <c r="F470" s="8"/>
      <c r="G470" s="9"/>
      <c r="H470" s="10"/>
      <c r="J470" s="12"/>
    </row>
    <row r="471" spans="1:10">
      <c r="F471" s="8"/>
      <c r="G471" s="9"/>
      <c r="H471" s="10"/>
      <c r="J471" s="6"/>
    </row>
    <row r="472" spans="1:10">
      <c r="B472" s="7"/>
      <c r="F472" s="8"/>
      <c r="G472" s="9"/>
      <c r="H472" s="10"/>
      <c r="I472" s="10"/>
      <c r="J472" s="12"/>
    </row>
    <row r="473" spans="1:10">
      <c r="F473" s="8"/>
      <c r="G473" s="9"/>
      <c r="H473" s="10"/>
      <c r="J473" s="12"/>
    </row>
    <row r="474" spans="1:10">
      <c r="J474" s="6"/>
    </row>
    <row r="475" spans="1:10">
      <c r="B475" s="7"/>
    </row>
    <row r="476" spans="1:10">
      <c r="F476" s="8"/>
      <c r="H476" s="10"/>
      <c r="I476" s="12"/>
      <c r="J476" s="12"/>
    </row>
    <row r="477" spans="1:10">
      <c r="I477" s="2"/>
      <c r="J477" s="6"/>
    </row>
    <row r="479" spans="1:10">
      <c r="A479" s="2"/>
      <c r="B479" s="2"/>
      <c r="C479" s="2"/>
      <c r="D479" s="2"/>
    </row>
    <row r="480" spans="1:10">
      <c r="A480" s="2"/>
      <c r="B480" s="2"/>
      <c r="C480" s="4"/>
      <c r="D480" s="5"/>
      <c r="E480" s="4"/>
      <c r="F480" s="5"/>
      <c r="G480" s="2"/>
      <c r="I480" s="4"/>
      <c r="J480" s="6"/>
    </row>
    <row r="481" spans="1:10">
      <c r="A481" s="2"/>
      <c r="B481" s="2"/>
      <c r="F481" s="4"/>
      <c r="G481" s="4"/>
      <c r="H481" s="4"/>
      <c r="I481" s="4"/>
      <c r="J481" s="4"/>
    </row>
    <row r="482" spans="1:10">
      <c r="B482" s="7"/>
    </row>
    <row r="483" spans="1:10">
      <c r="F483" s="8"/>
      <c r="G483" s="9"/>
      <c r="H483" s="10"/>
      <c r="J483" s="12"/>
    </row>
    <row r="484" spans="1:10">
      <c r="F484" s="8"/>
      <c r="G484" s="9"/>
      <c r="H484" s="10"/>
      <c r="I484" s="12"/>
      <c r="J484" s="12"/>
    </row>
    <row r="485" spans="1:10">
      <c r="F485" s="8"/>
      <c r="G485" s="9"/>
      <c r="H485" s="10"/>
      <c r="J485" s="12"/>
    </row>
    <row r="486" spans="1:10">
      <c r="F486" s="8"/>
      <c r="G486" s="9"/>
      <c r="H486" s="10"/>
      <c r="J486" s="6"/>
    </row>
    <row r="487" spans="1:10">
      <c r="B487" s="7"/>
      <c r="F487" s="8"/>
      <c r="G487" s="9"/>
      <c r="H487" s="10"/>
      <c r="I487" s="10"/>
      <c r="J487" s="12"/>
    </row>
    <row r="488" spans="1:10">
      <c r="F488" s="8"/>
      <c r="G488" s="9"/>
      <c r="H488" s="10"/>
      <c r="J488" s="12"/>
    </row>
    <row r="489" spans="1:10">
      <c r="J489" s="6"/>
    </row>
    <row r="490" spans="1:10">
      <c r="B490" s="7"/>
    </row>
    <row r="491" spans="1:10">
      <c r="F491" s="8"/>
      <c r="H491" s="10"/>
      <c r="I491" s="12"/>
      <c r="J491" s="12"/>
    </row>
    <row r="492" spans="1:10">
      <c r="I492" s="2"/>
      <c r="J492" s="6"/>
    </row>
    <row r="493" spans="1:10">
      <c r="F493" s="8"/>
      <c r="G493" s="9"/>
      <c r="H493" s="10"/>
      <c r="J493" s="12"/>
    </row>
    <row r="494" spans="1:10">
      <c r="A494" s="2"/>
      <c r="B494" s="2"/>
      <c r="C494" s="2"/>
      <c r="D494" s="2"/>
    </row>
    <row r="495" spans="1:10">
      <c r="A495" s="2"/>
      <c r="B495" s="2"/>
      <c r="C495" s="4"/>
      <c r="D495" s="5"/>
      <c r="E495" s="4"/>
      <c r="F495" s="5"/>
      <c r="G495" s="2"/>
      <c r="I495" s="4"/>
      <c r="J495" s="6"/>
    </row>
    <row r="496" spans="1:10">
      <c r="A496" s="2"/>
      <c r="B496" s="2"/>
      <c r="F496" s="4"/>
      <c r="G496" s="4"/>
      <c r="H496" s="4"/>
      <c r="I496" s="4"/>
      <c r="J496" s="4"/>
    </row>
    <row r="497" spans="1:10">
      <c r="B497" s="7"/>
    </row>
    <row r="498" spans="1:10">
      <c r="F498" s="8"/>
      <c r="G498" s="9"/>
      <c r="H498" s="10"/>
      <c r="J498" s="12"/>
    </row>
    <row r="499" spans="1:10">
      <c r="F499" s="8"/>
      <c r="G499" s="9"/>
      <c r="H499" s="10"/>
      <c r="I499" s="12"/>
      <c r="J499" s="12"/>
    </row>
    <row r="500" spans="1:10">
      <c r="F500" s="8"/>
      <c r="G500" s="9"/>
      <c r="H500" s="10"/>
      <c r="J500" s="12"/>
    </row>
    <row r="501" spans="1:10">
      <c r="F501" s="8"/>
      <c r="G501" s="9"/>
      <c r="H501" s="10"/>
      <c r="J501" s="6"/>
    </row>
    <row r="502" spans="1:10">
      <c r="B502" s="7"/>
      <c r="F502" s="8"/>
      <c r="G502" s="9"/>
      <c r="H502" s="10"/>
      <c r="I502" s="10"/>
      <c r="J502" s="12"/>
    </row>
    <row r="503" spans="1:10">
      <c r="F503" s="8"/>
      <c r="G503" s="9"/>
      <c r="H503" s="10"/>
      <c r="J503" s="12"/>
    </row>
    <row r="504" spans="1:10">
      <c r="J504" s="6"/>
    </row>
    <row r="505" spans="1:10">
      <c r="B505" s="7"/>
    </row>
    <row r="506" spans="1:10">
      <c r="F506" s="8"/>
      <c r="H506" s="10"/>
      <c r="I506" s="12"/>
      <c r="J506" s="12"/>
    </row>
    <row r="507" spans="1:10">
      <c r="I507" s="2"/>
      <c r="J507" s="6"/>
    </row>
    <row r="509" spans="1:10">
      <c r="A509" s="2"/>
      <c r="B509" s="2"/>
      <c r="C509" s="2"/>
      <c r="D509" s="2"/>
    </row>
    <row r="510" spans="1:10">
      <c r="A510" s="2"/>
      <c r="B510" s="2"/>
      <c r="C510" s="4"/>
      <c r="D510" s="5"/>
      <c r="E510" s="4"/>
      <c r="F510" s="5"/>
      <c r="G510" s="2"/>
      <c r="I510" s="4"/>
      <c r="J510" s="6"/>
    </row>
    <row r="511" spans="1:10">
      <c r="A511" s="2"/>
      <c r="B511" s="2"/>
      <c r="F511" s="4"/>
      <c r="G511" s="4"/>
      <c r="H511" s="4"/>
      <c r="I511" s="4"/>
      <c r="J511" s="4"/>
    </row>
    <row r="512" spans="1:10">
      <c r="B512" s="7"/>
    </row>
    <row r="513" spans="1:10">
      <c r="F513" s="8"/>
      <c r="G513" s="9"/>
      <c r="H513" s="10"/>
      <c r="J513" s="12"/>
    </row>
    <row r="514" spans="1:10">
      <c r="F514" s="8"/>
      <c r="G514" s="9"/>
      <c r="H514" s="10"/>
      <c r="I514" s="12"/>
      <c r="J514" s="12"/>
    </row>
    <row r="515" spans="1:10">
      <c r="F515" s="8"/>
      <c r="G515" s="9"/>
      <c r="H515" s="10"/>
      <c r="J515" s="12"/>
    </row>
    <row r="516" spans="1:10">
      <c r="F516" s="8"/>
      <c r="G516" s="9"/>
      <c r="H516" s="10"/>
      <c r="J516" s="6"/>
    </row>
    <row r="517" spans="1:10">
      <c r="B517" s="7"/>
      <c r="F517" s="8"/>
      <c r="G517" s="9"/>
      <c r="H517" s="10"/>
      <c r="I517" s="10"/>
      <c r="J517" s="12"/>
    </row>
    <row r="518" spans="1:10">
      <c r="F518" s="8"/>
      <c r="G518" s="9"/>
      <c r="H518" s="10"/>
      <c r="J518" s="12"/>
    </row>
    <row r="519" spans="1:10">
      <c r="J519" s="6"/>
    </row>
    <row r="520" spans="1:10">
      <c r="B520" s="7"/>
    </row>
    <row r="521" spans="1:10">
      <c r="F521" s="8"/>
      <c r="H521" s="10"/>
      <c r="I521" s="12"/>
      <c r="J521" s="12"/>
    </row>
    <row r="522" spans="1:10">
      <c r="I522" s="2"/>
      <c r="J522" s="6"/>
    </row>
    <row r="524" spans="1:10">
      <c r="A524" s="2"/>
      <c r="B524" s="2"/>
      <c r="C524" s="2"/>
      <c r="D524" s="2"/>
    </row>
    <row r="525" spans="1:10">
      <c r="A525" s="2"/>
      <c r="B525" s="2"/>
      <c r="C525" s="4"/>
      <c r="D525" s="5"/>
      <c r="E525" s="4"/>
      <c r="F525" s="5"/>
      <c r="G525" s="2"/>
      <c r="I525" s="4"/>
      <c r="J525" s="6"/>
    </row>
    <row r="526" spans="1:10">
      <c r="A526" s="2"/>
      <c r="B526" s="2"/>
      <c r="F526" s="4"/>
      <c r="G526" s="4"/>
      <c r="H526" s="4"/>
      <c r="I526" s="4"/>
      <c r="J526" s="4"/>
    </row>
    <row r="527" spans="1:10">
      <c r="B527" s="7"/>
    </row>
    <row r="528" spans="1:10">
      <c r="F528" s="8"/>
      <c r="G528" s="9"/>
      <c r="H528" s="10"/>
      <c r="I528" s="12"/>
      <c r="J528" s="12"/>
    </row>
    <row r="529" spans="1:10">
      <c r="F529" s="8"/>
      <c r="G529" s="9"/>
      <c r="H529" s="10"/>
      <c r="J529" s="12"/>
    </row>
    <row r="530" spans="1:10">
      <c r="F530" s="8"/>
      <c r="G530" s="9"/>
      <c r="H530" s="10"/>
      <c r="J530" s="6"/>
    </row>
    <row r="531" spans="1:10">
      <c r="B531" s="7"/>
      <c r="F531" s="8"/>
      <c r="G531" s="9"/>
      <c r="H531" s="10"/>
      <c r="I531" s="10"/>
      <c r="J531" s="12"/>
    </row>
    <row r="532" spans="1:10">
      <c r="F532" s="8"/>
      <c r="G532" s="9"/>
      <c r="H532" s="10"/>
      <c r="J532" s="12"/>
    </row>
    <row r="533" spans="1:10">
      <c r="J533" s="6"/>
    </row>
    <row r="534" spans="1:10">
      <c r="B534" s="7"/>
    </row>
    <row r="535" spans="1:10">
      <c r="F535" s="8"/>
      <c r="H535" s="10"/>
      <c r="I535" s="12"/>
      <c r="J535" s="12"/>
    </row>
    <row r="536" spans="1:10">
      <c r="I536" s="2"/>
      <c r="J536" s="6"/>
    </row>
    <row r="538" spans="1:10">
      <c r="A538" s="2"/>
      <c r="B538" s="2"/>
      <c r="C538" s="2"/>
      <c r="D538" s="2"/>
    </row>
    <row r="539" spans="1:10">
      <c r="A539" s="2"/>
      <c r="B539" s="2"/>
      <c r="C539" s="4"/>
      <c r="D539" s="5"/>
      <c r="E539" s="4"/>
      <c r="F539" s="5"/>
      <c r="G539" s="2"/>
      <c r="I539" s="4"/>
      <c r="J539" s="6"/>
    </row>
    <row r="540" spans="1:10">
      <c r="A540" s="2"/>
      <c r="B540" s="2"/>
      <c r="F540" s="4"/>
      <c r="G540" s="4"/>
      <c r="H540" s="4"/>
      <c r="I540" s="4"/>
      <c r="J540" s="4"/>
    </row>
    <row r="541" spans="1:10">
      <c r="B541" s="7"/>
    </row>
    <row r="542" spans="1:10">
      <c r="F542" s="8"/>
      <c r="G542" s="9"/>
      <c r="H542" s="10"/>
      <c r="I542" s="12"/>
      <c r="J542" s="12"/>
    </row>
    <row r="543" spans="1:10">
      <c r="F543" s="8"/>
      <c r="G543" s="9"/>
      <c r="H543" s="10"/>
      <c r="J543" s="12"/>
    </row>
    <row r="544" spans="1:10">
      <c r="F544" s="8"/>
      <c r="G544" s="9"/>
      <c r="H544" s="10"/>
      <c r="J544" s="6"/>
    </row>
    <row r="545" spans="1:10">
      <c r="B545" s="7"/>
      <c r="F545" s="8"/>
      <c r="G545" s="9"/>
      <c r="H545" s="10"/>
      <c r="I545" s="10"/>
      <c r="J545" s="12"/>
    </row>
    <row r="546" spans="1:10">
      <c r="F546" s="8"/>
      <c r="G546" s="9"/>
      <c r="H546" s="10"/>
      <c r="J546" s="12"/>
    </row>
    <row r="547" spans="1:10">
      <c r="J547" s="6"/>
    </row>
    <row r="548" spans="1:10">
      <c r="B548" s="7"/>
    </row>
    <row r="549" spans="1:10">
      <c r="F549" s="8"/>
      <c r="H549" s="10"/>
      <c r="I549" s="12"/>
      <c r="J549" s="12"/>
    </row>
    <row r="550" spans="1:10">
      <c r="I550" s="2"/>
      <c r="J550" s="6"/>
    </row>
    <row r="551" spans="1:10">
      <c r="A551" s="53"/>
      <c r="B551" s="53"/>
      <c r="C551" s="53"/>
      <c r="D551" s="53"/>
      <c r="E551" s="53"/>
      <c r="F551" s="53"/>
      <c r="G551" s="53"/>
    </row>
    <row r="552" spans="1:10">
      <c r="A552" s="2"/>
      <c r="B552" s="2"/>
      <c r="C552" s="2"/>
      <c r="D552" s="2"/>
    </row>
    <row r="553" spans="1:10">
      <c r="A553" s="2"/>
      <c r="B553" s="2"/>
      <c r="C553" s="4"/>
      <c r="D553" s="5"/>
      <c r="E553" s="4"/>
      <c r="F553" s="5"/>
      <c r="G553" s="2"/>
      <c r="I553" s="4"/>
      <c r="J553" s="6"/>
    </row>
    <row r="554" spans="1:10">
      <c r="A554" s="2"/>
      <c r="B554" s="2"/>
      <c r="F554" s="4"/>
      <c r="G554" s="4"/>
      <c r="H554" s="4"/>
      <c r="I554" s="4"/>
      <c r="J554" s="4"/>
    </row>
    <row r="555" spans="1:10">
      <c r="B555" s="7"/>
    </row>
    <row r="556" spans="1:10">
      <c r="F556" s="8"/>
      <c r="G556" s="9"/>
      <c r="H556" s="10"/>
      <c r="I556" s="12"/>
      <c r="J556" s="12"/>
    </row>
    <row r="557" spans="1:10">
      <c r="F557" s="8"/>
      <c r="G557" s="9"/>
      <c r="H557" s="10"/>
      <c r="J557" s="12"/>
    </row>
    <row r="558" spans="1:10">
      <c r="F558" s="8"/>
      <c r="G558" s="9"/>
      <c r="H558" s="10"/>
      <c r="J558" s="6"/>
    </row>
    <row r="559" spans="1:10">
      <c r="B559" s="7"/>
      <c r="F559" s="8"/>
      <c r="G559" s="9"/>
      <c r="H559" s="10"/>
      <c r="I559" s="10"/>
      <c r="J559" s="12"/>
    </row>
    <row r="560" spans="1:10">
      <c r="F560" s="8"/>
      <c r="G560" s="9"/>
      <c r="H560" s="10"/>
      <c r="J560" s="12"/>
    </row>
    <row r="561" spans="1:10">
      <c r="J561" s="6"/>
    </row>
    <row r="562" spans="1:10">
      <c r="B562" s="7"/>
    </row>
    <row r="563" spans="1:10">
      <c r="F563" s="8"/>
      <c r="H563" s="10"/>
      <c r="I563" s="12"/>
      <c r="J563" s="12"/>
    </row>
    <row r="564" spans="1:10">
      <c r="I564" s="2"/>
      <c r="J564" s="6"/>
    </row>
    <row r="565" spans="1:10">
      <c r="A565" s="53"/>
      <c r="B565" s="53"/>
      <c r="C565" s="53"/>
      <c r="D565" s="53"/>
      <c r="E565" s="53"/>
      <c r="F565" s="53"/>
      <c r="G565" s="53"/>
    </row>
    <row r="566" spans="1:10">
      <c r="A566" s="2"/>
      <c r="B566" s="2"/>
      <c r="C566" s="2"/>
      <c r="D566" s="2"/>
    </row>
    <row r="567" spans="1:10">
      <c r="A567" s="2"/>
      <c r="B567" s="2"/>
      <c r="C567" s="4"/>
      <c r="D567" s="5"/>
      <c r="E567" s="4"/>
      <c r="F567" s="5"/>
      <c r="G567" s="2"/>
      <c r="I567" s="4"/>
      <c r="J567" s="6"/>
    </row>
    <row r="568" spans="1:10">
      <c r="A568" s="2"/>
      <c r="B568" s="2"/>
      <c r="F568" s="4"/>
      <c r="G568" s="4"/>
      <c r="H568" s="4"/>
      <c r="I568" s="4"/>
      <c r="J568" s="4"/>
    </row>
    <row r="569" spans="1:10">
      <c r="B569" s="7"/>
    </row>
    <row r="570" spans="1:10">
      <c r="F570" s="8"/>
      <c r="G570" s="9"/>
      <c r="H570" s="10"/>
      <c r="I570" s="12"/>
      <c r="J570" s="12"/>
    </row>
    <row r="571" spans="1:10">
      <c r="F571" s="8"/>
      <c r="G571" s="9"/>
      <c r="H571" s="10"/>
      <c r="J571" s="12"/>
    </row>
    <row r="572" spans="1:10">
      <c r="F572" s="8"/>
      <c r="G572" s="9"/>
      <c r="H572" s="10"/>
      <c r="J572" s="6"/>
    </row>
    <row r="573" spans="1:10">
      <c r="B573" s="7"/>
      <c r="F573" s="8"/>
      <c r="G573" s="9"/>
      <c r="H573" s="10"/>
      <c r="I573" s="10"/>
      <c r="J573" s="12"/>
    </row>
    <row r="574" spans="1:10">
      <c r="F574" s="8"/>
      <c r="G574" s="9"/>
      <c r="H574" s="10"/>
      <c r="J574" s="12"/>
    </row>
    <row r="575" spans="1:10">
      <c r="J575" s="6"/>
    </row>
    <row r="576" spans="1:10">
      <c r="B576" s="7"/>
    </row>
    <row r="577" spans="1:10">
      <c r="F577" s="8"/>
      <c r="H577" s="10"/>
      <c r="I577" s="12"/>
      <c r="J577" s="12"/>
    </row>
    <row r="578" spans="1:10">
      <c r="I578" s="2"/>
      <c r="J578" s="6"/>
    </row>
    <row r="579" spans="1:10">
      <c r="A579" s="53"/>
      <c r="B579" s="53"/>
      <c r="C579" s="53"/>
      <c r="D579" s="53"/>
      <c r="E579" s="53"/>
      <c r="F579" s="53"/>
      <c r="G579" s="56"/>
    </row>
    <row r="580" spans="1:10">
      <c r="A580" s="2"/>
      <c r="B580" s="2"/>
      <c r="C580" s="2"/>
      <c r="D580" s="2"/>
    </row>
    <row r="581" spans="1:10">
      <c r="A581" s="2"/>
      <c r="B581" s="2"/>
      <c r="C581" s="4"/>
      <c r="D581" s="5"/>
      <c r="E581" s="4"/>
      <c r="F581" s="5"/>
      <c r="G581" s="2"/>
      <c r="I581" s="4"/>
      <c r="J581" s="6"/>
    </row>
    <row r="582" spans="1:10">
      <c r="A582" s="2"/>
      <c r="B582" s="2"/>
      <c r="F582" s="4"/>
      <c r="G582" s="4"/>
      <c r="H582" s="4"/>
      <c r="I582" s="4"/>
      <c r="J582" s="4"/>
    </row>
    <row r="583" spans="1:10">
      <c r="B583" s="7"/>
    </row>
    <row r="584" spans="1:10">
      <c r="F584" s="8"/>
      <c r="G584" s="9"/>
      <c r="H584" s="10"/>
      <c r="I584" s="12"/>
      <c r="J584" s="12"/>
    </row>
    <row r="585" spans="1:10">
      <c r="F585" s="8"/>
      <c r="G585" s="9"/>
      <c r="H585" s="10"/>
      <c r="J585" s="12"/>
    </row>
    <row r="586" spans="1:10">
      <c r="F586" s="8"/>
      <c r="G586" s="9"/>
      <c r="H586" s="10"/>
      <c r="J586" s="6"/>
    </row>
    <row r="587" spans="1:10">
      <c r="B587" s="7"/>
      <c r="F587" s="8"/>
      <c r="G587" s="9"/>
      <c r="H587" s="10"/>
      <c r="I587" s="10"/>
      <c r="J587" s="12"/>
    </row>
    <row r="588" spans="1:10">
      <c r="F588" s="8"/>
      <c r="G588" s="9"/>
      <c r="H588" s="10"/>
      <c r="J588" s="12"/>
    </row>
    <row r="589" spans="1:10">
      <c r="J589" s="6"/>
    </row>
    <row r="590" spans="1:10">
      <c r="B590" s="7"/>
    </row>
    <row r="591" spans="1:10">
      <c r="F591" s="8"/>
      <c r="H591" s="10"/>
      <c r="I591" s="12"/>
      <c r="J591" s="12"/>
    </row>
    <row r="592" spans="1:10">
      <c r="I592" s="2"/>
      <c r="J592" s="6"/>
    </row>
    <row r="593" spans="1:10">
      <c r="A593" s="53"/>
      <c r="B593" s="53"/>
      <c r="C593" s="53"/>
      <c r="D593" s="53"/>
      <c r="E593" s="53"/>
      <c r="F593" s="53"/>
      <c r="G593" s="53"/>
    </row>
    <row r="594" spans="1:10">
      <c r="A594" s="2"/>
      <c r="B594" s="2"/>
      <c r="C594" s="2"/>
      <c r="D594" s="2"/>
    </row>
    <row r="595" spans="1:10">
      <c r="A595" s="2"/>
      <c r="B595" s="2"/>
      <c r="C595" s="4"/>
      <c r="D595" s="5"/>
      <c r="E595" s="4"/>
      <c r="F595" s="5"/>
      <c r="G595" s="2"/>
      <c r="I595" s="4"/>
      <c r="J595" s="6"/>
    </row>
    <row r="596" spans="1:10">
      <c r="A596" s="2"/>
      <c r="B596" s="2"/>
      <c r="F596" s="4"/>
      <c r="G596" s="4"/>
      <c r="H596" s="4"/>
      <c r="I596" s="4"/>
      <c r="J596" s="4"/>
    </row>
    <row r="597" spans="1:10">
      <c r="B597" s="7"/>
    </row>
    <row r="598" spans="1:10">
      <c r="F598" s="8"/>
      <c r="G598" s="9"/>
      <c r="H598" s="10"/>
      <c r="I598" s="12"/>
      <c r="J598" s="12"/>
    </row>
    <row r="599" spans="1:10">
      <c r="F599" s="8"/>
      <c r="G599" s="9"/>
      <c r="H599" s="10"/>
      <c r="J599" s="12"/>
    </row>
    <row r="600" spans="1:10">
      <c r="F600" s="8"/>
      <c r="G600" s="9"/>
      <c r="H600" s="10"/>
      <c r="J600" s="6"/>
    </row>
    <row r="601" spans="1:10">
      <c r="B601" s="7"/>
      <c r="F601" s="8"/>
      <c r="G601" s="9"/>
      <c r="H601" s="10"/>
      <c r="I601" s="10"/>
      <c r="J601" s="12"/>
    </row>
    <row r="602" spans="1:10">
      <c r="F602" s="8"/>
      <c r="G602" s="9"/>
      <c r="H602" s="10"/>
      <c r="J602" s="12"/>
    </row>
    <row r="603" spans="1:10">
      <c r="J603" s="6"/>
    </row>
    <row r="604" spans="1:10">
      <c r="B604" s="7"/>
    </row>
    <row r="605" spans="1:10">
      <c r="F605" s="8"/>
      <c r="H605" s="10"/>
      <c r="I605" s="12"/>
      <c r="J605" s="12"/>
    </row>
    <row r="606" spans="1:10">
      <c r="I606" s="2"/>
      <c r="J606" s="6"/>
    </row>
    <row r="607" spans="1:10">
      <c r="A607" s="53"/>
      <c r="B607" s="56"/>
      <c r="C607" s="53"/>
      <c r="D607" s="56"/>
      <c r="E607" s="56"/>
      <c r="F607" s="56"/>
      <c r="G607" s="56"/>
    </row>
    <row r="608" spans="1:10">
      <c r="A608" s="2"/>
      <c r="B608" s="2"/>
      <c r="C608" s="2"/>
      <c r="D608" s="2"/>
    </row>
    <row r="609" spans="1:10">
      <c r="A609" s="2"/>
      <c r="B609" s="2"/>
      <c r="C609" s="4"/>
      <c r="D609" s="5"/>
      <c r="E609" s="4"/>
      <c r="F609" s="5"/>
      <c r="G609" s="2"/>
      <c r="I609" s="4"/>
      <c r="J609" s="6"/>
    </row>
    <row r="610" spans="1:10">
      <c r="A610" s="2"/>
      <c r="B610" s="2"/>
      <c r="F610" s="4"/>
      <c r="G610" s="4"/>
      <c r="H610" s="4"/>
      <c r="I610" s="4"/>
      <c r="J610" s="4"/>
    </row>
    <row r="611" spans="1:10">
      <c r="B611" s="7"/>
    </row>
    <row r="612" spans="1:10">
      <c r="F612" s="8"/>
      <c r="G612" s="9"/>
      <c r="H612" s="10"/>
      <c r="I612" s="12"/>
      <c r="J612" s="12"/>
    </row>
    <row r="613" spans="1:10">
      <c r="F613" s="8"/>
      <c r="G613" s="9"/>
      <c r="H613" s="10"/>
      <c r="J613" s="12"/>
    </row>
    <row r="614" spans="1:10">
      <c r="F614" s="8"/>
      <c r="G614" s="9"/>
      <c r="H614" s="10"/>
      <c r="J614" s="6"/>
    </row>
    <row r="615" spans="1:10">
      <c r="B615" s="7"/>
      <c r="F615" s="8"/>
      <c r="G615" s="9"/>
      <c r="H615" s="10"/>
      <c r="I615" s="10"/>
      <c r="J615" s="12"/>
    </row>
    <row r="616" spans="1:10">
      <c r="F616" s="8"/>
      <c r="G616" s="9"/>
      <c r="H616" s="10"/>
      <c r="J616" s="12"/>
    </row>
    <row r="617" spans="1:10">
      <c r="J617" s="6"/>
    </row>
    <row r="618" spans="1:10">
      <c r="B618" s="7"/>
    </row>
    <row r="619" spans="1:10">
      <c r="F619" s="8"/>
      <c r="H619" s="10"/>
      <c r="I619" s="12"/>
      <c r="J619" s="12"/>
    </row>
    <row r="620" spans="1:10">
      <c r="I620" s="2"/>
      <c r="J620" s="6"/>
    </row>
    <row r="621" spans="1:10">
      <c r="A621" s="52"/>
      <c r="B621" s="56"/>
      <c r="C621" s="53"/>
      <c r="D621" s="53"/>
      <c r="E621" s="52"/>
      <c r="F621" s="57"/>
      <c r="G621" s="53"/>
    </row>
    <row r="622" spans="1:10">
      <c r="A622" s="2"/>
      <c r="B622" s="2"/>
      <c r="C622" s="2"/>
      <c r="D622" s="2"/>
    </row>
    <row r="623" spans="1:10">
      <c r="A623" s="2"/>
      <c r="B623" s="2"/>
      <c r="C623" s="4"/>
      <c r="D623" s="5"/>
      <c r="E623" s="4"/>
      <c r="F623" s="5"/>
      <c r="G623" s="2"/>
      <c r="I623" s="4"/>
      <c r="J623" s="6"/>
    </row>
    <row r="624" spans="1:10">
      <c r="A624" s="2"/>
      <c r="B624" s="2"/>
      <c r="F624" s="4"/>
      <c r="G624" s="4"/>
      <c r="H624" s="4"/>
      <c r="I624" s="4"/>
      <c r="J624" s="4"/>
    </row>
    <row r="625" spans="1:10">
      <c r="B625" s="7"/>
    </row>
    <row r="626" spans="1:10">
      <c r="F626" s="8"/>
      <c r="G626" s="9"/>
      <c r="H626" s="10"/>
      <c r="I626" s="12"/>
      <c r="J626" s="12"/>
    </row>
    <row r="627" spans="1:10">
      <c r="F627" s="8"/>
      <c r="G627" s="9"/>
      <c r="H627" s="10"/>
      <c r="J627" s="12"/>
    </row>
    <row r="628" spans="1:10">
      <c r="F628" s="8"/>
      <c r="G628" s="9"/>
      <c r="H628" s="10"/>
      <c r="J628" s="6"/>
    </row>
    <row r="629" spans="1:10">
      <c r="B629" s="7"/>
      <c r="F629" s="8"/>
      <c r="G629" s="9"/>
      <c r="H629" s="10"/>
      <c r="I629" s="10"/>
      <c r="J629" s="12"/>
    </row>
    <row r="630" spans="1:10">
      <c r="F630" s="8"/>
      <c r="G630" s="9"/>
      <c r="H630" s="10"/>
      <c r="J630" s="12"/>
    </row>
    <row r="631" spans="1:10">
      <c r="J631" s="6"/>
    </row>
    <row r="632" spans="1:10">
      <c r="B632" s="7"/>
    </row>
    <row r="633" spans="1:10">
      <c r="F633" s="8"/>
      <c r="H633" s="10"/>
      <c r="I633" s="12"/>
      <c r="J633" s="12"/>
    </row>
    <row r="634" spans="1:10">
      <c r="I634" s="2"/>
      <c r="J634" s="6"/>
    </row>
    <row r="635" spans="1:10">
      <c r="A635" s="52"/>
      <c r="B635" s="52"/>
      <c r="C635" s="53"/>
      <c r="D635" s="53"/>
      <c r="E635" s="52"/>
      <c r="F635" s="60"/>
      <c r="G635" s="52"/>
    </row>
    <row r="636" spans="1:10">
      <c r="A636" s="2"/>
      <c r="B636" s="2"/>
      <c r="C636" s="2"/>
      <c r="D636" s="2"/>
    </row>
    <row r="637" spans="1:10">
      <c r="A637" s="2"/>
      <c r="B637" s="2"/>
      <c r="C637" s="4"/>
      <c r="D637" s="5"/>
      <c r="E637" s="4"/>
      <c r="F637" s="5"/>
      <c r="G637" s="2"/>
      <c r="I637" s="4"/>
      <c r="J637" s="6"/>
    </row>
    <row r="638" spans="1:10">
      <c r="A638" s="2"/>
      <c r="B638" s="2"/>
      <c r="F638" s="4"/>
      <c r="G638" s="4"/>
      <c r="H638" s="4"/>
      <c r="I638" s="4"/>
      <c r="J638" s="4"/>
    </row>
    <row r="639" spans="1:10">
      <c r="B639" s="7"/>
    </row>
    <row r="640" spans="1:10">
      <c r="F640" s="8"/>
      <c r="G640" s="9"/>
      <c r="H640" s="10"/>
      <c r="I640" s="12"/>
      <c r="J640" s="12"/>
    </row>
    <row r="641" spans="1:10">
      <c r="F641" s="8"/>
      <c r="G641" s="9"/>
      <c r="H641" s="10"/>
      <c r="J641" s="12"/>
    </row>
    <row r="642" spans="1:10">
      <c r="F642" s="8"/>
      <c r="G642" s="9"/>
      <c r="H642" s="10"/>
      <c r="J642" s="6"/>
    </row>
    <row r="643" spans="1:10">
      <c r="B643" s="7"/>
      <c r="F643" s="8"/>
      <c r="G643" s="9"/>
      <c r="H643" s="10"/>
      <c r="I643" s="10"/>
      <c r="J643" s="12"/>
    </row>
    <row r="644" spans="1:10">
      <c r="F644" s="8"/>
      <c r="G644" s="9"/>
      <c r="H644" s="10"/>
      <c r="J644" s="12"/>
    </row>
    <row r="645" spans="1:10">
      <c r="J645" s="6"/>
    </row>
    <row r="646" spans="1:10">
      <c r="B646" s="7"/>
    </row>
    <row r="647" spans="1:10">
      <c r="F647" s="8"/>
      <c r="H647" s="10"/>
      <c r="I647" s="12"/>
      <c r="J647" s="12"/>
    </row>
    <row r="648" spans="1:10">
      <c r="F648" s="8"/>
      <c r="G648" s="9"/>
      <c r="H648" s="10"/>
      <c r="J648" s="12"/>
    </row>
    <row r="649" spans="1:10">
      <c r="I649" s="2"/>
      <c r="J649" s="6"/>
    </row>
    <row r="650" spans="1:10">
      <c r="A650" s="75"/>
      <c r="B650" s="1"/>
      <c r="C650" s="1"/>
      <c r="D650" s="1"/>
      <c r="E650" s="1"/>
      <c r="F650" s="72"/>
      <c r="G650" s="1"/>
      <c r="H650" s="73"/>
      <c r="I650" s="74"/>
      <c r="J650" s="74"/>
    </row>
    <row r="651" spans="1:10">
      <c r="A651" s="76"/>
      <c r="B651" s="76"/>
      <c r="C651" s="76"/>
      <c r="D651" s="76"/>
      <c r="E651" s="77"/>
      <c r="F651" s="77"/>
      <c r="G651" s="77"/>
      <c r="H651" s="77"/>
      <c r="I651" s="77"/>
      <c r="J651" s="77"/>
    </row>
    <row r="652" spans="1:10">
      <c r="A652" s="76"/>
      <c r="B652" s="76"/>
      <c r="C652" s="78"/>
      <c r="D652" s="79"/>
      <c r="E652" s="78"/>
      <c r="F652" s="79"/>
      <c r="G652" s="76"/>
      <c r="H652" s="77"/>
      <c r="I652" s="78"/>
      <c r="J652" s="80"/>
    </row>
    <row r="653" spans="1:10">
      <c r="A653" s="76"/>
      <c r="B653" s="76"/>
      <c r="C653" s="77"/>
      <c r="D653" s="77"/>
      <c r="E653" s="77"/>
      <c r="F653" s="78"/>
      <c r="G653" s="78"/>
      <c r="H653" s="78"/>
      <c r="I653" s="78"/>
      <c r="J653" s="78"/>
    </row>
    <row r="654" spans="1:10">
      <c r="A654" s="77"/>
      <c r="B654" s="7"/>
      <c r="C654" s="77"/>
      <c r="D654" s="77"/>
      <c r="E654" s="77"/>
      <c r="F654" s="77"/>
      <c r="G654" s="77"/>
      <c r="H654" s="77"/>
      <c r="I654" s="77"/>
      <c r="J654" s="77"/>
    </row>
    <row r="655" spans="1:10">
      <c r="A655" s="77"/>
      <c r="B655" s="77"/>
      <c r="C655" s="77"/>
      <c r="D655" s="77"/>
      <c r="E655" s="77"/>
      <c r="F655" s="81"/>
      <c r="G655" s="82"/>
      <c r="H655" s="83"/>
      <c r="I655" s="84"/>
      <c r="J655" s="84"/>
    </row>
    <row r="656" spans="1:10">
      <c r="A656" s="77"/>
      <c r="B656" s="77"/>
      <c r="C656" s="77"/>
      <c r="D656" s="77"/>
      <c r="E656" s="77"/>
      <c r="F656" s="81"/>
      <c r="G656" s="82"/>
      <c r="H656" s="83"/>
      <c r="I656" s="77"/>
      <c r="J656" s="84"/>
    </row>
    <row r="657" spans="1:10">
      <c r="A657" s="77"/>
      <c r="B657" s="77"/>
      <c r="C657" s="77"/>
      <c r="D657" s="77"/>
      <c r="E657" s="77"/>
      <c r="F657" s="81"/>
      <c r="G657" s="82"/>
      <c r="H657" s="83"/>
      <c r="I657" s="77"/>
      <c r="J657" s="80"/>
    </row>
    <row r="658" spans="1:10">
      <c r="A658" s="77"/>
      <c r="B658" s="7"/>
      <c r="C658" s="77"/>
      <c r="D658" s="77"/>
      <c r="E658" s="77"/>
      <c r="F658" s="81"/>
      <c r="G658" s="82"/>
      <c r="H658" s="83"/>
      <c r="I658" s="83"/>
      <c r="J658" s="84"/>
    </row>
    <row r="659" spans="1:10">
      <c r="A659" s="77"/>
      <c r="B659" s="77"/>
      <c r="C659" s="77"/>
      <c r="D659" s="77"/>
      <c r="E659" s="77"/>
      <c r="F659" s="81"/>
      <c r="G659" s="77"/>
      <c r="H659" s="83"/>
      <c r="I659" s="84"/>
      <c r="J659" s="84"/>
    </row>
    <row r="660" spans="1:10">
      <c r="A660" s="77"/>
      <c r="B660" s="77"/>
      <c r="C660" s="77"/>
      <c r="D660" s="77"/>
      <c r="E660" s="77"/>
      <c r="F660" s="77"/>
      <c r="G660" s="77"/>
      <c r="H660" s="77"/>
      <c r="I660" s="77"/>
      <c r="J660" s="80"/>
    </row>
    <row r="661" spans="1:10">
      <c r="A661" s="77"/>
      <c r="B661" s="7"/>
      <c r="C661" s="77"/>
      <c r="D661" s="77"/>
      <c r="E661" s="77"/>
      <c r="F661" s="77"/>
      <c r="G661" s="77"/>
      <c r="H661" s="77"/>
      <c r="I661" s="77"/>
      <c r="J661" s="77"/>
    </row>
    <row r="662" spans="1:10">
      <c r="A662" s="77"/>
      <c r="B662" s="77"/>
      <c r="C662" s="77"/>
      <c r="D662" s="77"/>
      <c r="E662" s="77"/>
      <c r="F662" s="81"/>
      <c r="G662" s="77"/>
      <c r="H662" s="83"/>
      <c r="I662" s="84"/>
      <c r="J662" s="84"/>
    </row>
    <row r="663" spans="1:10">
      <c r="A663" s="77"/>
      <c r="B663" s="77"/>
      <c r="C663" s="77"/>
      <c r="D663" s="77"/>
      <c r="E663" s="77"/>
      <c r="F663" s="81"/>
      <c r="G663" s="82"/>
      <c r="H663" s="83"/>
      <c r="I663" s="77"/>
      <c r="J663" s="84"/>
    </row>
    <row r="664" spans="1:10">
      <c r="A664" s="77"/>
      <c r="B664" s="77"/>
      <c r="C664" s="77"/>
      <c r="D664" s="77"/>
      <c r="E664" s="77"/>
      <c r="F664" s="77"/>
      <c r="G664" s="77"/>
      <c r="H664" s="77"/>
      <c r="I664" s="76"/>
      <c r="J664" s="80"/>
    </row>
    <row r="666" spans="1:10">
      <c r="A666" s="2"/>
      <c r="B666" s="2"/>
      <c r="C666" s="2"/>
      <c r="D666" s="2"/>
    </row>
    <row r="667" spans="1:10">
      <c r="A667" s="2"/>
      <c r="B667" s="2"/>
      <c r="C667" s="4"/>
      <c r="D667" s="5"/>
      <c r="E667" s="4"/>
      <c r="F667" s="5"/>
      <c r="G667" s="2"/>
      <c r="I667" s="4"/>
      <c r="J667" s="6"/>
    </row>
    <row r="668" spans="1:10">
      <c r="A668" s="2"/>
      <c r="B668" s="2"/>
      <c r="F668" s="4"/>
      <c r="G668" s="4"/>
      <c r="H668" s="4"/>
      <c r="I668" s="4"/>
      <c r="J668" s="4"/>
    </row>
    <row r="669" spans="1:10">
      <c r="B669" s="7"/>
    </row>
    <row r="670" spans="1:10">
      <c r="F670" s="8"/>
      <c r="G670" s="9"/>
      <c r="H670" s="10"/>
      <c r="I670" s="12"/>
      <c r="J670" s="12"/>
    </row>
    <row r="671" spans="1:10">
      <c r="F671" s="8"/>
      <c r="G671" s="9"/>
      <c r="H671" s="10"/>
      <c r="J671" s="12"/>
    </row>
    <row r="672" spans="1:10">
      <c r="F672" s="8"/>
      <c r="G672" s="9"/>
      <c r="H672" s="10"/>
      <c r="J672" s="6"/>
    </row>
    <row r="673" spans="1:10">
      <c r="B673" s="7"/>
      <c r="F673" s="8"/>
      <c r="G673" s="9"/>
      <c r="H673" s="10"/>
      <c r="I673" s="10"/>
      <c r="J673" s="12"/>
    </row>
    <row r="674" spans="1:10">
      <c r="F674" s="8"/>
      <c r="H674" s="10"/>
      <c r="I674" s="12"/>
      <c r="J674" s="12"/>
    </row>
    <row r="675" spans="1:10">
      <c r="J675" s="6"/>
    </row>
    <row r="676" spans="1:10">
      <c r="B676" s="7"/>
    </row>
    <row r="677" spans="1:10">
      <c r="F677" s="8"/>
      <c r="H677" s="10"/>
      <c r="I677" s="12"/>
      <c r="J677" s="12"/>
    </row>
    <row r="678" spans="1:10">
      <c r="F678" s="8"/>
      <c r="G678" s="9"/>
      <c r="H678" s="10"/>
      <c r="J678" s="12"/>
    </row>
    <row r="679" spans="1:10">
      <c r="I679" s="2"/>
      <c r="J679" s="6"/>
    </row>
    <row r="681" spans="1:10">
      <c r="A681" s="2"/>
      <c r="B681" s="2"/>
      <c r="C681" s="2"/>
      <c r="D681" s="2"/>
    </row>
    <row r="682" spans="1:10">
      <c r="A682" s="2"/>
      <c r="B682" s="2"/>
      <c r="C682" s="4"/>
      <c r="D682" s="5"/>
      <c r="E682" s="4"/>
      <c r="F682" s="5"/>
      <c r="G682" s="2"/>
      <c r="I682" s="4"/>
      <c r="J682" s="6"/>
    </row>
    <row r="683" spans="1:10">
      <c r="A683" s="2"/>
      <c r="B683" s="2"/>
      <c r="F683" s="4"/>
      <c r="G683" s="4"/>
      <c r="H683" s="4"/>
      <c r="I683" s="4"/>
      <c r="J683" s="4"/>
    </row>
    <row r="684" spans="1:10">
      <c r="B684" s="7"/>
    </row>
    <row r="685" spans="1:10">
      <c r="F685" s="8"/>
      <c r="G685" s="9"/>
      <c r="H685" s="10"/>
      <c r="I685" s="12"/>
      <c r="J685" s="12"/>
    </row>
    <row r="686" spans="1:10">
      <c r="F686" s="8"/>
      <c r="G686" s="9"/>
      <c r="H686" s="10"/>
      <c r="J686" s="12"/>
    </row>
    <row r="687" spans="1:10">
      <c r="F687" s="8"/>
      <c r="G687" s="9"/>
      <c r="H687" s="10"/>
      <c r="J687" s="6"/>
    </row>
    <row r="688" spans="1:10">
      <c r="B688" s="7"/>
      <c r="F688" s="8"/>
      <c r="G688" s="9"/>
      <c r="H688" s="10"/>
      <c r="I688" s="10"/>
      <c r="J688" s="12"/>
    </row>
    <row r="689" spans="1:10">
      <c r="F689" s="8"/>
      <c r="H689" s="10"/>
      <c r="I689" s="12"/>
      <c r="J689" s="12"/>
    </row>
    <row r="690" spans="1:10">
      <c r="J690" s="6"/>
    </row>
    <row r="691" spans="1:10">
      <c r="B691" s="7"/>
    </row>
    <row r="692" spans="1:10">
      <c r="F692" s="8"/>
      <c r="H692" s="10"/>
      <c r="I692" s="12"/>
      <c r="J692" s="12"/>
    </row>
    <row r="693" spans="1:10">
      <c r="F693" s="8"/>
      <c r="G693" s="9"/>
      <c r="H693" s="10"/>
      <c r="J693" s="12"/>
    </row>
    <row r="694" spans="1:10">
      <c r="I694" s="2"/>
      <c r="J694" s="6"/>
    </row>
    <row r="696" spans="1:10">
      <c r="A696" s="2"/>
      <c r="B696" s="2"/>
      <c r="C696" s="2"/>
      <c r="D696" s="2"/>
    </row>
    <row r="697" spans="1:10">
      <c r="A697" s="2"/>
      <c r="B697" s="2"/>
      <c r="C697" s="4"/>
      <c r="D697" s="5"/>
      <c r="E697" s="4"/>
      <c r="F697" s="5"/>
      <c r="G697" s="2"/>
      <c r="I697" s="4"/>
      <c r="J697" s="6"/>
    </row>
    <row r="698" spans="1:10">
      <c r="A698" s="2"/>
      <c r="B698" s="2"/>
      <c r="F698" s="4"/>
      <c r="G698" s="4"/>
      <c r="H698" s="4"/>
      <c r="I698" s="4"/>
      <c r="J698" s="4"/>
    </row>
    <row r="699" spans="1:10">
      <c r="B699" s="7"/>
    </row>
    <row r="700" spans="1:10">
      <c r="F700" s="8"/>
      <c r="G700" s="9"/>
      <c r="H700" s="10"/>
      <c r="I700" s="12"/>
      <c r="J700" s="12"/>
    </row>
    <row r="701" spans="1:10">
      <c r="F701" s="8"/>
      <c r="G701" s="9"/>
      <c r="H701" s="10"/>
      <c r="J701" s="12"/>
    </row>
    <row r="702" spans="1:10">
      <c r="F702" s="8"/>
      <c r="G702" s="9"/>
      <c r="H702" s="10"/>
      <c r="J702" s="6"/>
    </row>
    <row r="703" spans="1:10">
      <c r="B703" s="7"/>
      <c r="F703" s="8"/>
      <c r="G703" s="9"/>
      <c r="H703" s="10"/>
      <c r="I703" s="10"/>
      <c r="J703" s="12"/>
    </row>
    <row r="704" spans="1:10">
      <c r="F704" s="8"/>
      <c r="H704" s="10"/>
      <c r="I704" s="12"/>
      <c r="J704" s="12"/>
    </row>
    <row r="705" spans="1:10">
      <c r="J705" s="6"/>
    </row>
    <row r="706" spans="1:10">
      <c r="B706" s="7"/>
    </row>
    <row r="707" spans="1:10">
      <c r="F707" s="8"/>
      <c r="H707" s="10"/>
      <c r="I707" s="12"/>
      <c r="J707" s="12"/>
    </row>
    <row r="708" spans="1:10">
      <c r="I708" s="2"/>
      <c r="J708" s="6"/>
    </row>
    <row r="710" spans="1:10">
      <c r="A710" s="2"/>
      <c r="B710" s="2"/>
      <c r="C710" s="2"/>
      <c r="D710" s="2"/>
    </row>
    <row r="711" spans="1:10">
      <c r="A711" s="2"/>
      <c r="B711" s="2"/>
      <c r="C711" s="4"/>
      <c r="D711" s="5"/>
      <c r="E711" s="4"/>
      <c r="F711" s="5"/>
      <c r="G711" s="2"/>
      <c r="I711" s="4"/>
      <c r="J711" s="6"/>
    </row>
    <row r="712" spans="1:10">
      <c r="A712" s="2"/>
      <c r="B712" s="2"/>
      <c r="F712" s="4"/>
      <c r="G712" s="4"/>
      <c r="H712" s="4"/>
      <c r="I712" s="4"/>
      <c r="J712" s="4"/>
    </row>
    <row r="713" spans="1:10">
      <c r="B713" s="7"/>
    </row>
    <row r="714" spans="1:10">
      <c r="F714" s="8"/>
      <c r="G714" s="9"/>
      <c r="H714" s="10"/>
      <c r="I714" s="12"/>
      <c r="J714" s="12"/>
    </row>
    <row r="715" spans="1:10">
      <c r="F715" s="8"/>
      <c r="G715" s="9"/>
      <c r="H715" s="10"/>
      <c r="J715" s="12"/>
    </row>
    <row r="716" spans="1:10">
      <c r="F716" s="8"/>
      <c r="G716" s="9"/>
      <c r="H716" s="10"/>
      <c r="J716" s="6"/>
    </row>
    <row r="717" spans="1:10">
      <c r="B717" s="7"/>
      <c r="F717" s="8"/>
      <c r="G717" s="9"/>
      <c r="H717" s="10"/>
      <c r="I717" s="10"/>
      <c r="J717" s="12"/>
    </row>
    <row r="718" spans="1:10">
      <c r="F718" s="8"/>
      <c r="H718" s="10"/>
      <c r="I718" s="12"/>
      <c r="J718" s="12"/>
    </row>
    <row r="719" spans="1:10">
      <c r="J719" s="6"/>
    </row>
    <row r="720" spans="1:10">
      <c r="B720" s="7"/>
    </row>
    <row r="721" spans="1:10">
      <c r="F721" s="8"/>
      <c r="H721" s="10"/>
      <c r="I721" s="12"/>
      <c r="J721" s="12"/>
    </row>
    <row r="722" spans="1:10">
      <c r="I722" s="2"/>
      <c r="J722" s="6"/>
    </row>
    <row r="724" spans="1:10">
      <c r="A724" s="2"/>
      <c r="B724" s="2"/>
      <c r="C724" s="2"/>
      <c r="D724" s="2"/>
    </row>
    <row r="725" spans="1:10">
      <c r="A725" s="2"/>
      <c r="B725" s="2"/>
      <c r="C725" s="4"/>
      <c r="D725" s="5"/>
      <c r="E725" s="4"/>
      <c r="F725" s="5"/>
      <c r="G725" s="2"/>
      <c r="I725" s="4"/>
      <c r="J725" s="6"/>
    </row>
    <row r="726" spans="1:10">
      <c r="A726" s="2"/>
      <c r="B726" s="2"/>
      <c r="F726" s="4"/>
      <c r="G726" s="4"/>
      <c r="H726" s="4"/>
      <c r="I726" s="4"/>
      <c r="J726" s="4"/>
    </row>
    <row r="727" spans="1:10">
      <c r="B727" s="7"/>
    </row>
    <row r="728" spans="1:10">
      <c r="F728" s="8"/>
      <c r="G728" s="9"/>
      <c r="H728" s="10"/>
      <c r="I728" s="12"/>
      <c r="J728" s="12"/>
    </row>
    <row r="729" spans="1:10">
      <c r="F729" s="8"/>
      <c r="G729" s="9"/>
      <c r="H729" s="10"/>
      <c r="J729" s="12"/>
    </row>
    <row r="730" spans="1:10">
      <c r="F730" s="8"/>
      <c r="G730" s="9"/>
      <c r="H730" s="10"/>
      <c r="J730" s="6"/>
    </row>
    <row r="731" spans="1:10">
      <c r="B731" s="7"/>
      <c r="F731" s="8"/>
      <c r="G731" s="9"/>
      <c r="H731" s="10"/>
      <c r="I731" s="10"/>
      <c r="J731" s="12"/>
    </row>
    <row r="732" spans="1:10">
      <c r="F732" s="8"/>
      <c r="H732" s="10"/>
      <c r="I732" s="12"/>
      <c r="J732" s="12"/>
    </row>
    <row r="733" spans="1:10">
      <c r="F733" s="8"/>
      <c r="H733" s="10"/>
      <c r="I733" s="12"/>
      <c r="J733" s="12"/>
    </row>
    <row r="734" spans="1:10">
      <c r="F734" s="8"/>
      <c r="H734" s="10"/>
      <c r="I734" s="12"/>
      <c r="J734" s="12"/>
    </row>
    <row r="735" spans="1:10">
      <c r="F735" s="8"/>
      <c r="H735" s="10"/>
      <c r="I735" s="12"/>
      <c r="J735" s="12"/>
    </row>
    <row r="736" spans="1:10">
      <c r="J736" s="6"/>
    </row>
    <row r="737" spans="1:10">
      <c r="B737" s="7"/>
    </row>
    <row r="738" spans="1:10">
      <c r="F738" s="8"/>
      <c r="H738" s="10"/>
      <c r="I738" s="12"/>
      <c r="J738" s="12"/>
    </row>
    <row r="739" spans="1:10">
      <c r="I739" s="2"/>
      <c r="J739" s="6"/>
    </row>
    <row r="741" spans="1:10">
      <c r="A741" s="2"/>
      <c r="B741" s="2"/>
      <c r="C741" s="2"/>
      <c r="D741" s="2"/>
    </row>
    <row r="742" spans="1:10">
      <c r="A742" s="2"/>
      <c r="B742" s="2"/>
      <c r="C742" s="4"/>
      <c r="D742" s="5"/>
      <c r="E742" s="4"/>
      <c r="F742" s="5"/>
      <c r="G742" s="2"/>
      <c r="I742" s="4"/>
      <c r="J742" s="6"/>
    </row>
    <row r="743" spans="1:10">
      <c r="A743" s="2"/>
      <c r="B743" s="2"/>
      <c r="F743" s="4"/>
      <c r="G743" s="4"/>
      <c r="H743" s="4"/>
      <c r="I743" s="4"/>
      <c r="J743" s="4"/>
    </row>
    <row r="744" spans="1:10">
      <c r="B744" s="7"/>
    </row>
    <row r="745" spans="1:10">
      <c r="F745" s="8"/>
      <c r="G745" s="9"/>
      <c r="H745" s="10"/>
      <c r="I745" s="12"/>
      <c r="J745" s="12"/>
    </row>
    <row r="746" spans="1:10">
      <c r="F746" s="8"/>
      <c r="G746" s="9"/>
      <c r="H746" s="10"/>
      <c r="J746" s="12"/>
    </row>
    <row r="747" spans="1:10">
      <c r="F747" s="8"/>
      <c r="G747" s="9"/>
      <c r="H747" s="10"/>
      <c r="J747" s="6"/>
    </row>
    <row r="748" spans="1:10">
      <c r="B748" s="7"/>
      <c r="F748" s="8"/>
      <c r="G748" s="9"/>
      <c r="H748" s="10"/>
      <c r="I748" s="10"/>
      <c r="J748" s="12"/>
    </row>
    <row r="749" spans="1:10">
      <c r="F749" s="8"/>
      <c r="H749" s="10"/>
      <c r="I749" s="12"/>
      <c r="J749" s="12"/>
    </row>
    <row r="750" spans="1:10">
      <c r="J750" s="6"/>
    </row>
    <row r="751" spans="1:10">
      <c r="B751" s="7"/>
    </row>
    <row r="752" spans="1:10">
      <c r="F752" s="8"/>
      <c r="H752" s="10"/>
      <c r="I752" s="12"/>
      <c r="J752" s="12"/>
    </row>
    <row r="753" spans="1:10">
      <c r="I753" s="2"/>
      <c r="J753" s="6"/>
    </row>
    <row r="755" spans="1:10">
      <c r="A755" s="2"/>
      <c r="B755" s="2"/>
      <c r="C755" s="2"/>
      <c r="D755" s="2"/>
    </row>
    <row r="756" spans="1:10">
      <c r="A756" s="2"/>
      <c r="B756" s="2"/>
      <c r="C756" s="4"/>
      <c r="D756" s="5"/>
      <c r="E756" s="4"/>
      <c r="F756" s="5"/>
      <c r="G756" s="2"/>
      <c r="I756" s="4"/>
      <c r="J756" s="6"/>
    </row>
    <row r="757" spans="1:10">
      <c r="A757" s="2"/>
      <c r="B757" s="2"/>
      <c r="F757" s="4"/>
      <c r="G757" s="4"/>
      <c r="H757" s="4"/>
      <c r="I757" s="4"/>
      <c r="J757" s="4"/>
    </row>
    <row r="758" spans="1:10">
      <c r="B758" s="7"/>
    </row>
    <row r="759" spans="1:10">
      <c r="F759" s="8"/>
      <c r="G759" s="9"/>
      <c r="H759" s="10"/>
      <c r="I759" s="12"/>
      <c r="J759" s="12"/>
    </row>
    <row r="760" spans="1:10">
      <c r="F760" s="8"/>
      <c r="G760" s="9"/>
      <c r="H760" s="10"/>
      <c r="J760" s="12"/>
    </row>
    <row r="761" spans="1:10">
      <c r="F761" s="8"/>
      <c r="G761" s="9"/>
      <c r="H761" s="10"/>
      <c r="J761" s="6"/>
    </row>
    <row r="762" spans="1:10">
      <c r="B762" s="7"/>
      <c r="F762" s="8"/>
      <c r="G762" s="9"/>
      <c r="H762" s="10"/>
      <c r="I762" s="10"/>
      <c r="J762" s="12"/>
    </row>
    <row r="763" spans="1:10">
      <c r="F763" s="8"/>
      <c r="H763" s="10"/>
      <c r="I763" s="12"/>
      <c r="J763" s="12"/>
    </row>
    <row r="764" spans="1:10">
      <c r="F764" s="8"/>
      <c r="H764" s="10"/>
      <c r="I764" s="12"/>
      <c r="J764" s="12"/>
    </row>
    <row r="765" spans="1:10">
      <c r="F765" s="8"/>
      <c r="H765" s="10"/>
      <c r="I765" s="12"/>
      <c r="J765" s="12"/>
    </row>
    <row r="766" spans="1:10">
      <c r="F766" s="8"/>
      <c r="H766" s="10"/>
      <c r="I766" s="12"/>
      <c r="J766" s="12"/>
    </row>
    <row r="767" spans="1:10">
      <c r="J767" s="6"/>
    </row>
    <row r="768" spans="1:10">
      <c r="B768" s="7"/>
    </row>
    <row r="769" spans="1:10">
      <c r="F769" s="8"/>
      <c r="H769" s="10"/>
      <c r="I769" s="12"/>
      <c r="J769" s="12"/>
    </row>
    <row r="770" spans="1:10">
      <c r="F770" s="8"/>
      <c r="G770" s="9"/>
      <c r="H770" s="10"/>
      <c r="J770" s="12"/>
    </row>
    <row r="771" spans="1:10">
      <c r="I771" s="2"/>
      <c r="J771" s="6"/>
    </row>
    <row r="773" spans="1:10">
      <c r="A773" s="2"/>
      <c r="B773" s="2"/>
      <c r="C773" s="2"/>
      <c r="D773" s="2"/>
    </row>
    <row r="774" spans="1:10">
      <c r="A774" s="2"/>
      <c r="B774" s="2"/>
      <c r="C774" s="4"/>
      <c r="D774" s="5"/>
      <c r="E774" s="4"/>
      <c r="F774" s="5"/>
      <c r="G774" s="2"/>
      <c r="I774" s="4"/>
      <c r="J774" s="6"/>
    </row>
    <row r="775" spans="1:10">
      <c r="A775" s="2"/>
      <c r="B775" s="2"/>
      <c r="F775" s="4"/>
      <c r="G775" s="4"/>
      <c r="H775" s="4"/>
      <c r="I775" s="4"/>
      <c r="J775" s="4"/>
    </row>
    <row r="776" spans="1:10">
      <c r="B776" s="7"/>
    </row>
    <row r="777" spans="1:10">
      <c r="F777" s="8"/>
      <c r="G777" s="9"/>
      <c r="H777" s="10"/>
      <c r="I777" s="12"/>
      <c r="J777" s="12"/>
    </row>
    <row r="778" spans="1:10">
      <c r="F778" s="8"/>
      <c r="G778" s="9"/>
      <c r="H778" s="10"/>
      <c r="J778" s="12"/>
    </row>
    <row r="779" spans="1:10">
      <c r="F779" s="8"/>
      <c r="G779" s="9"/>
      <c r="H779" s="10"/>
      <c r="J779" s="6"/>
    </row>
    <row r="780" spans="1:10">
      <c r="B780" s="7"/>
      <c r="F780" s="8"/>
      <c r="G780" s="9"/>
      <c r="H780" s="10"/>
      <c r="I780" s="10"/>
      <c r="J780" s="12"/>
    </row>
    <row r="781" spans="1:10">
      <c r="F781" s="8"/>
      <c r="H781" s="10"/>
      <c r="I781" s="12"/>
      <c r="J781" s="12"/>
    </row>
    <row r="782" spans="1:10">
      <c r="J782" s="6"/>
    </row>
    <row r="783" spans="1:10">
      <c r="B783" s="7"/>
    </row>
    <row r="784" spans="1:10">
      <c r="F784" s="8"/>
      <c r="H784" s="10"/>
      <c r="I784" s="12"/>
      <c r="J784" s="12"/>
    </row>
    <row r="785" spans="1:10">
      <c r="F785" s="8"/>
      <c r="G785" s="9"/>
      <c r="H785" s="10"/>
      <c r="J785" s="12"/>
    </row>
    <row r="786" spans="1:10">
      <c r="I786" s="2"/>
      <c r="J786" s="6"/>
    </row>
    <row r="788" spans="1:10">
      <c r="A788" s="2"/>
      <c r="B788" s="2"/>
      <c r="C788" s="2"/>
      <c r="D788" s="2"/>
    </row>
    <row r="789" spans="1:10">
      <c r="A789" s="2"/>
      <c r="B789" s="2"/>
      <c r="C789" s="4"/>
      <c r="D789" s="5"/>
      <c r="E789" s="4"/>
      <c r="F789" s="5"/>
      <c r="G789" s="2"/>
      <c r="I789" s="4"/>
      <c r="J789" s="6"/>
    </row>
    <row r="790" spans="1:10">
      <c r="A790" s="2"/>
      <c r="B790" s="2"/>
      <c r="F790" s="4"/>
      <c r="G790" s="4"/>
      <c r="H790" s="4"/>
      <c r="I790" s="4"/>
      <c r="J790" s="4"/>
    </row>
    <row r="791" spans="1:10">
      <c r="B791" s="7"/>
    </row>
    <row r="792" spans="1:10">
      <c r="F792" s="8"/>
      <c r="G792" s="9"/>
      <c r="H792" s="10"/>
      <c r="I792" s="12"/>
      <c r="J792" s="12"/>
    </row>
    <row r="793" spans="1:10">
      <c r="F793" s="8"/>
      <c r="G793" s="9"/>
      <c r="H793" s="10"/>
      <c r="J793" s="12"/>
    </row>
    <row r="794" spans="1:10">
      <c r="F794" s="8"/>
      <c r="G794" s="9"/>
      <c r="H794" s="10"/>
      <c r="J794" s="6"/>
    </row>
    <row r="795" spans="1:10">
      <c r="B795" s="7"/>
      <c r="F795" s="8"/>
      <c r="G795" s="9"/>
      <c r="H795" s="10"/>
      <c r="I795" s="10"/>
      <c r="J795" s="12"/>
    </row>
    <row r="796" spans="1:10">
      <c r="F796" s="8"/>
      <c r="H796" s="10"/>
      <c r="I796" s="12"/>
      <c r="J796" s="12"/>
    </row>
    <row r="797" spans="1:10">
      <c r="J797" s="6"/>
    </row>
    <row r="798" spans="1:10">
      <c r="B798" s="7"/>
    </row>
    <row r="799" spans="1:10">
      <c r="F799" s="8"/>
      <c r="H799" s="10"/>
      <c r="I799" s="12"/>
      <c r="J799" s="12"/>
    </row>
    <row r="800" spans="1:10">
      <c r="I800" s="2"/>
      <c r="J800" s="6"/>
    </row>
    <row r="802" spans="1:10">
      <c r="A802" s="2"/>
      <c r="B802" s="2"/>
      <c r="C802" s="2"/>
      <c r="D802" s="2"/>
    </row>
    <row r="803" spans="1:10">
      <c r="A803" s="2"/>
      <c r="B803" s="2"/>
      <c r="C803" s="4"/>
      <c r="D803" s="5"/>
      <c r="E803" s="4"/>
      <c r="F803" s="5"/>
      <c r="G803" s="2"/>
      <c r="I803" s="4"/>
      <c r="J803" s="6"/>
    </row>
    <row r="804" spans="1:10">
      <c r="A804" s="2"/>
      <c r="B804" s="2"/>
      <c r="F804" s="4"/>
      <c r="G804" s="4"/>
      <c r="H804" s="4"/>
      <c r="I804" s="4"/>
      <c r="J804" s="4"/>
    </row>
    <row r="805" spans="1:10">
      <c r="B805" s="7"/>
    </row>
    <row r="806" spans="1:10">
      <c r="F806" s="8"/>
      <c r="G806" s="9"/>
      <c r="H806" s="10"/>
      <c r="I806" s="12"/>
      <c r="J806" s="12"/>
    </row>
    <row r="807" spans="1:10">
      <c r="F807" s="8"/>
      <c r="G807" s="9"/>
      <c r="H807" s="10"/>
      <c r="J807" s="12"/>
    </row>
    <row r="808" spans="1:10">
      <c r="F808" s="8"/>
      <c r="G808" s="9"/>
      <c r="H808" s="10"/>
      <c r="J808" s="6"/>
    </row>
    <row r="809" spans="1:10">
      <c r="B809" s="7"/>
      <c r="F809" s="8"/>
      <c r="G809" s="9"/>
      <c r="H809" s="10"/>
      <c r="I809" s="10"/>
      <c r="J809" s="12"/>
    </row>
    <row r="810" spans="1:10">
      <c r="F810" s="8"/>
      <c r="H810" s="10"/>
      <c r="I810" s="12"/>
      <c r="J810" s="12"/>
    </row>
    <row r="811" spans="1:10">
      <c r="J811" s="6"/>
    </row>
    <row r="812" spans="1:10">
      <c r="B812" s="7"/>
    </row>
    <row r="813" spans="1:10">
      <c r="F813" s="8"/>
      <c r="H813" s="10"/>
      <c r="I813" s="12"/>
      <c r="J813" s="12"/>
    </row>
    <row r="814" spans="1:10">
      <c r="F814" s="8"/>
      <c r="G814" s="9"/>
      <c r="H814" s="10"/>
      <c r="J814" s="12"/>
    </row>
    <row r="815" spans="1:10">
      <c r="I815" s="2"/>
      <c r="J815" s="6"/>
    </row>
    <row r="817" spans="1:12">
      <c r="A817" s="2"/>
      <c r="B817" s="2"/>
      <c r="C817" s="2"/>
      <c r="D817" s="2"/>
    </row>
    <row r="818" spans="1:12">
      <c r="A818" s="2"/>
      <c r="B818" s="2"/>
      <c r="C818" s="4"/>
      <c r="D818" s="5"/>
      <c r="E818" s="4"/>
      <c r="F818" s="5"/>
      <c r="G818" s="2"/>
      <c r="I818" s="4"/>
      <c r="J818" s="6"/>
    </row>
    <row r="819" spans="1:12">
      <c r="A819" s="2"/>
      <c r="B819" s="2"/>
      <c r="F819" s="4"/>
      <c r="G819" s="4"/>
      <c r="H819" s="4"/>
      <c r="I819" s="4"/>
      <c r="J819" s="4"/>
    </row>
    <row r="820" spans="1:12">
      <c r="B820" s="7"/>
    </row>
    <row r="821" spans="1:12">
      <c r="F821" s="8"/>
      <c r="G821" s="9"/>
      <c r="H821" s="10"/>
      <c r="J821" s="12"/>
    </row>
    <row r="822" spans="1:12">
      <c r="F822" s="8"/>
      <c r="G822" s="9"/>
      <c r="H822" s="10"/>
      <c r="J822" s="6"/>
    </row>
    <row r="823" spans="1:12">
      <c r="B823" s="7"/>
      <c r="F823" s="8"/>
      <c r="G823" s="9"/>
      <c r="H823" s="10"/>
      <c r="I823" s="10"/>
      <c r="J823" s="12"/>
    </row>
    <row r="824" spans="1:12">
      <c r="F824" s="8"/>
      <c r="H824" s="10"/>
      <c r="I824" s="12"/>
      <c r="J824" s="12"/>
    </row>
    <row r="825" spans="1:12">
      <c r="J825" s="6"/>
    </row>
    <row r="826" spans="1:12">
      <c r="B826" s="7"/>
    </row>
    <row r="827" spans="1:12">
      <c r="F827" s="8"/>
      <c r="H827" s="10"/>
      <c r="I827" s="12"/>
      <c r="J827" s="12"/>
    </row>
    <row r="828" spans="1:12">
      <c r="I828" s="2"/>
      <c r="J828" s="6"/>
    </row>
    <row r="830" spans="1:12">
      <c r="A830" s="2"/>
      <c r="B830" s="2"/>
      <c r="C830" s="2"/>
      <c r="D830" s="2"/>
    </row>
    <row r="831" spans="1:12">
      <c r="A831" s="2"/>
      <c r="B831" s="2"/>
      <c r="C831" s="4"/>
      <c r="D831" s="5"/>
      <c r="E831" s="4"/>
      <c r="F831" s="5"/>
      <c r="G831" s="2"/>
      <c r="I831" s="4"/>
      <c r="J831" s="6"/>
    </row>
    <row r="832" spans="1:12">
      <c r="A832" s="2"/>
      <c r="B832" s="2"/>
      <c r="F832" s="4"/>
      <c r="G832" s="4"/>
      <c r="H832" s="4"/>
      <c r="I832" s="4"/>
      <c r="J832" s="4"/>
      <c r="L832" s="2"/>
    </row>
    <row r="833" spans="1:13">
      <c r="B833" s="7"/>
      <c r="L833" s="2"/>
    </row>
    <row r="834" spans="1:13">
      <c r="F834" s="8"/>
      <c r="G834" s="9"/>
      <c r="H834" s="10"/>
      <c r="J834" s="12"/>
      <c r="L834" s="2"/>
      <c r="M834" s="2"/>
    </row>
    <row r="835" spans="1:13">
      <c r="F835" s="8"/>
      <c r="G835" s="9"/>
      <c r="H835" s="10"/>
      <c r="J835" s="12"/>
      <c r="M835" s="7"/>
    </row>
    <row r="836" spans="1:13">
      <c r="F836" s="8"/>
      <c r="G836" s="9"/>
      <c r="H836" s="10"/>
      <c r="J836" s="12"/>
    </row>
    <row r="837" spans="1:13">
      <c r="F837" s="8"/>
      <c r="G837" s="9"/>
      <c r="H837" s="10"/>
      <c r="J837" s="6"/>
    </row>
    <row r="838" spans="1:13">
      <c r="B838" s="7"/>
      <c r="F838" s="8"/>
      <c r="G838" s="9"/>
      <c r="H838" s="10"/>
      <c r="I838" s="10"/>
      <c r="J838" s="12"/>
    </row>
    <row r="839" spans="1:13">
      <c r="F839" s="8"/>
      <c r="H839" s="10"/>
      <c r="I839" s="12"/>
      <c r="J839" s="12"/>
    </row>
    <row r="840" spans="1:13">
      <c r="J840" s="6"/>
    </row>
    <row r="841" spans="1:13">
      <c r="B841" s="7"/>
      <c r="M841" s="7"/>
    </row>
    <row r="842" spans="1:13">
      <c r="F842" s="8"/>
      <c r="H842" s="10"/>
      <c r="I842" s="12"/>
      <c r="J842" s="12"/>
    </row>
    <row r="843" spans="1:13">
      <c r="F843" s="8"/>
      <c r="G843" s="9"/>
      <c r="H843" s="10"/>
      <c r="J843" s="12"/>
    </row>
    <row r="844" spans="1:13">
      <c r="I844" s="2"/>
      <c r="J844" s="6"/>
      <c r="M844" s="7"/>
    </row>
    <row r="846" spans="1:13">
      <c r="A846" s="2"/>
      <c r="B846" s="2"/>
      <c r="C846" s="2"/>
      <c r="D846" s="2"/>
    </row>
    <row r="847" spans="1:13">
      <c r="A847" s="2"/>
      <c r="B847" s="2"/>
      <c r="C847" s="4"/>
      <c r="D847" s="5"/>
      <c r="E847" s="4"/>
      <c r="F847" s="5"/>
      <c r="G847" s="2"/>
      <c r="I847" s="4"/>
      <c r="J847" s="6"/>
    </row>
    <row r="848" spans="1:13">
      <c r="A848" s="2"/>
      <c r="B848" s="2"/>
      <c r="F848" s="4"/>
      <c r="G848" s="4"/>
      <c r="H848" s="4"/>
      <c r="I848" s="4"/>
      <c r="J848" s="4"/>
    </row>
    <row r="849" spans="2:10">
      <c r="B849" s="7"/>
    </row>
    <row r="850" spans="2:10">
      <c r="F850" s="8"/>
      <c r="G850" s="9"/>
      <c r="H850" s="10"/>
      <c r="J850" s="12"/>
    </row>
    <row r="851" spans="2:10">
      <c r="F851" s="8"/>
      <c r="G851" s="9"/>
      <c r="H851" s="10"/>
      <c r="J851" s="12"/>
    </row>
    <row r="852" spans="2:10">
      <c r="F852" s="8"/>
      <c r="G852" s="9"/>
      <c r="H852" s="10"/>
      <c r="J852" s="12"/>
    </row>
    <row r="853" spans="2:10">
      <c r="F853" s="8"/>
      <c r="G853" s="9"/>
      <c r="H853" s="10"/>
      <c r="J853" s="6"/>
    </row>
    <row r="854" spans="2:10">
      <c r="B854" s="7"/>
      <c r="F854" s="8"/>
      <c r="G854" s="9"/>
      <c r="H854" s="10"/>
      <c r="I854" s="10"/>
      <c r="J854" s="12"/>
    </row>
    <row r="855" spans="2:10">
      <c r="F855" s="8"/>
      <c r="H855" s="10"/>
      <c r="I855" s="12"/>
      <c r="J855" s="12"/>
    </row>
    <row r="856" spans="2:10">
      <c r="F856" s="8"/>
      <c r="H856" s="10"/>
      <c r="I856" s="12"/>
      <c r="J856" s="12"/>
    </row>
    <row r="857" spans="2:10">
      <c r="F857" s="8"/>
      <c r="H857" s="10"/>
      <c r="I857" s="12"/>
      <c r="J857" s="12"/>
    </row>
    <row r="858" spans="2:10">
      <c r="J858" s="6"/>
    </row>
    <row r="859" spans="2:10">
      <c r="B859" s="7"/>
    </row>
    <row r="860" spans="2:10">
      <c r="F860" s="8"/>
      <c r="H860" s="10"/>
      <c r="I860" s="12"/>
      <c r="J860" s="12"/>
    </row>
    <row r="861" spans="2:10">
      <c r="I861" s="2"/>
      <c r="J861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D252B-83F4-41E7-BDDE-E4D854D4BC71}">
  <sheetPr>
    <tabColor rgb="FFFF0000"/>
  </sheetPr>
  <dimension ref="A1:P14"/>
  <sheetViews>
    <sheetView workbookViewId="0">
      <selection activeCell="H13" sqref="H13"/>
    </sheetView>
  </sheetViews>
  <sheetFormatPr defaultRowHeight="15"/>
  <cols>
    <col min="10" max="10" width="13.42578125" customWidth="1"/>
    <col min="11" max="11" width="14" customWidth="1"/>
  </cols>
  <sheetData>
    <row r="1" spans="1:16">
      <c r="G1" s="4" t="s">
        <v>122</v>
      </c>
      <c r="H1" s="4" t="s">
        <v>123</v>
      </c>
      <c r="I1" s="4" t="s">
        <v>124</v>
      </c>
      <c r="J1" s="4" t="s">
        <v>453</v>
      </c>
      <c r="K1" s="4" t="s">
        <v>454</v>
      </c>
    </row>
    <row r="2" spans="1:16">
      <c r="A2" s="2">
        <v>5</v>
      </c>
      <c r="B2" s="233" t="s">
        <v>1051</v>
      </c>
      <c r="J2" s="19"/>
      <c r="K2" s="288">
        <f>J3+J8</f>
        <v>158114.20826400002</v>
      </c>
      <c r="O2" s="2"/>
      <c r="P2" s="2"/>
    </row>
    <row r="3" spans="1:16">
      <c r="A3" s="2">
        <v>5.01</v>
      </c>
      <c r="B3" s="67" t="s">
        <v>1052</v>
      </c>
      <c r="J3" s="235">
        <f>SUM(J4:J7)</f>
        <v>120618.846816</v>
      </c>
      <c r="K3" s="29"/>
      <c r="P3" s="2"/>
    </row>
    <row r="4" spans="1:16">
      <c r="A4" s="2" t="s">
        <v>1053</v>
      </c>
      <c r="B4" t="s">
        <v>1054</v>
      </c>
      <c r="G4" s="19" t="s">
        <v>214</v>
      </c>
      <c r="H4" s="12">
        <f>ROUNDUP(SUM(BIBLIOTECA:INGRESO!G59),0)</f>
        <v>299</v>
      </c>
      <c r="I4" s="12">
        <f>'APUS ELECTRICAS'!J5</f>
        <v>121.04310400000001</v>
      </c>
      <c r="J4" s="29">
        <f>H4*I4</f>
        <v>36191.888096000002</v>
      </c>
      <c r="P4" s="2"/>
    </row>
    <row r="5" spans="1:16">
      <c r="A5" s="2" t="s">
        <v>1055</v>
      </c>
      <c r="B5" t="s">
        <v>1056</v>
      </c>
      <c r="G5" s="19" t="s">
        <v>214</v>
      </c>
      <c r="H5" s="12">
        <f>ROUNDUP(SUM(BIBLIOTECA:INGRESO!G60),0)</f>
        <v>299</v>
      </c>
      <c r="I5" s="12">
        <f>'APUS ELECTRICAS'!J26</f>
        <v>163.73838000000001</v>
      </c>
      <c r="J5" s="29">
        <f t="shared" ref="J5:J14" si="0">H5*I5</f>
        <v>48957.77562</v>
      </c>
      <c r="K5" s="305"/>
    </row>
    <row r="6" spans="1:16">
      <c r="A6" s="2" t="s">
        <v>1057</v>
      </c>
      <c r="B6" t="s">
        <v>1058</v>
      </c>
      <c r="G6" s="19" t="s">
        <v>214</v>
      </c>
      <c r="H6" s="12">
        <f>ROUNDUP(SUM(BIBLIOTECA:INGRESO!G61),0)</f>
        <v>299</v>
      </c>
      <c r="I6" s="12">
        <f>'APUS ELECTRICAS'!J48</f>
        <v>118.30689999999998</v>
      </c>
      <c r="J6" s="29">
        <f t="shared" si="0"/>
        <v>35373.763099999996</v>
      </c>
    </row>
    <row r="7" spans="1:16">
      <c r="A7" s="2" t="s">
        <v>1059</v>
      </c>
      <c r="B7" t="s">
        <v>1060</v>
      </c>
      <c r="G7" s="19" t="s">
        <v>214</v>
      </c>
      <c r="H7" s="12">
        <f>ROUNDUP(SUM(BIBLIOTECA:INGRESO!G62),0)</f>
        <v>13</v>
      </c>
      <c r="I7" s="12">
        <f>'APUS ELECTRICAS'!J66</f>
        <v>7.34</v>
      </c>
      <c r="J7" s="29">
        <f t="shared" si="0"/>
        <v>95.42</v>
      </c>
    </row>
    <row r="8" spans="1:16">
      <c r="A8" s="2">
        <v>5.0199999999999996</v>
      </c>
      <c r="B8" s="67" t="s">
        <v>1061</v>
      </c>
      <c r="G8" s="19"/>
      <c r="H8" s="12"/>
      <c r="I8" s="12"/>
      <c r="J8" s="235">
        <f>SUM(J9:J14)</f>
        <v>37495.361447999996</v>
      </c>
    </row>
    <row r="9" spans="1:16">
      <c r="A9" s="2" t="s">
        <v>1062</v>
      </c>
      <c r="B9" t="s">
        <v>1063</v>
      </c>
      <c r="G9" s="19" t="s">
        <v>149</v>
      </c>
      <c r="H9" s="12">
        <f>ROUNDUP(SUM(BIBLIOTECA:INGRESO!G64),0)</f>
        <v>59</v>
      </c>
      <c r="I9" s="12">
        <f>'APUS ELECTRICAS'!J74</f>
        <v>396.14503200000001</v>
      </c>
      <c r="J9" s="29">
        <f t="shared" si="0"/>
        <v>23372.556887999999</v>
      </c>
      <c r="P9" s="2"/>
    </row>
    <row r="10" spans="1:16">
      <c r="A10" s="2" t="s">
        <v>1064</v>
      </c>
      <c r="B10" t="s">
        <v>1065</v>
      </c>
      <c r="G10" s="19" t="s">
        <v>149</v>
      </c>
      <c r="H10" s="12">
        <f>ROUNDUP(SUM(BIBLIOTECA:INGRESO!G65),0)</f>
        <v>75</v>
      </c>
      <c r="I10" s="12">
        <f>'APUS ELECTRICAS'!J88</f>
        <v>105.9636</v>
      </c>
      <c r="J10" s="29">
        <f t="shared" si="0"/>
        <v>7947.2699999999995</v>
      </c>
    </row>
    <row r="11" spans="1:16">
      <c r="A11" s="2" t="s">
        <v>1066</v>
      </c>
      <c r="B11" t="s">
        <v>1067</v>
      </c>
      <c r="G11" s="19" t="s">
        <v>149</v>
      </c>
      <c r="H11" s="12">
        <f>ROUNDUP(SUM(BIBLIOTECA:INGRESO!G66),0)</f>
        <v>5</v>
      </c>
      <c r="I11" s="12">
        <f>'APUS ELECTRICAS'!J106</f>
        <v>143.11000000000001</v>
      </c>
      <c r="J11" s="29">
        <f t="shared" si="0"/>
        <v>715.55000000000007</v>
      </c>
    </row>
    <row r="12" spans="1:16">
      <c r="A12" s="2" t="s">
        <v>1068</v>
      </c>
      <c r="B12" t="s">
        <v>1069</v>
      </c>
      <c r="G12" s="19" t="s">
        <v>149</v>
      </c>
      <c r="H12" s="12">
        <f>ROUNDUP(SUM(BIBLIOTECA:INGRESO!G67),0)</f>
        <v>4</v>
      </c>
      <c r="I12" s="12">
        <f>'APUS ELECTRICAS'!J114</f>
        <v>86.816140000000019</v>
      </c>
      <c r="J12" s="29">
        <f t="shared" si="0"/>
        <v>347.26456000000007</v>
      </c>
    </row>
    <row r="13" spans="1:16">
      <c r="A13" s="2" t="s">
        <v>1070</v>
      </c>
      <c r="B13" t="s">
        <v>1071</v>
      </c>
      <c r="G13" s="19" t="s">
        <v>149</v>
      </c>
      <c r="H13" s="12">
        <f>'Datos iniciales '!B69</f>
        <v>54</v>
      </c>
      <c r="I13" s="50">
        <f>'APUS ELECTRICAS'!J133</f>
        <v>87.34</v>
      </c>
      <c r="J13" s="29">
        <f t="shared" si="0"/>
        <v>4716.3600000000006</v>
      </c>
    </row>
    <row r="14" spans="1:16">
      <c r="A14" s="2" t="s">
        <v>1072</v>
      </c>
      <c r="B14" t="s">
        <v>1073</v>
      </c>
      <c r="G14" s="19" t="s">
        <v>149</v>
      </c>
      <c r="H14" s="12">
        <f>'Datos iniciales '!B69</f>
        <v>54</v>
      </c>
      <c r="I14" s="50">
        <f>'APUS ELECTRICAS'!J140</f>
        <v>7.34</v>
      </c>
      <c r="J14" s="29">
        <f t="shared" si="0"/>
        <v>396.36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EA3E0-7A4A-4B0C-9233-CB6FE24224C6}">
  <sheetPr>
    <tabColor rgb="FFFF0000"/>
  </sheetPr>
  <dimension ref="A4:T146"/>
  <sheetViews>
    <sheetView workbookViewId="0">
      <selection activeCell="K112" sqref="K112"/>
    </sheetView>
  </sheetViews>
  <sheetFormatPr defaultRowHeight="15"/>
  <cols>
    <col min="9" max="9" width="9.28515625" bestFit="1" customWidth="1"/>
    <col min="16" max="17" width="10.85546875" bestFit="1" customWidth="1"/>
  </cols>
  <sheetData>
    <row r="4" spans="1:10">
      <c r="A4" s="2" t="s">
        <v>277</v>
      </c>
      <c r="B4" s="2" t="str">
        <f>ELECTRICAS!A4</f>
        <v>05.01.01</v>
      </c>
      <c r="C4" s="2" t="s">
        <v>1074</v>
      </c>
      <c r="D4" s="2"/>
    </row>
    <row r="5" spans="1:10">
      <c r="A5" s="2" t="s">
        <v>278</v>
      </c>
      <c r="B5" s="2" t="s">
        <v>413</v>
      </c>
      <c r="C5" s="4" t="s">
        <v>280</v>
      </c>
      <c r="D5" s="5">
        <v>5</v>
      </c>
      <c r="E5" s="4" t="s">
        <v>281</v>
      </c>
      <c r="F5" s="5">
        <f>D5</f>
        <v>5</v>
      </c>
      <c r="G5" s="2" t="s">
        <v>282</v>
      </c>
      <c r="I5" s="4" t="s">
        <v>214</v>
      </c>
      <c r="J5" s="6">
        <f>J11+J20+J23</f>
        <v>121.04310400000001</v>
      </c>
    </row>
    <row r="6" spans="1:10">
      <c r="A6" s="2" t="s">
        <v>283</v>
      </c>
      <c r="B6" s="2" t="s">
        <v>284</v>
      </c>
      <c r="F6" s="4" t="s">
        <v>122</v>
      </c>
      <c r="G6" s="4" t="s">
        <v>285</v>
      </c>
      <c r="H6" s="4" t="s">
        <v>286</v>
      </c>
      <c r="I6" s="4" t="s">
        <v>287</v>
      </c>
      <c r="J6" s="4" t="s">
        <v>288</v>
      </c>
    </row>
    <row r="7" spans="1:10">
      <c r="B7" s="7" t="s">
        <v>289</v>
      </c>
    </row>
    <row r="8" spans="1:10">
      <c r="B8" t="s">
        <v>650</v>
      </c>
      <c r="F8" s="8" t="s">
        <v>291</v>
      </c>
      <c r="G8" s="9">
        <v>0.1</v>
      </c>
      <c r="H8" s="10">
        <f>G8*8/$D$5</f>
        <v>0.16</v>
      </c>
      <c r="I8" s="12">
        <v>34.729999999999997</v>
      </c>
      <c r="J8" s="12">
        <f>H8*I8</f>
        <v>5.5568</v>
      </c>
    </row>
    <row r="9" spans="1:10">
      <c r="B9" t="s">
        <v>404</v>
      </c>
      <c r="F9" s="8" t="s">
        <v>291</v>
      </c>
      <c r="G9" s="9">
        <v>1</v>
      </c>
      <c r="H9" s="10">
        <f>G9*8/$D$5</f>
        <v>1.6</v>
      </c>
      <c r="I9">
        <v>28.94</v>
      </c>
      <c r="J9" s="12">
        <f>H9*I9</f>
        <v>46.304000000000002</v>
      </c>
    </row>
    <row r="10" spans="1:10">
      <c r="B10" t="s">
        <v>293</v>
      </c>
      <c r="F10" s="8" t="s">
        <v>291</v>
      </c>
      <c r="G10" s="9">
        <v>1</v>
      </c>
      <c r="H10" s="10">
        <f>G10*8/$D$5</f>
        <v>1.6</v>
      </c>
      <c r="I10">
        <v>20.51</v>
      </c>
      <c r="J10" s="12">
        <f>H10*I10</f>
        <v>32.816000000000003</v>
      </c>
    </row>
    <row r="11" spans="1:10">
      <c r="J11" s="6">
        <f>SUM(J8:J10)</f>
        <v>84.676800000000014</v>
      </c>
    </row>
    <row r="12" spans="1:10">
      <c r="B12" s="7" t="s">
        <v>653</v>
      </c>
      <c r="F12" s="8"/>
      <c r="G12" s="9"/>
      <c r="H12" s="10"/>
      <c r="J12" s="12"/>
    </row>
    <row r="13" spans="1:10">
      <c r="B13" t="s">
        <v>1075</v>
      </c>
      <c r="F13" s="8" t="s">
        <v>149</v>
      </c>
      <c r="H13" s="10">
        <v>1.5</v>
      </c>
      <c r="I13">
        <v>10.68</v>
      </c>
      <c r="J13" s="12">
        <f>H13*I13</f>
        <v>16.02</v>
      </c>
    </row>
    <row r="14" spans="1:10">
      <c r="B14" t="s">
        <v>1076</v>
      </c>
      <c r="F14" s="8" t="s">
        <v>149</v>
      </c>
      <c r="H14" s="10">
        <v>3</v>
      </c>
      <c r="I14">
        <v>2.12</v>
      </c>
      <c r="J14" s="12">
        <f>H14*I14</f>
        <v>6.36</v>
      </c>
    </row>
    <row r="15" spans="1:10">
      <c r="B15" t="s">
        <v>1077</v>
      </c>
      <c r="F15" s="8" t="s">
        <v>149</v>
      </c>
      <c r="H15" s="10">
        <v>1</v>
      </c>
      <c r="I15">
        <v>0.68</v>
      </c>
      <c r="J15" s="12">
        <f>H15*I15</f>
        <v>0.68</v>
      </c>
    </row>
    <row r="16" spans="1:10">
      <c r="B16" t="s">
        <v>1078</v>
      </c>
      <c r="F16" s="8" t="s">
        <v>149</v>
      </c>
      <c r="H16" s="10">
        <v>1</v>
      </c>
      <c r="I16">
        <v>0.51</v>
      </c>
      <c r="J16" s="12">
        <f>H16*I16</f>
        <v>0.51</v>
      </c>
    </row>
    <row r="17" spans="1:10">
      <c r="B17" t="s">
        <v>1079</v>
      </c>
      <c r="F17" s="8" t="s">
        <v>149</v>
      </c>
      <c r="H17" s="10">
        <v>0.1</v>
      </c>
      <c r="I17">
        <v>4.66</v>
      </c>
      <c r="J17" s="12">
        <f t="shared" ref="J17:J19" si="0">H17*I17</f>
        <v>0.46600000000000003</v>
      </c>
    </row>
    <row r="18" spans="1:10">
      <c r="B18" t="s">
        <v>1080</v>
      </c>
      <c r="F18" s="8" t="s">
        <v>149</v>
      </c>
      <c r="H18" s="10">
        <v>1</v>
      </c>
      <c r="I18">
        <v>1.69</v>
      </c>
      <c r="J18" s="12">
        <f t="shared" si="0"/>
        <v>1.69</v>
      </c>
    </row>
    <row r="19" spans="1:10">
      <c r="B19" t="s">
        <v>1081</v>
      </c>
      <c r="F19" s="8" t="s">
        <v>144</v>
      </c>
      <c r="H19" s="10">
        <v>9</v>
      </c>
      <c r="I19">
        <v>0.9</v>
      </c>
      <c r="J19" s="12">
        <f t="shared" si="0"/>
        <v>8.1</v>
      </c>
    </row>
    <row r="20" spans="1:10">
      <c r="J20" s="6">
        <f>SUM(J13:J19)</f>
        <v>33.826000000000001</v>
      </c>
    </row>
    <row r="21" spans="1:10">
      <c r="B21" s="7" t="s">
        <v>309</v>
      </c>
    </row>
    <row r="22" spans="1:10">
      <c r="B22" t="s">
        <v>310</v>
      </c>
      <c r="F22" s="8" t="s">
        <v>311</v>
      </c>
      <c r="H22" s="10">
        <v>3</v>
      </c>
      <c r="I22" s="12">
        <f>J11</f>
        <v>84.676800000000014</v>
      </c>
      <c r="J22" s="12">
        <f>H22%*I22</f>
        <v>2.5403040000000003</v>
      </c>
    </row>
    <row r="23" spans="1:10">
      <c r="A23" s="14"/>
      <c r="B23" s="14"/>
      <c r="C23" s="14"/>
      <c r="D23" s="14"/>
      <c r="E23" s="14"/>
      <c r="F23" s="14"/>
      <c r="G23" s="14"/>
      <c r="H23" s="14"/>
      <c r="I23" s="15"/>
      <c r="J23" s="16">
        <f>SUM(J22)</f>
        <v>2.5403040000000003</v>
      </c>
    </row>
    <row r="25" spans="1:10">
      <c r="A25" s="2" t="s">
        <v>277</v>
      </c>
      <c r="B25" s="2" t="str">
        <f>ELECTRICAS!A5</f>
        <v>05.01.02</v>
      </c>
      <c r="C25" s="2" t="s">
        <v>1082</v>
      </c>
      <c r="D25" s="2"/>
    </row>
    <row r="26" spans="1:10">
      <c r="A26" s="2" t="s">
        <v>278</v>
      </c>
      <c r="B26" s="2" t="s">
        <v>413</v>
      </c>
      <c r="C26" s="4" t="s">
        <v>280</v>
      </c>
      <c r="D26" s="5">
        <v>4</v>
      </c>
      <c r="E26" s="4" t="s">
        <v>281</v>
      </c>
      <c r="F26" s="5">
        <f>D26</f>
        <v>4</v>
      </c>
      <c r="G26" s="2" t="s">
        <v>282</v>
      </c>
      <c r="I26" s="4" t="s">
        <v>214</v>
      </c>
      <c r="J26" s="6">
        <f>J32+J42+J45</f>
        <v>163.73838000000001</v>
      </c>
    </row>
    <row r="27" spans="1:10">
      <c r="A27" s="2" t="s">
        <v>283</v>
      </c>
      <c r="B27" s="2" t="s">
        <v>284</v>
      </c>
      <c r="F27" s="4" t="s">
        <v>122</v>
      </c>
      <c r="G27" s="4" t="s">
        <v>285</v>
      </c>
      <c r="H27" s="4" t="s">
        <v>286</v>
      </c>
      <c r="I27" s="4" t="s">
        <v>287</v>
      </c>
      <c r="J27" s="4" t="s">
        <v>288</v>
      </c>
    </row>
    <row r="28" spans="1:10">
      <c r="B28" s="7" t="s">
        <v>289</v>
      </c>
    </row>
    <row r="29" spans="1:10">
      <c r="B29" t="s">
        <v>650</v>
      </c>
      <c r="F29" s="8" t="s">
        <v>291</v>
      </c>
      <c r="G29" s="9">
        <v>0.1</v>
      </c>
      <c r="H29" s="10">
        <f>G29*8/$D$26</f>
        <v>0.2</v>
      </c>
      <c r="I29" s="12">
        <v>34.729999999999997</v>
      </c>
      <c r="J29" s="12">
        <f>H29*I29</f>
        <v>6.9459999999999997</v>
      </c>
    </row>
    <row r="30" spans="1:10">
      <c r="B30" t="s">
        <v>404</v>
      </c>
      <c r="F30" s="8" t="s">
        <v>291</v>
      </c>
      <c r="G30" s="9">
        <v>1</v>
      </c>
      <c r="H30" s="10">
        <f>G30*8/$D$26</f>
        <v>2</v>
      </c>
      <c r="I30">
        <v>28.94</v>
      </c>
      <c r="J30" s="12">
        <f>H30*I30</f>
        <v>57.88</v>
      </c>
    </row>
    <row r="31" spans="1:10">
      <c r="B31" t="s">
        <v>293</v>
      </c>
      <c r="F31" s="8" t="s">
        <v>291</v>
      </c>
      <c r="G31" s="9">
        <v>1</v>
      </c>
      <c r="H31" s="10">
        <f>G31*8/$D$26</f>
        <v>2</v>
      </c>
      <c r="I31">
        <v>20.51</v>
      </c>
      <c r="J31" s="12">
        <f>H31*I31</f>
        <v>41.02</v>
      </c>
    </row>
    <row r="32" spans="1:10">
      <c r="J32" s="6">
        <f>SUM(J29:J31)</f>
        <v>105.846</v>
      </c>
    </row>
    <row r="33" spans="1:10">
      <c r="B33" s="7" t="s">
        <v>653</v>
      </c>
      <c r="F33" s="8"/>
      <c r="G33" s="9"/>
      <c r="H33" s="10"/>
      <c r="J33" s="12"/>
    </row>
    <row r="34" spans="1:10">
      <c r="B34" t="s">
        <v>1075</v>
      </c>
      <c r="F34" s="8" t="s">
        <v>149</v>
      </c>
      <c r="H34" s="10">
        <v>1.5</v>
      </c>
      <c r="I34">
        <v>10.68</v>
      </c>
      <c r="J34" s="12">
        <f>H34*I34</f>
        <v>16.02</v>
      </c>
    </row>
    <row r="35" spans="1:10">
      <c r="B35" t="s">
        <v>1076</v>
      </c>
      <c r="F35" s="8" t="s">
        <v>149</v>
      </c>
      <c r="H35" s="10">
        <v>3</v>
      </c>
      <c r="I35">
        <v>2.12</v>
      </c>
      <c r="J35" s="12">
        <f>H35*I35</f>
        <v>6.36</v>
      </c>
    </row>
    <row r="36" spans="1:10">
      <c r="B36" t="s">
        <v>1077</v>
      </c>
      <c r="F36" s="8" t="s">
        <v>149</v>
      </c>
      <c r="H36" s="10">
        <v>1</v>
      </c>
      <c r="I36">
        <v>0.68</v>
      </c>
      <c r="J36" s="12">
        <f>H36*I36</f>
        <v>0.68</v>
      </c>
    </row>
    <row r="37" spans="1:10">
      <c r="B37" t="s">
        <v>1078</v>
      </c>
      <c r="F37" s="8" t="s">
        <v>149</v>
      </c>
      <c r="H37" s="10">
        <v>2</v>
      </c>
      <c r="I37">
        <v>0.51</v>
      </c>
      <c r="J37" s="12">
        <f>H37*I37</f>
        <v>1.02</v>
      </c>
    </row>
    <row r="38" spans="1:10">
      <c r="B38" t="s">
        <v>1079</v>
      </c>
      <c r="F38" s="8" t="s">
        <v>149</v>
      </c>
      <c r="H38" s="10">
        <v>0.1</v>
      </c>
      <c r="I38">
        <v>4.66</v>
      </c>
      <c r="J38" s="12">
        <f t="shared" ref="J38:J41" si="1">H38*I38</f>
        <v>0.46600000000000003</v>
      </c>
    </row>
    <row r="39" spans="1:10">
      <c r="B39" t="s">
        <v>1083</v>
      </c>
      <c r="F39" s="8" t="s">
        <v>149</v>
      </c>
      <c r="H39" s="10">
        <v>1.05</v>
      </c>
      <c r="I39">
        <v>16.02</v>
      </c>
      <c r="J39" s="12">
        <f t="shared" si="1"/>
        <v>16.821000000000002</v>
      </c>
    </row>
    <row r="40" spans="1:10">
      <c r="B40" t="s">
        <v>1084</v>
      </c>
      <c r="F40" s="8" t="s">
        <v>149</v>
      </c>
      <c r="H40">
        <v>1.05</v>
      </c>
      <c r="I40">
        <v>5</v>
      </c>
      <c r="J40" s="12">
        <f t="shared" si="1"/>
        <v>5.25</v>
      </c>
    </row>
    <row r="41" spans="1:10">
      <c r="B41" t="s">
        <v>1081</v>
      </c>
      <c r="F41" s="8" t="s">
        <v>144</v>
      </c>
      <c r="H41" s="10">
        <v>9</v>
      </c>
      <c r="I41">
        <v>0.9</v>
      </c>
      <c r="J41" s="12">
        <f t="shared" si="1"/>
        <v>8.1</v>
      </c>
    </row>
    <row r="42" spans="1:10">
      <c r="J42" s="6">
        <f>SUM(J34:J41)</f>
        <v>54.717000000000006</v>
      </c>
    </row>
    <row r="43" spans="1:10">
      <c r="B43" s="7" t="s">
        <v>309</v>
      </c>
    </row>
    <row r="44" spans="1:10">
      <c r="B44" t="s">
        <v>310</v>
      </c>
      <c r="F44" s="8" t="s">
        <v>311</v>
      </c>
      <c r="H44" s="10">
        <v>3</v>
      </c>
      <c r="I44" s="12">
        <f>J32</f>
        <v>105.846</v>
      </c>
      <c r="J44" s="12">
        <f>H44%*I44</f>
        <v>3.1753800000000001</v>
      </c>
    </row>
    <row r="45" spans="1:10">
      <c r="A45" s="14"/>
      <c r="B45" s="14"/>
      <c r="C45" s="14"/>
      <c r="D45" s="14"/>
      <c r="E45" s="14"/>
      <c r="F45" s="14"/>
      <c r="G45" s="14"/>
      <c r="H45" s="14"/>
      <c r="I45" s="15"/>
      <c r="J45" s="16">
        <f>SUM(J44)</f>
        <v>3.1753800000000001</v>
      </c>
    </row>
    <row r="47" spans="1:10">
      <c r="A47" s="2" t="s">
        <v>277</v>
      </c>
      <c r="B47" s="2" t="str">
        <f>ELECTRICAS!A6</f>
        <v>05.01.03</v>
      </c>
      <c r="C47" s="2" t="s">
        <v>1085</v>
      </c>
      <c r="D47" s="2"/>
    </row>
    <row r="48" spans="1:10">
      <c r="A48" s="2" t="s">
        <v>278</v>
      </c>
      <c r="B48" s="2" t="s">
        <v>413</v>
      </c>
      <c r="C48" s="4" t="s">
        <v>280</v>
      </c>
      <c r="D48" s="5">
        <v>3</v>
      </c>
      <c r="E48" s="4" t="s">
        <v>281</v>
      </c>
      <c r="F48" s="5">
        <f>D48</f>
        <v>3</v>
      </c>
      <c r="G48" s="2" t="s">
        <v>282</v>
      </c>
      <c r="I48" s="4" t="s">
        <v>214</v>
      </c>
      <c r="J48" s="6">
        <f>J53+J60+J63</f>
        <v>118.30689999999998</v>
      </c>
    </row>
    <row r="49" spans="1:10">
      <c r="A49" s="2" t="s">
        <v>283</v>
      </c>
      <c r="B49" s="2" t="s">
        <v>284</v>
      </c>
      <c r="F49" s="4" t="s">
        <v>122</v>
      </c>
      <c r="G49" s="4" t="s">
        <v>285</v>
      </c>
      <c r="H49" s="4" t="s">
        <v>286</v>
      </c>
      <c r="I49" s="4" t="s">
        <v>287</v>
      </c>
      <c r="J49" s="4" t="s">
        <v>288</v>
      </c>
    </row>
    <row r="50" spans="1:10">
      <c r="B50" s="7" t="s">
        <v>289</v>
      </c>
    </row>
    <row r="51" spans="1:10">
      <c r="B51" t="s">
        <v>650</v>
      </c>
      <c r="F51" s="8" t="s">
        <v>291</v>
      </c>
      <c r="G51" s="9">
        <v>0.1</v>
      </c>
      <c r="H51" s="10">
        <f>G51*8/$D$48</f>
        <v>0.26666666666666666</v>
      </c>
      <c r="I51" s="12">
        <v>34.729999999999997</v>
      </c>
      <c r="J51" s="12">
        <f>H51*I51</f>
        <v>9.261333333333333</v>
      </c>
    </row>
    <row r="52" spans="1:10">
      <c r="B52" t="s">
        <v>404</v>
      </c>
      <c r="F52" s="8" t="s">
        <v>291</v>
      </c>
      <c r="G52" s="9">
        <v>1</v>
      </c>
      <c r="H52" s="10">
        <f>G52*8/$D$48</f>
        <v>2.6666666666666665</v>
      </c>
      <c r="I52">
        <v>28.94</v>
      </c>
      <c r="J52" s="12">
        <f>H52*I52</f>
        <v>77.173333333333332</v>
      </c>
    </row>
    <row r="53" spans="1:10">
      <c r="J53" s="6">
        <f>SUM(J51:J52)</f>
        <v>86.434666666666658</v>
      </c>
    </row>
    <row r="54" spans="1:10">
      <c r="B54" s="7" t="s">
        <v>653</v>
      </c>
      <c r="F54" s="8"/>
      <c r="G54" s="9"/>
      <c r="H54" s="10"/>
      <c r="J54" s="12"/>
    </row>
    <row r="55" spans="1:10">
      <c r="B55" t="s">
        <v>1075</v>
      </c>
      <c r="F55" s="8" t="s">
        <v>149</v>
      </c>
      <c r="H55" s="10">
        <v>2</v>
      </c>
      <c r="I55">
        <v>10.68</v>
      </c>
      <c r="J55" s="12">
        <f>H55*I55</f>
        <v>21.36</v>
      </c>
    </row>
    <row r="56" spans="1:10">
      <c r="B56" t="s">
        <v>1076</v>
      </c>
      <c r="F56" s="8" t="s">
        <v>149</v>
      </c>
      <c r="H56" s="10">
        <v>1</v>
      </c>
      <c r="I56">
        <v>2.12</v>
      </c>
      <c r="J56" s="12">
        <f>H56*I56</f>
        <v>2.12</v>
      </c>
    </row>
    <row r="57" spans="1:10">
      <c r="B57" t="s">
        <v>1077</v>
      </c>
      <c r="F57" s="8" t="s">
        <v>149</v>
      </c>
      <c r="H57" s="10">
        <v>2</v>
      </c>
      <c r="I57">
        <v>0.68</v>
      </c>
      <c r="J57" s="12">
        <f>H57*I57</f>
        <v>1.36</v>
      </c>
    </row>
    <row r="58" spans="1:10">
      <c r="B58" t="s">
        <v>1078</v>
      </c>
      <c r="F58" s="8" t="s">
        <v>149</v>
      </c>
      <c r="H58" s="10">
        <v>2</v>
      </c>
      <c r="I58">
        <v>0.51</v>
      </c>
      <c r="J58" s="12">
        <f>H58*I58</f>
        <v>1.02</v>
      </c>
    </row>
    <row r="59" spans="1:10">
      <c r="B59" t="s">
        <v>1086</v>
      </c>
      <c r="F59" s="8" t="s">
        <v>149</v>
      </c>
      <c r="H59">
        <v>1.05</v>
      </c>
      <c r="I59">
        <v>1.61</v>
      </c>
      <c r="J59" s="12">
        <f t="shared" ref="J59" si="2">H59*I59</f>
        <v>1.6905000000000001</v>
      </c>
    </row>
    <row r="60" spans="1:10">
      <c r="F60" s="8"/>
      <c r="H60" s="10"/>
      <c r="J60" s="6">
        <f>SUM(J55:J59)</f>
        <v>27.5505</v>
      </c>
    </row>
    <row r="61" spans="1:10">
      <c r="B61" s="7" t="s">
        <v>309</v>
      </c>
    </row>
    <row r="62" spans="1:10">
      <c r="B62" t="s">
        <v>310</v>
      </c>
      <c r="F62" s="8" t="s">
        <v>311</v>
      </c>
      <c r="H62" s="10">
        <v>5</v>
      </c>
      <c r="I62" s="12">
        <f>J53</f>
        <v>86.434666666666658</v>
      </c>
      <c r="J62" s="12">
        <f>H62%*I62</f>
        <v>4.3217333333333334</v>
      </c>
    </row>
    <row r="63" spans="1:10">
      <c r="A63" s="14"/>
      <c r="B63" s="14"/>
      <c r="C63" s="14"/>
      <c r="D63" s="14"/>
      <c r="E63" s="14"/>
      <c r="F63" s="14"/>
      <c r="G63" s="14"/>
      <c r="H63" s="14"/>
      <c r="I63" s="15"/>
      <c r="J63" s="16">
        <f>SUM(J62)</f>
        <v>4.3217333333333334</v>
      </c>
    </row>
    <row r="64" spans="1:10">
      <c r="I64" s="2"/>
      <c r="J64" s="6"/>
    </row>
    <row r="65" spans="1:20">
      <c r="A65" s="2" t="s">
        <v>277</v>
      </c>
      <c r="B65" s="2" t="str">
        <f>ELECTRICAS!A7</f>
        <v>05.01.04</v>
      </c>
      <c r="C65" s="2" t="s">
        <v>1087</v>
      </c>
      <c r="D65" s="2"/>
    </row>
    <row r="66" spans="1:20">
      <c r="A66" s="2" t="s">
        <v>278</v>
      </c>
      <c r="B66" s="2" t="s">
        <v>1088</v>
      </c>
      <c r="C66" s="4" t="s">
        <v>280</v>
      </c>
      <c r="D66" s="5">
        <v>1</v>
      </c>
      <c r="E66" s="4" t="s">
        <v>281</v>
      </c>
      <c r="F66" s="5">
        <f>D66</f>
        <v>1</v>
      </c>
      <c r="G66" s="2" t="s">
        <v>282</v>
      </c>
      <c r="I66" s="4" t="s">
        <v>214</v>
      </c>
      <c r="J66" s="6">
        <f>+J70</f>
        <v>7.34</v>
      </c>
    </row>
    <row r="67" spans="1:20">
      <c r="A67" s="2" t="s">
        <v>283</v>
      </c>
      <c r="B67" s="2" t="s">
        <v>284</v>
      </c>
      <c r="F67" s="4" t="s">
        <v>122</v>
      </c>
      <c r="G67" s="4" t="s">
        <v>285</v>
      </c>
      <c r="H67" s="4" t="s">
        <v>286</v>
      </c>
      <c r="I67" s="4" t="s">
        <v>287</v>
      </c>
      <c r="J67" s="4" t="s">
        <v>288</v>
      </c>
    </row>
    <row r="68" spans="1:20">
      <c r="B68" s="7" t="s">
        <v>653</v>
      </c>
    </row>
    <row r="69" spans="1:20">
      <c r="B69" t="s">
        <v>1087</v>
      </c>
      <c r="F69" s="8" t="s">
        <v>214</v>
      </c>
      <c r="G69" s="9"/>
      <c r="H69" s="10">
        <v>1</v>
      </c>
      <c r="I69">
        <v>7.34</v>
      </c>
      <c r="J69" s="12">
        <f>H69*I69</f>
        <v>7.34</v>
      </c>
    </row>
    <row r="70" spans="1:20">
      <c r="A70" s="14"/>
      <c r="B70" s="14"/>
      <c r="C70" s="14"/>
      <c r="D70" s="14"/>
      <c r="E70" s="14"/>
      <c r="F70" s="44"/>
      <c r="G70" s="45"/>
      <c r="H70" s="46"/>
      <c r="I70" s="14"/>
      <c r="J70" s="16">
        <f>SUM(J69:J69)</f>
        <v>7.34</v>
      </c>
    </row>
    <row r="73" spans="1:20">
      <c r="A73" s="2" t="s">
        <v>277</v>
      </c>
      <c r="B73" s="2" t="str">
        <f>ELECTRICAS!A9</f>
        <v>05.02.01</v>
      </c>
      <c r="C73" s="2" t="s">
        <v>1063</v>
      </c>
      <c r="D73" s="2"/>
    </row>
    <row r="74" spans="1:20">
      <c r="A74" s="2" t="s">
        <v>278</v>
      </c>
      <c r="B74" s="2" t="s">
        <v>1089</v>
      </c>
      <c r="C74" s="4" t="s">
        <v>280</v>
      </c>
      <c r="D74" s="5">
        <v>10</v>
      </c>
      <c r="E74" s="4" t="s">
        <v>281</v>
      </c>
      <c r="F74" s="5">
        <f>D74</f>
        <v>10</v>
      </c>
      <c r="G74" s="2" t="s">
        <v>282</v>
      </c>
      <c r="I74" s="4" t="s">
        <v>149</v>
      </c>
      <c r="J74" s="6">
        <f>+J79+J82+J85</f>
        <v>396.14503200000001</v>
      </c>
    </row>
    <row r="75" spans="1:20">
      <c r="A75" s="2" t="s">
        <v>283</v>
      </c>
      <c r="B75" s="2" t="s">
        <v>284</v>
      </c>
      <c r="F75" s="4" t="s">
        <v>122</v>
      </c>
      <c r="G75" s="4" t="s">
        <v>285</v>
      </c>
      <c r="H75" s="4" t="s">
        <v>286</v>
      </c>
      <c r="I75" s="4" t="s">
        <v>287</v>
      </c>
      <c r="J75" s="4" t="s">
        <v>288</v>
      </c>
    </row>
    <row r="76" spans="1:20">
      <c r="B76" s="7" t="s">
        <v>289</v>
      </c>
      <c r="T76" s="12"/>
    </row>
    <row r="77" spans="1:20">
      <c r="B77" t="s">
        <v>650</v>
      </c>
      <c r="F77" s="8" t="s">
        <v>291</v>
      </c>
      <c r="G77" s="9">
        <v>0.1</v>
      </c>
      <c r="H77" s="10">
        <f>G77*8/$D$74</f>
        <v>0.08</v>
      </c>
      <c r="I77" s="12">
        <v>34.729999999999997</v>
      </c>
      <c r="J77" s="12">
        <f>H77*I77</f>
        <v>2.7784</v>
      </c>
      <c r="T77" s="12"/>
    </row>
    <row r="78" spans="1:20">
      <c r="B78" t="s">
        <v>404</v>
      </c>
      <c r="F78" s="8" t="s">
        <v>291</v>
      </c>
      <c r="G78" s="9">
        <v>0.5</v>
      </c>
      <c r="H78" s="10">
        <f>G78*8/$D$74</f>
        <v>0.4</v>
      </c>
      <c r="I78">
        <v>28.94</v>
      </c>
      <c r="J78" s="12">
        <f>H78*I78</f>
        <v>11.576000000000001</v>
      </c>
    </row>
    <row r="79" spans="1:20">
      <c r="J79" s="6">
        <f>SUM(J77:J78)</f>
        <v>14.3544</v>
      </c>
      <c r="T79" s="12"/>
    </row>
    <row r="80" spans="1:20">
      <c r="B80" s="7" t="s">
        <v>653</v>
      </c>
      <c r="F80" s="8"/>
      <c r="G80" s="9"/>
      <c r="H80" s="10"/>
      <c r="J80" s="12"/>
      <c r="S80" s="70"/>
    </row>
    <row r="81" spans="1:20">
      <c r="B81" t="s">
        <v>1090</v>
      </c>
      <c r="F81" s="8" t="s">
        <v>149</v>
      </c>
      <c r="G81" s="9"/>
      <c r="H81" s="10">
        <v>1</v>
      </c>
      <c r="I81">
        <v>381.36</v>
      </c>
      <c r="J81" s="12">
        <f>H81*I81</f>
        <v>381.36</v>
      </c>
    </row>
    <row r="82" spans="1:20">
      <c r="F82" s="8"/>
      <c r="J82" s="6">
        <f>SUM(J81:J81)</f>
        <v>381.36</v>
      </c>
    </row>
    <row r="83" spans="1:20">
      <c r="B83" s="7" t="s">
        <v>309</v>
      </c>
    </row>
    <row r="84" spans="1:20">
      <c r="B84" t="s">
        <v>310</v>
      </c>
      <c r="F84" s="8" t="s">
        <v>311</v>
      </c>
      <c r="H84" s="10">
        <v>3</v>
      </c>
      <c r="I84" s="12">
        <f>J79</f>
        <v>14.3544</v>
      </c>
      <c r="J84" s="12">
        <f>H84%*I84</f>
        <v>0.43063199999999996</v>
      </c>
    </row>
    <row r="85" spans="1:20">
      <c r="A85" s="14"/>
      <c r="B85" s="14"/>
      <c r="C85" s="14"/>
      <c r="D85" s="14"/>
      <c r="E85" s="14"/>
      <c r="F85" s="14"/>
      <c r="G85" s="14"/>
      <c r="H85" s="14"/>
      <c r="I85" s="15"/>
      <c r="J85" s="16">
        <f>SUM(J84)</f>
        <v>0.43063199999999996</v>
      </c>
    </row>
    <row r="87" spans="1:20">
      <c r="A87" s="2" t="s">
        <v>277</v>
      </c>
      <c r="B87" s="2" t="str">
        <f>ELECTRICAS!A10</f>
        <v>05.02.02</v>
      </c>
      <c r="C87" s="2" t="s">
        <v>1065</v>
      </c>
      <c r="D87" s="2"/>
    </row>
    <row r="88" spans="1:20">
      <c r="A88" s="2" t="s">
        <v>278</v>
      </c>
      <c r="B88" s="2" t="s">
        <v>1089</v>
      </c>
      <c r="C88" s="4" t="s">
        <v>280</v>
      </c>
      <c r="D88" s="5">
        <v>6</v>
      </c>
      <c r="E88" s="4" t="s">
        <v>281</v>
      </c>
      <c r="F88" s="5">
        <f>D88</f>
        <v>6</v>
      </c>
      <c r="G88" s="2" t="s">
        <v>282</v>
      </c>
      <c r="I88" s="4" t="s">
        <v>149</v>
      </c>
      <c r="J88" s="6">
        <f>+J94+J99+J103</f>
        <v>105.9636</v>
      </c>
    </row>
    <row r="89" spans="1:20">
      <c r="A89" s="2" t="s">
        <v>283</v>
      </c>
      <c r="B89" s="2" t="s">
        <v>284</v>
      </c>
      <c r="F89" s="4" t="s">
        <v>122</v>
      </c>
      <c r="G89" s="4" t="s">
        <v>285</v>
      </c>
      <c r="H89" s="4" t="s">
        <v>286</v>
      </c>
      <c r="I89" s="4" t="s">
        <v>287</v>
      </c>
      <c r="J89" s="4" t="s">
        <v>288</v>
      </c>
    </row>
    <row r="90" spans="1:20">
      <c r="B90" s="7" t="s">
        <v>289</v>
      </c>
    </row>
    <row r="91" spans="1:20">
      <c r="B91" t="s">
        <v>404</v>
      </c>
      <c r="F91" s="8" t="s">
        <v>291</v>
      </c>
      <c r="G91" s="9">
        <v>1.1000000000000001</v>
      </c>
      <c r="H91" s="10">
        <f>G91*8/$D$88</f>
        <v>1.4666666666666668</v>
      </c>
      <c r="I91">
        <v>28.94</v>
      </c>
      <c r="J91" s="12">
        <f>H91*I91</f>
        <v>42.445333333333338</v>
      </c>
      <c r="T91" s="70"/>
    </row>
    <row r="92" spans="1:20">
      <c r="B92" t="s">
        <v>679</v>
      </c>
      <c r="F92" s="8" t="s">
        <v>291</v>
      </c>
      <c r="G92" s="9">
        <v>1</v>
      </c>
      <c r="H92" s="10">
        <f>G92*8/$D$88</f>
        <v>1.3333333333333333</v>
      </c>
      <c r="I92">
        <v>22.66</v>
      </c>
      <c r="J92" s="12">
        <f>H92*I92</f>
        <v>30.213333333333331</v>
      </c>
    </row>
    <row r="93" spans="1:20">
      <c r="B93" t="s">
        <v>293</v>
      </c>
      <c r="F93" s="8" t="s">
        <v>291</v>
      </c>
      <c r="G93" s="9">
        <v>1</v>
      </c>
      <c r="H93" s="10">
        <f>G93*8/$D$88</f>
        <v>1.3333333333333333</v>
      </c>
      <c r="I93">
        <v>20.51</v>
      </c>
      <c r="J93" s="12">
        <f>H93*I93</f>
        <v>27.346666666666668</v>
      </c>
    </row>
    <row r="94" spans="1:20">
      <c r="J94" s="6">
        <f>SUM(J91:J93)</f>
        <v>100.00533333333334</v>
      </c>
    </row>
    <row r="95" spans="1:20">
      <c r="B95" s="7" t="s">
        <v>653</v>
      </c>
      <c r="F95" s="8"/>
      <c r="G95" s="9"/>
      <c r="H95" s="10"/>
      <c r="J95" s="12"/>
    </row>
    <row r="96" spans="1:20">
      <c r="B96" t="s">
        <v>677</v>
      </c>
      <c r="F96" s="8" t="s">
        <v>372</v>
      </c>
      <c r="G96" s="9"/>
      <c r="H96" s="10">
        <v>0.05</v>
      </c>
      <c r="I96">
        <v>2.64</v>
      </c>
      <c r="J96" s="12">
        <f>H96*I96</f>
        <v>0.13200000000000001</v>
      </c>
      <c r="M96" s="2"/>
      <c r="N96" s="2"/>
    </row>
    <row r="97" spans="1:14">
      <c r="B97" t="s">
        <v>1091</v>
      </c>
      <c r="F97" s="8" t="s">
        <v>372</v>
      </c>
      <c r="G97" s="9"/>
      <c r="H97" s="10">
        <v>0.1</v>
      </c>
      <c r="I97">
        <v>5.08</v>
      </c>
      <c r="J97" s="12">
        <f>H97*I97</f>
        <v>0.50800000000000001</v>
      </c>
      <c r="N97" s="2"/>
    </row>
    <row r="98" spans="1:14">
      <c r="B98" t="s">
        <v>1092</v>
      </c>
      <c r="F98" s="8" t="s">
        <v>307</v>
      </c>
      <c r="H98">
        <v>0.01</v>
      </c>
      <c r="I98">
        <v>45</v>
      </c>
      <c r="J98" s="12">
        <f>H98*I98</f>
        <v>0.45</v>
      </c>
      <c r="N98" s="2"/>
    </row>
    <row r="99" spans="1:14">
      <c r="F99" s="8"/>
      <c r="J99" s="6">
        <f>SUM(J97:J98)</f>
        <v>0.95799999999999996</v>
      </c>
      <c r="N99" s="2"/>
    </row>
    <row r="100" spans="1:14">
      <c r="B100" s="7" t="s">
        <v>309</v>
      </c>
      <c r="M100" s="2"/>
      <c r="N100" s="2"/>
    </row>
    <row r="101" spans="1:14">
      <c r="B101" t="s">
        <v>310</v>
      </c>
      <c r="F101" s="8" t="s">
        <v>311</v>
      </c>
      <c r="H101" s="10">
        <v>5</v>
      </c>
      <c r="I101" s="12">
        <f>J94</f>
        <v>100.00533333333334</v>
      </c>
      <c r="J101" s="12">
        <f>H101%*I101</f>
        <v>5.0002666666666675</v>
      </c>
      <c r="N101" s="2"/>
    </row>
    <row r="102" spans="1:14">
      <c r="B102" t="s">
        <v>1093</v>
      </c>
      <c r="F102" s="8" t="s">
        <v>337</v>
      </c>
      <c r="G102" s="9">
        <v>0.5</v>
      </c>
      <c r="H102" s="10">
        <f>G102*8/$D$88</f>
        <v>0.66666666666666663</v>
      </c>
      <c r="I102">
        <v>28.94</v>
      </c>
      <c r="J102" s="12">
        <f>H102*I102</f>
        <v>19.293333333333333</v>
      </c>
      <c r="N102" s="2"/>
    </row>
    <row r="103" spans="1:14">
      <c r="A103" s="14"/>
      <c r="B103" s="14"/>
      <c r="C103" s="14"/>
      <c r="D103" s="14"/>
      <c r="E103" s="14"/>
      <c r="F103" s="14"/>
      <c r="G103" s="14"/>
      <c r="H103" s="14"/>
      <c r="I103" s="15"/>
      <c r="J103" s="16">
        <f>SUM(J101)</f>
        <v>5.0002666666666675</v>
      </c>
      <c r="N103" s="2"/>
    </row>
    <row r="104" spans="1:14">
      <c r="I104" s="2"/>
      <c r="J104" s="6"/>
    </row>
    <row r="105" spans="1:14">
      <c r="A105" s="2" t="s">
        <v>277</v>
      </c>
      <c r="B105" s="2" t="str">
        <f>ELECTRICAS!A11</f>
        <v>05.02.03</v>
      </c>
      <c r="C105" s="2" t="s">
        <v>1094</v>
      </c>
      <c r="D105" s="2"/>
    </row>
    <row r="106" spans="1:14">
      <c r="A106" s="2" t="s">
        <v>278</v>
      </c>
      <c r="B106" s="2" t="s">
        <v>413</v>
      </c>
      <c r="C106" s="4" t="s">
        <v>280</v>
      </c>
      <c r="D106" s="5">
        <v>1</v>
      </c>
      <c r="E106" s="4" t="s">
        <v>281</v>
      </c>
      <c r="F106" s="5">
        <f>D106</f>
        <v>1</v>
      </c>
      <c r="G106" s="2" t="s">
        <v>282</v>
      </c>
      <c r="I106" s="4" t="s">
        <v>214</v>
      </c>
      <c r="J106" s="6">
        <f>+J110</f>
        <v>143.11000000000001</v>
      </c>
    </row>
    <row r="107" spans="1:14">
      <c r="A107" s="2" t="s">
        <v>283</v>
      </c>
      <c r="B107" s="2" t="s">
        <v>284</v>
      </c>
      <c r="F107" s="4" t="s">
        <v>122</v>
      </c>
      <c r="G107" s="4" t="s">
        <v>285</v>
      </c>
      <c r="H107" s="4" t="s">
        <v>286</v>
      </c>
      <c r="I107" s="4" t="s">
        <v>287</v>
      </c>
      <c r="J107" s="4" t="s">
        <v>288</v>
      </c>
    </row>
    <row r="108" spans="1:14">
      <c r="B108" s="7" t="s">
        <v>653</v>
      </c>
    </row>
    <row r="109" spans="1:14">
      <c r="B109" t="s">
        <v>1095</v>
      </c>
      <c r="F109" s="8" t="s">
        <v>214</v>
      </c>
      <c r="G109" s="9"/>
      <c r="H109" s="10">
        <v>1</v>
      </c>
      <c r="I109">
        <v>143.11000000000001</v>
      </c>
      <c r="J109" s="12">
        <f>H109*I109</f>
        <v>143.11000000000001</v>
      </c>
    </row>
    <row r="110" spans="1:14">
      <c r="A110" s="14"/>
      <c r="B110" s="14"/>
      <c r="C110" s="14"/>
      <c r="D110" s="14"/>
      <c r="E110" s="14"/>
      <c r="F110" s="44"/>
      <c r="G110" s="45"/>
      <c r="H110" s="46"/>
      <c r="I110" s="14"/>
      <c r="J110" s="16">
        <f>SUM(J109:J109)</f>
        <v>143.11000000000001</v>
      </c>
    </row>
    <row r="111" spans="1:14">
      <c r="I111" s="2"/>
      <c r="J111" s="6"/>
    </row>
    <row r="112" spans="1:14">
      <c r="I112" s="2"/>
      <c r="J112" s="6"/>
    </row>
    <row r="113" spans="1:10">
      <c r="A113" s="2" t="s">
        <v>277</v>
      </c>
      <c r="B113" s="2" t="str">
        <f>ELECTRICAS!A12</f>
        <v>05.02.04</v>
      </c>
      <c r="C113" s="2" t="s">
        <v>1096</v>
      </c>
      <c r="D113" s="2"/>
    </row>
    <row r="114" spans="1:10">
      <c r="A114" s="2" t="s">
        <v>278</v>
      </c>
      <c r="B114" s="2" t="s">
        <v>325</v>
      </c>
      <c r="C114" s="4" t="s">
        <v>280</v>
      </c>
      <c r="D114" s="5">
        <v>5</v>
      </c>
      <c r="E114" s="4" t="s">
        <v>281</v>
      </c>
      <c r="F114" s="5">
        <f>D114</f>
        <v>5</v>
      </c>
      <c r="G114" s="2" t="s">
        <v>282</v>
      </c>
      <c r="I114" s="4" t="s">
        <v>149</v>
      </c>
      <c r="J114" s="6">
        <f>+J119+J127+J130</f>
        <v>86.816140000000019</v>
      </c>
    </row>
    <row r="115" spans="1:10">
      <c r="A115" s="2" t="s">
        <v>283</v>
      </c>
      <c r="B115" s="2" t="s">
        <v>284</v>
      </c>
      <c r="F115" s="4" t="s">
        <v>122</v>
      </c>
      <c r="G115" s="4" t="s">
        <v>285</v>
      </c>
      <c r="H115" s="4" t="s">
        <v>286</v>
      </c>
      <c r="I115" s="4" t="s">
        <v>287</v>
      </c>
      <c r="J115" s="4" t="s">
        <v>288</v>
      </c>
    </row>
    <row r="116" spans="1:10">
      <c r="B116" s="7" t="s">
        <v>289</v>
      </c>
    </row>
    <row r="117" spans="1:10">
      <c r="B117" t="s">
        <v>404</v>
      </c>
      <c r="F117" s="8" t="s">
        <v>291</v>
      </c>
      <c r="G117" s="9">
        <v>1.1000000000000001</v>
      </c>
      <c r="H117" s="10">
        <f>G117*8/$D$114</f>
        <v>1.7600000000000002</v>
      </c>
      <c r="I117">
        <v>28.94</v>
      </c>
      <c r="J117" s="12">
        <f>H117*I117</f>
        <v>50.934400000000011</v>
      </c>
    </row>
    <row r="118" spans="1:10">
      <c r="B118" t="s">
        <v>293</v>
      </c>
      <c r="F118" s="8" t="s">
        <v>291</v>
      </c>
      <c r="G118" s="9">
        <v>0.5</v>
      </c>
      <c r="H118" s="10">
        <f>G118*8/$D$114</f>
        <v>0.8</v>
      </c>
      <c r="I118">
        <v>20.51</v>
      </c>
      <c r="J118" s="12">
        <f>H118*I118</f>
        <v>16.408000000000001</v>
      </c>
    </row>
    <row r="119" spans="1:10">
      <c r="J119" s="6">
        <f>SUM(J117:J118)</f>
        <v>67.342400000000012</v>
      </c>
    </row>
    <row r="120" spans="1:10">
      <c r="B120" s="7" t="s">
        <v>653</v>
      </c>
      <c r="F120" s="8"/>
      <c r="G120" s="9"/>
      <c r="H120" s="10"/>
      <c r="J120" s="12"/>
    </row>
    <row r="121" spans="1:10">
      <c r="B121" t="s">
        <v>1097</v>
      </c>
      <c r="F121" s="8" t="s">
        <v>330</v>
      </c>
      <c r="G121" s="9"/>
      <c r="H121" s="10">
        <v>1</v>
      </c>
      <c r="I121">
        <v>5</v>
      </c>
      <c r="J121" s="12">
        <f>H121*I121</f>
        <v>5</v>
      </c>
    </row>
    <row r="122" spans="1:10">
      <c r="B122" t="s">
        <v>1079</v>
      </c>
      <c r="F122" s="8" t="s">
        <v>149</v>
      </c>
      <c r="H122" s="10">
        <v>0.15</v>
      </c>
      <c r="I122">
        <v>4.66</v>
      </c>
      <c r="J122" s="12">
        <f>H122*I122</f>
        <v>0.69899999999999995</v>
      </c>
    </row>
    <row r="123" spans="1:10">
      <c r="B123" t="s">
        <v>1023</v>
      </c>
      <c r="F123" s="8" t="s">
        <v>439</v>
      </c>
      <c r="H123" s="10">
        <v>7.0000000000000001E-3</v>
      </c>
      <c r="I123">
        <v>189.66</v>
      </c>
      <c r="J123" s="12">
        <f>H123*I123</f>
        <v>1.32762</v>
      </c>
    </row>
    <row r="124" spans="1:10">
      <c r="B124" t="s">
        <v>1098</v>
      </c>
      <c r="F124" s="8" t="s">
        <v>144</v>
      </c>
      <c r="G124" s="9"/>
      <c r="H124" s="10">
        <v>2.5</v>
      </c>
      <c r="I124">
        <v>2.74</v>
      </c>
      <c r="J124" s="12">
        <f>H124*I124</f>
        <v>6.8500000000000005</v>
      </c>
    </row>
    <row r="125" spans="1:10">
      <c r="B125" t="s">
        <v>1099</v>
      </c>
      <c r="F125" s="8" t="s">
        <v>330</v>
      </c>
      <c r="G125" s="9"/>
      <c r="H125" s="10">
        <v>1</v>
      </c>
      <c r="I125">
        <v>1.69</v>
      </c>
      <c r="J125" s="12">
        <f>H125*I125</f>
        <v>1.69</v>
      </c>
    </row>
    <row r="126" spans="1:10">
      <c r="B126" t="s">
        <v>1100</v>
      </c>
      <c r="F126" s="8" t="s">
        <v>330</v>
      </c>
      <c r="G126" s="9"/>
      <c r="H126" s="10">
        <v>1</v>
      </c>
      <c r="I126">
        <v>0.54</v>
      </c>
      <c r="J126" s="12">
        <f>H126*I126</f>
        <v>0.54</v>
      </c>
    </row>
    <row r="127" spans="1:10">
      <c r="F127" s="8"/>
      <c r="J127" s="6">
        <f>SUM(J121:J126)</f>
        <v>16.106619999999999</v>
      </c>
    </row>
    <row r="128" spans="1:10">
      <c r="B128" s="7" t="s">
        <v>309</v>
      </c>
    </row>
    <row r="129" spans="1:14">
      <c r="B129" t="s">
        <v>310</v>
      </c>
      <c r="F129" s="8" t="s">
        <v>311</v>
      </c>
      <c r="H129" s="10">
        <v>5</v>
      </c>
      <c r="I129" s="12">
        <f>J119</f>
        <v>67.342400000000012</v>
      </c>
      <c r="J129" s="12">
        <f>H129%*I129</f>
        <v>3.3671200000000008</v>
      </c>
    </row>
    <row r="130" spans="1:14">
      <c r="A130" s="14"/>
      <c r="B130" s="14"/>
      <c r="C130" s="14"/>
      <c r="D130" s="14"/>
      <c r="E130" s="14"/>
      <c r="F130" s="14"/>
      <c r="G130" s="14"/>
      <c r="H130" s="14"/>
      <c r="I130" s="15"/>
      <c r="J130" s="16">
        <f>SUM(J129)</f>
        <v>3.3671200000000008</v>
      </c>
    </row>
    <row r="132" spans="1:14">
      <c r="A132" s="2" t="s">
        <v>277</v>
      </c>
      <c r="B132" s="2" t="str">
        <f>ELECTRICAS!A13</f>
        <v>05.02.05</v>
      </c>
      <c r="C132" s="2" t="s">
        <v>1071</v>
      </c>
      <c r="D132" s="2"/>
    </row>
    <row r="133" spans="1:14">
      <c r="A133" s="2" t="s">
        <v>278</v>
      </c>
      <c r="B133" s="2" t="s">
        <v>331</v>
      </c>
      <c r="C133" s="4" t="s">
        <v>280</v>
      </c>
      <c r="D133" s="5">
        <v>1</v>
      </c>
      <c r="E133" s="4" t="s">
        <v>281</v>
      </c>
      <c r="F133" s="5">
        <f>D133</f>
        <v>1</v>
      </c>
      <c r="G133" s="2" t="s">
        <v>282</v>
      </c>
      <c r="I133" s="4" t="s">
        <v>154</v>
      </c>
      <c r="J133" s="6">
        <f>+J137</f>
        <v>87.34</v>
      </c>
    </row>
    <row r="134" spans="1:14">
      <c r="A134" s="2" t="s">
        <v>283</v>
      </c>
      <c r="B134" s="2" t="s">
        <v>284</v>
      </c>
      <c r="F134" s="4" t="s">
        <v>122</v>
      </c>
      <c r="G134" s="4" t="s">
        <v>285</v>
      </c>
      <c r="H134" s="4" t="s">
        <v>286</v>
      </c>
      <c r="I134" s="4" t="s">
        <v>287</v>
      </c>
      <c r="J134" s="4" t="s">
        <v>288</v>
      </c>
    </row>
    <row r="135" spans="1:14">
      <c r="B135" s="7" t="s">
        <v>653</v>
      </c>
      <c r="N135" s="2"/>
    </row>
    <row r="136" spans="1:14">
      <c r="B136" t="s">
        <v>1071</v>
      </c>
      <c r="F136" s="8" t="s">
        <v>154</v>
      </c>
      <c r="G136" s="9"/>
      <c r="H136" s="10">
        <v>1</v>
      </c>
      <c r="I136">
        <v>87.34</v>
      </c>
      <c r="J136" s="12">
        <f>H136*I136</f>
        <v>87.34</v>
      </c>
      <c r="N136" s="2"/>
    </row>
    <row r="137" spans="1:14">
      <c r="A137" s="14"/>
      <c r="B137" s="14"/>
      <c r="C137" s="14"/>
      <c r="D137" s="14"/>
      <c r="E137" s="14"/>
      <c r="F137" s="44"/>
      <c r="G137" s="45"/>
      <c r="H137" s="46"/>
      <c r="I137" s="14"/>
      <c r="J137" s="16">
        <f>SUM(J136:J136)</f>
        <v>87.34</v>
      </c>
      <c r="N137" s="2"/>
    </row>
    <row r="138" spans="1:14">
      <c r="M138" s="2"/>
      <c r="N138" s="2"/>
    </row>
    <row r="139" spans="1:14">
      <c r="A139" s="2" t="s">
        <v>277</v>
      </c>
      <c r="B139" s="2" t="str">
        <f>ELECTRICAS!A14</f>
        <v>05.02.06</v>
      </c>
      <c r="C139" s="2" t="s">
        <v>1073</v>
      </c>
      <c r="D139" s="2"/>
      <c r="M139" s="2"/>
      <c r="N139" s="2"/>
    </row>
    <row r="140" spans="1:14">
      <c r="A140" s="2" t="s">
        <v>278</v>
      </c>
      <c r="B140" s="2" t="s">
        <v>331</v>
      </c>
      <c r="C140" s="4" t="s">
        <v>280</v>
      </c>
      <c r="D140" s="5">
        <v>1</v>
      </c>
      <c r="E140" s="4" t="s">
        <v>281</v>
      </c>
      <c r="F140" s="5">
        <f>D140</f>
        <v>1</v>
      </c>
      <c r="G140" s="2" t="s">
        <v>282</v>
      </c>
      <c r="I140" s="4" t="s">
        <v>154</v>
      </c>
      <c r="J140" s="6">
        <f>+J144</f>
        <v>7.34</v>
      </c>
      <c r="M140" s="2"/>
      <c r="N140" s="2"/>
    </row>
    <row r="141" spans="1:14">
      <c r="A141" s="2" t="s">
        <v>283</v>
      </c>
      <c r="B141" s="2" t="s">
        <v>284</v>
      </c>
      <c r="F141" s="4" t="s">
        <v>122</v>
      </c>
      <c r="G141" s="4" t="s">
        <v>285</v>
      </c>
      <c r="H141" s="4" t="s">
        <v>286</v>
      </c>
      <c r="I141" s="4" t="s">
        <v>287</v>
      </c>
      <c r="J141" s="4" t="s">
        <v>288</v>
      </c>
      <c r="M141" s="2"/>
      <c r="N141" s="2"/>
    </row>
    <row r="142" spans="1:14">
      <c r="B142" s="7" t="s">
        <v>653</v>
      </c>
      <c r="M142" s="2"/>
      <c r="N142" s="2"/>
    </row>
    <row r="143" spans="1:14">
      <c r="B143" t="s">
        <v>1073</v>
      </c>
      <c r="F143" s="8" t="s">
        <v>154</v>
      </c>
      <c r="G143" s="9"/>
      <c r="H143" s="10">
        <v>1</v>
      </c>
      <c r="I143">
        <v>7.34</v>
      </c>
      <c r="J143" s="12">
        <f>H143*I143</f>
        <v>7.34</v>
      </c>
      <c r="M143" s="2"/>
      <c r="N143" s="2"/>
    </row>
    <row r="144" spans="1:14">
      <c r="A144" s="14"/>
      <c r="B144" s="14"/>
      <c r="C144" s="14"/>
      <c r="D144" s="14"/>
      <c r="E144" s="14"/>
      <c r="F144" s="44"/>
      <c r="G144" s="45"/>
      <c r="H144" s="46"/>
      <c r="I144" s="14"/>
      <c r="J144" s="16">
        <f>SUM(J143:J143)</f>
        <v>7.34</v>
      </c>
    </row>
    <row r="146" spans="10:10">
      <c r="J146" s="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B4B15-4D3B-40EE-B3EA-C146CBC9139D}">
  <sheetPr>
    <tabColor rgb="FFFF0000"/>
  </sheetPr>
  <dimension ref="A1:P43"/>
  <sheetViews>
    <sheetView workbookViewId="0">
      <selection activeCell="K2" sqref="K2"/>
    </sheetView>
  </sheetViews>
  <sheetFormatPr defaultRowHeight="15"/>
  <cols>
    <col min="10" max="10" width="13.7109375" customWidth="1"/>
    <col min="11" max="11" width="13.5703125" customWidth="1"/>
    <col min="14" max="14" width="9.85546875" bestFit="1" customWidth="1"/>
  </cols>
  <sheetData>
    <row r="1" spans="1:16">
      <c r="G1" s="4" t="s">
        <v>122</v>
      </c>
      <c r="H1" s="4" t="s">
        <v>123</v>
      </c>
      <c r="I1" s="4" t="s">
        <v>124</v>
      </c>
      <c r="J1" s="4" t="s">
        <v>453</v>
      </c>
      <c r="K1" s="4" t="s">
        <v>454</v>
      </c>
    </row>
    <row r="2" spans="1:16">
      <c r="A2" s="2">
        <v>6</v>
      </c>
      <c r="B2" s="233" t="s">
        <v>1101</v>
      </c>
      <c r="J2" s="19"/>
      <c r="K2" s="236">
        <f>J3+J15+J31+J35+J38</f>
        <v>85215.955306666641</v>
      </c>
      <c r="O2" s="2"/>
      <c r="P2" s="2"/>
    </row>
    <row r="3" spans="1:16">
      <c r="A3" s="2">
        <v>6.01</v>
      </c>
      <c r="B3" s="67" t="s">
        <v>1102</v>
      </c>
      <c r="J3" s="235">
        <f>SUM(J4:J14)</f>
        <v>8206.6441599999998</v>
      </c>
      <c r="P3" s="2"/>
    </row>
    <row r="4" spans="1:16">
      <c r="A4" t="s">
        <v>1103</v>
      </c>
      <c r="B4" t="s">
        <v>1104</v>
      </c>
      <c r="G4" s="19" t="s">
        <v>149</v>
      </c>
      <c r="H4" s="12">
        <f>ROUNDUP(SUM(BIBLIOTECA:INGRESO!G72),0)</f>
        <v>7</v>
      </c>
      <c r="I4" s="61">
        <f>'APUS COMUNICACIONES'!J5</f>
        <v>279.85309999999998</v>
      </c>
      <c r="J4" s="29">
        <f>H4*I4</f>
        <v>1958.9716999999998</v>
      </c>
      <c r="L4" s="53"/>
      <c r="P4" s="2"/>
    </row>
    <row r="5" spans="1:16">
      <c r="A5" t="s">
        <v>1105</v>
      </c>
      <c r="B5" t="s">
        <v>1106</v>
      </c>
      <c r="G5" s="19" t="s">
        <v>149</v>
      </c>
      <c r="H5" s="12">
        <f>ROUNDUP(SUM(BIBLIOTECA:INGRESO!G73),0)</f>
        <v>4</v>
      </c>
      <c r="I5" s="61">
        <f>'APUS COMUNICACIONES'!J23</f>
        <v>95.843099999999993</v>
      </c>
      <c r="J5" s="29">
        <f>H5*I5</f>
        <v>383.37239999999997</v>
      </c>
      <c r="L5" s="53"/>
    </row>
    <row r="6" spans="1:16">
      <c r="A6" t="s">
        <v>1107</v>
      </c>
      <c r="B6" t="s">
        <v>1108</v>
      </c>
      <c r="G6" s="19" t="s">
        <v>149</v>
      </c>
      <c r="H6" s="12">
        <f>ROUNDUP(SUM(BIBLIOTECA:INGRESO!G74),0)</f>
        <v>7</v>
      </c>
      <c r="I6" s="12">
        <f>'APUS COMUNICACIONES'!J41</f>
        <v>95.843099999999993</v>
      </c>
      <c r="J6" s="29">
        <f>H6*I6</f>
        <v>670.90169999999989</v>
      </c>
      <c r="K6" s="61"/>
      <c r="L6" s="53"/>
    </row>
    <row r="7" spans="1:16">
      <c r="A7" t="s">
        <v>1109</v>
      </c>
      <c r="B7" t="s">
        <v>1110</v>
      </c>
      <c r="G7" s="19" t="s">
        <v>144</v>
      </c>
      <c r="H7" s="12">
        <f>ROUNDUP(SUM(BIBLIOTECA:INGRESO!G75),0)</f>
        <v>2</v>
      </c>
      <c r="I7" s="12">
        <f>'APUS COMUNICACIONES'!J59</f>
        <v>26.403334000000001</v>
      </c>
      <c r="J7" s="29">
        <f>H7*I7</f>
        <v>52.806668000000002</v>
      </c>
      <c r="K7" s="61"/>
      <c r="L7" s="53"/>
    </row>
    <row r="8" spans="1:16">
      <c r="A8" t="s">
        <v>1111</v>
      </c>
      <c r="B8" t="s">
        <v>1112</v>
      </c>
      <c r="G8" s="19" t="s">
        <v>144</v>
      </c>
      <c r="H8" s="12">
        <f>ROUNDUP(SUM(BIBLIOTECA:INGRESO!G76),0)</f>
        <v>36</v>
      </c>
      <c r="I8" s="12">
        <f>'APUS COMUNICACIONES'!J77</f>
        <v>25.004334</v>
      </c>
      <c r="J8" s="29">
        <f>H8*I8</f>
        <v>900.156024</v>
      </c>
      <c r="K8" s="61"/>
      <c r="L8" s="53"/>
    </row>
    <row r="9" spans="1:16">
      <c r="A9" t="s">
        <v>1113</v>
      </c>
      <c r="B9" t="s">
        <v>1114</v>
      </c>
      <c r="G9" s="19" t="s">
        <v>144</v>
      </c>
      <c r="H9" s="12">
        <f>ROUNDUP(SUM(BIBLIOTECA:INGRESO!G77),0)</f>
        <v>143</v>
      </c>
      <c r="I9" s="12">
        <f>'APUS COMUNICACIONES'!J95</f>
        <v>19.232787999999999</v>
      </c>
      <c r="J9" s="29">
        <f>H9*I9</f>
        <v>2750.2886840000001</v>
      </c>
      <c r="K9" s="61"/>
      <c r="L9" s="53"/>
    </row>
    <row r="10" spans="1:16">
      <c r="A10" t="s">
        <v>1115</v>
      </c>
      <c r="B10" t="s">
        <v>1116</v>
      </c>
      <c r="G10" s="19" t="s">
        <v>144</v>
      </c>
      <c r="H10" s="12">
        <f>ROUNDUP(SUM(BIBLIOTECA:INGRESO!G78),0)</f>
        <v>1</v>
      </c>
      <c r="I10" s="12">
        <f>'APUS COMUNICACIONES'!J113</f>
        <v>16.371788000000002</v>
      </c>
      <c r="J10" s="29">
        <f>H10*I10</f>
        <v>16.371788000000002</v>
      </c>
      <c r="K10" s="61"/>
      <c r="L10" s="53"/>
    </row>
    <row r="11" spans="1:16">
      <c r="A11" t="s">
        <v>1117</v>
      </c>
      <c r="B11" t="s">
        <v>1118</v>
      </c>
      <c r="G11" s="19" t="s">
        <v>149</v>
      </c>
      <c r="H11" s="12">
        <f>ROUNDUP(SUM(BIBLIOTECA:INGRESO!G79),0)</f>
        <v>4</v>
      </c>
      <c r="I11" s="12">
        <f>'APUS COMUNICACIONES'!J131</f>
        <v>62.670152000000002</v>
      </c>
      <c r="J11" s="29">
        <f>H11*I11</f>
        <v>250.68060800000001</v>
      </c>
      <c r="K11" s="61"/>
      <c r="L11" s="53"/>
    </row>
    <row r="12" spans="1:16">
      <c r="A12" t="s">
        <v>1119</v>
      </c>
      <c r="B12" t="s">
        <v>1120</v>
      </c>
      <c r="G12" s="19" t="s">
        <v>149</v>
      </c>
      <c r="H12" s="12">
        <f>ROUNDUP(SUM(BIBLIOTECA:INGRESO!G80),0)</f>
        <v>7</v>
      </c>
      <c r="I12" s="12">
        <f>'APUS COMUNICACIONES'!J146</f>
        <v>58.850152000000008</v>
      </c>
      <c r="J12" s="29">
        <f>H12*I12</f>
        <v>411.95106400000009</v>
      </c>
      <c r="K12" s="61"/>
      <c r="L12" s="53"/>
    </row>
    <row r="13" spans="1:16">
      <c r="A13" t="s">
        <v>1121</v>
      </c>
      <c r="B13" t="s">
        <v>1122</v>
      </c>
      <c r="G13" s="19" t="s">
        <v>149</v>
      </c>
      <c r="H13" s="12">
        <f>ROUNDUP(SUM(BIBLIOTECA:INGRESO!G81),0)</f>
        <v>2</v>
      </c>
      <c r="I13" s="12">
        <f>'APUS COMUNICACIONES'!J161</f>
        <v>57.88015200000001</v>
      </c>
      <c r="J13" s="29">
        <f>H13*I13</f>
        <v>115.76030400000002</v>
      </c>
      <c r="K13" s="61"/>
      <c r="L13" s="53"/>
    </row>
    <row r="14" spans="1:16">
      <c r="A14" t="s">
        <v>1123</v>
      </c>
      <c r="B14" t="s">
        <v>1124</v>
      </c>
      <c r="G14" s="19" t="s">
        <v>144</v>
      </c>
      <c r="H14" s="12">
        <f>ROUNDUP(SUM(BIBLIOTECA:INGRESO!G82),0)</f>
        <v>7</v>
      </c>
      <c r="I14" s="12">
        <f>'APUS COMUNICACIONES'!J176</f>
        <v>99.340459999999993</v>
      </c>
      <c r="J14" s="29">
        <f>H14*I14</f>
        <v>695.38321999999994</v>
      </c>
      <c r="K14" s="61"/>
      <c r="L14" s="53"/>
    </row>
    <row r="15" spans="1:16">
      <c r="A15" s="2">
        <v>6.02</v>
      </c>
      <c r="B15" s="67" t="s">
        <v>1125</v>
      </c>
      <c r="G15" s="19"/>
      <c r="H15" s="12"/>
      <c r="J15" s="235">
        <f>SUM(J16:J30)</f>
        <v>63059.331186666648</v>
      </c>
      <c r="L15" s="21"/>
    </row>
    <row r="16" spans="1:16">
      <c r="A16" t="s">
        <v>1126</v>
      </c>
      <c r="B16" t="s">
        <v>1127</v>
      </c>
      <c r="G16" s="19" t="s">
        <v>149</v>
      </c>
      <c r="H16" s="12">
        <v>1</v>
      </c>
      <c r="I16" s="12">
        <f>'APUS COMUNICACIONES'!J191</f>
        <v>2842.9762000000001</v>
      </c>
      <c r="J16" s="29">
        <f>H16*I16</f>
        <v>2842.9762000000001</v>
      </c>
      <c r="K16" s="12"/>
      <c r="L16" s="21"/>
      <c r="P16" s="2"/>
    </row>
    <row r="17" spans="1:16">
      <c r="A17" t="s">
        <v>1128</v>
      </c>
      <c r="B17" t="s">
        <v>1129</v>
      </c>
      <c r="G17" s="19" t="s">
        <v>149</v>
      </c>
      <c r="H17" s="12">
        <v>1</v>
      </c>
      <c r="I17" s="12">
        <f>'APUS COMUNICACIONES'!J205</f>
        <v>813.08619999999996</v>
      </c>
      <c r="J17" s="29">
        <f>H17*I17</f>
        <v>813.08619999999996</v>
      </c>
      <c r="K17" s="12"/>
      <c r="L17" s="21"/>
    </row>
    <row r="18" spans="1:16">
      <c r="A18" t="s">
        <v>1130</v>
      </c>
      <c r="B18" t="s">
        <v>1131</v>
      </c>
      <c r="G18" s="19" t="s">
        <v>149</v>
      </c>
      <c r="H18" s="12">
        <v>1</v>
      </c>
      <c r="I18" s="12">
        <f>'APUS COMUNICACIONES'!J219</f>
        <v>2276.0061999999998</v>
      </c>
      <c r="J18" s="29">
        <f>H18*I18</f>
        <v>2276.0061999999998</v>
      </c>
      <c r="K18" s="12"/>
      <c r="L18" s="21"/>
    </row>
    <row r="19" spans="1:16">
      <c r="A19" t="s">
        <v>1132</v>
      </c>
      <c r="B19" t="s">
        <v>1133</v>
      </c>
      <c r="G19" s="19" t="s">
        <v>149</v>
      </c>
      <c r="H19" s="12">
        <v>1</v>
      </c>
      <c r="I19" s="12">
        <f>'APUS COMUNICACIONES'!J233</f>
        <v>460.53620000000001</v>
      </c>
      <c r="J19" s="29">
        <f>H19*I19</f>
        <v>460.53620000000001</v>
      </c>
      <c r="K19" s="12"/>
      <c r="L19" s="21"/>
    </row>
    <row r="20" spans="1:16">
      <c r="A20" t="s">
        <v>1134</v>
      </c>
      <c r="B20" t="s">
        <v>1135</v>
      </c>
      <c r="G20" s="19" t="s">
        <v>149</v>
      </c>
      <c r="H20" s="12">
        <v>1</v>
      </c>
      <c r="I20" s="12">
        <f>'APUS COMUNICACIONES'!J247</f>
        <v>15436.004933333332</v>
      </c>
      <c r="J20" s="29">
        <f>H20*I20</f>
        <v>15436.004933333332</v>
      </c>
      <c r="K20" s="12"/>
      <c r="L20" s="21"/>
    </row>
    <row r="21" spans="1:16">
      <c r="A21" t="s">
        <v>1136</v>
      </c>
      <c r="B21" t="s">
        <v>1137</v>
      </c>
      <c r="G21" s="19" t="s">
        <v>149</v>
      </c>
      <c r="H21" s="12">
        <v>1</v>
      </c>
      <c r="I21" s="12">
        <f>'APUS COMUNICACIONES'!J261</f>
        <v>14367.004933333332</v>
      </c>
      <c r="J21" s="29">
        <f>H21*I21</f>
        <v>14367.004933333332</v>
      </c>
      <c r="K21" s="12"/>
      <c r="L21" s="21"/>
    </row>
    <row r="22" spans="1:16">
      <c r="A22" t="s">
        <v>1138</v>
      </c>
      <c r="B22" t="s">
        <v>1139</v>
      </c>
      <c r="G22" s="19" t="s">
        <v>149</v>
      </c>
      <c r="H22" s="12">
        <v>1</v>
      </c>
      <c r="I22" s="12">
        <f>'APUS COMUNICACIONES'!J275</f>
        <v>1343.8062</v>
      </c>
      <c r="J22" s="29">
        <f>H22*I22</f>
        <v>1343.8062</v>
      </c>
      <c r="K22" s="12"/>
      <c r="L22" s="21"/>
    </row>
    <row r="23" spans="1:16">
      <c r="A23" t="s">
        <v>1140</v>
      </c>
      <c r="B23" t="s">
        <v>1141</v>
      </c>
      <c r="G23" s="19" t="s">
        <v>149</v>
      </c>
      <c r="H23" s="12">
        <v>1</v>
      </c>
      <c r="I23" s="12">
        <f>'APUS COMUNICACIONES'!J289</f>
        <v>456.63620000000003</v>
      </c>
      <c r="J23" s="29">
        <f>H23*I23</f>
        <v>456.63620000000003</v>
      </c>
      <c r="K23" s="12"/>
      <c r="L23" s="21"/>
    </row>
    <row r="24" spans="1:16">
      <c r="A24" t="s">
        <v>1142</v>
      </c>
      <c r="B24" t="s">
        <v>1143</v>
      </c>
      <c r="G24" s="19" t="s">
        <v>149</v>
      </c>
      <c r="H24" s="12">
        <v>1</v>
      </c>
      <c r="I24" s="12">
        <f>'APUS COMUNICACIONES'!J303</f>
        <v>168.55619999999999</v>
      </c>
      <c r="J24" s="29">
        <f>H24*I24</f>
        <v>168.55619999999999</v>
      </c>
      <c r="K24" s="12"/>
      <c r="L24" s="21"/>
    </row>
    <row r="25" spans="1:16">
      <c r="A25" t="s">
        <v>1144</v>
      </c>
      <c r="B25" t="s">
        <v>1145</v>
      </c>
      <c r="G25" s="19" t="s">
        <v>149</v>
      </c>
      <c r="H25" s="12">
        <v>1</v>
      </c>
      <c r="I25" s="12">
        <f>'APUS COMUNICACIONES'!J318</f>
        <v>123.63751999999999</v>
      </c>
      <c r="J25" s="29">
        <f>H25*I25</f>
        <v>123.63751999999999</v>
      </c>
      <c r="K25" s="12"/>
      <c r="L25" s="21"/>
    </row>
    <row r="26" spans="1:16">
      <c r="A26" t="s">
        <v>1146</v>
      </c>
      <c r="B26" t="s">
        <v>1147</v>
      </c>
      <c r="G26" s="19" t="s">
        <v>149</v>
      </c>
      <c r="H26" s="12">
        <v>1</v>
      </c>
      <c r="I26" s="12">
        <f>'APUS COMUNICACIONES'!J333</f>
        <v>128.02940000000001</v>
      </c>
      <c r="J26" s="29">
        <f>H26*I26</f>
        <v>128.02940000000001</v>
      </c>
      <c r="K26" s="12"/>
      <c r="L26" s="21"/>
    </row>
    <row r="27" spans="1:16">
      <c r="A27" t="s">
        <v>1148</v>
      </c>
      <c r="B27" t="s">
        <v>1143</v>
      </c>
      <c r="G27" s="19" t="s">
        <v>149</v>
      </c>
      <c r="H27" s="12">
        <v>1</v>
      </c>
      <c r="I27" s="12">
        <f>'APUS COMUNICACIONES'!J348</f>
        <v>147.2294</v>
      </c>
      <c r="J27" s="29">
        <f>H27*I27</f>
        <v>147.2294</v>
      </c>
      <c r="K27" s="12"/>
      <c r="L27" s="21"/>
    </row>
    <row r="28" spans="1:16">
      <c r="A28" t="s">
        <v>1149</v>
      </c>
      <c r="B28" t="s">
        <v>1150</v>
      </c>
      <c r="G28" s="19" t="s">
        <v>149</v>
      </c>
      <c r="H28" s="12">
        <v>1</v>
      </c>
      <c r="I28" s="12">
        <f>'APUS COMUNICACIONES'!J363</f>
        <v>6299.9951999999994</v>
      </c>
      <c r="J28" s="29">
        <f>H28*I28</f>
        <v>6299.9951999999994</v>
      </c>
      <c r="K28" s="12"/>
      <c r="L28" s="21"/>
    </row>
    <row r="29" spans="1:16">
      <c r="A29" t="s">
        <v>1151</v>
      </c>
      <c r="B29" t="s">
        <v>1152</v>
      </c>
      <c r="G29" s="19" t="s">
        <v>149</v>
      </c>
      <c r="H29" s="12">
        <v>1</v>
      </c>
      <c r="I29" s="12">
        <f>'APUS COMUNICACIONES'!J377</f>
        <v>8658.3952000000008</v>
      </c>
      <c r="J29" s="29">
        <f>H29*I29</f>
        <v>8658.3952000000008</v>
      </c>
      <c r="K29" s="12"/>
      <c r="L29" s="21"/>
    </row>
    <row r="30" spans="1:16">
      <c r="A30" t="s">
        <v>1153</v>
      </c>
      <c r="B30" t="s">
        <v>1154</v>
      </c>
      <c r="G30" s="19" t="s">
        <v>149</v>
      </c>
      <c r="H30" s="12">
        <v>1</v>
      </c>
      <c r="I30" s="12">
        <f>'APUS COMUNICACIONES'!J391</f>
        <v>9537.4312000000009</v>
      </c>
      <c r="J30" s="29">
        <f>H30*I30</f>
        <v>9537.4312000000009</v>
      </c>
      <c r="K30" s="12"/>
      <c r="L30" s="21"/>
    </row>
    <row r="31" spans="1:16">
      <c r="A31" s="2">
        <v>6.03</v>
      </c>
      <c r="B31" s="67" t="s">
        <v>1155</v>
      </c>
      <c r="G31" s="19"/>
      <c r="H31" s="12"/>
      <c r="J31" s="235">
        <f>SUM(J32:J34)</f>
        <v>10670.675999999999</v>
      </c>
      <c r="L31" s="21"/>
    </row>
    <row r="32" spans="1:16">
      <c r="A32" t="s">
        <v>1156</v>
      </c>
      <c r="B32" t="s">
        <v>1157</v>
      </c>
      <c r="G32" s="19" t="s">
        <v>149</v>
      </c>
      <c r="H32" s="12">
        <v>1</v>
      </c>
      <c r="I32" s="12">
        <f>'APUS COMUNICACIONES'!J408</f>
        <v>8361.6008000000002</v>
      </c>
      <c r="J32" s="29">
        <f>H32*I32</f>
        <v>8361.6008000000002</v>
      </c>
      <c r="K32" s="12"/>
      <c r="L32" s="21"/>
      <c r="P32" s="2"/>
    </row>
    <row r="33" spans="1:16">
      <c r="A33" t="s">
        <v>1158</v>
      </c>
      <c r="B33" t="s">
        <v>1159</v>
      </c>
      <c r="G33" s="19" t="s">
        <v>149</v>
      </c>
      <c r="H33" s="12">
        <f>ROUNDUP(SUM(BIBLIOTECA:INGRESO!G85),0)</f>
        <v>2</v>
      </c>
      <c r="I33" s="12">
        <f>'APUS COMUNICACIONES'!J422</f>
        <v>633.69880000000001</v>
      </c>
      <c r="J33" s="29">
        <f>H33*I33</f>
        <v>1267.3976</v>
      </c>
      <c r="K33" s="12"/>
      <c r="L33" s="21"/>
    </row>
    <row r="34" spans="1:16">
      <c r="A34" t="s">
        <v>1160</v>
      </c>
      <c r="B34" t="s">
        <v>1161</v>
      </c>
      <c r="G34" s="19" t="s">
        <v>149</v>
      </c>
      <c r="H34" s="12">
        <f>ROUNDUP(SUM(BIBLIOTECA:INGRESO!G86),0)</f>
        <v>2</v>
      </c>
      <c r="I34" s="12">
        <f>'APUS COMUNICACIONES'!J440</f>
        <v>520.83879999999999</v>
      </c>
      <c r="J34" s="29">
        <f>H34*I34</f>
        <v>1041.6776</v>
      </c>
      <c r="K34" s="12"/>
      <c r="L34" s="21"/>
    </row>
    <row r="35" spans="1:16">
      <c r="A35" s="2">
        <v>6.04</v>
      </c>
      <c r="B35" s="67" t="s">
        <v>1162</v>
      </c>
      <c r="G35" s="19"/>
      <c r="H35" s="12"/>
      <c r="J35" s="235">
        <f>SUM(J36:J37)</f>
        <v>2001.1803999999997</v>
      </c>
      <c r="L35" s="21"/>
    </row>
    <row r="36" spans="1:16">
      <c r="A36" t="s">
        <v>1163</v>
      </c>
      <c r="B36" t="s">
        <v>1164</v>
      </c>
      <c r="G36" s="19" t="s">
        <v>149</v>
      </c>
      <c r="H36" s="12">
        <v>1</v>
      </c>
      <c r="I36" s="12">
        <f>'APUS COMUNICACIONES'!J455</f>
        <v>530.50519999999995</v>
      </c>
      <c r="J36" s="29">
        <f>H36*I36</f>
        <v>530.50519999999995</v>
      </c>
      <c r="K36" s="12"/>
      <c r="L36" s="21"/>
      <c r="P36" s="2"/>
    </row>
    <row r="37" spans="1:16">
      <c r="A37" t="s">
        <v>1165</v>
      </c>
      <c r="B37" t="s">
        <v>1166</v>
      </c>
      <c r="G37" s="19" t="s">
        <v>149</v>
      </c>
      <c r="H37" s="12">
        <f>ROUNDUP(SUM(BIBLIOTECA:INGRESO!G88),0)</f>
        <v>4</v>
      </c>
      <c r="I37" s="12">
        <f>'APUS COMUNICACIONES'!J469</f>
        <v>367.66879999999998</v>
      </c>
      <c r="J37" s="29">
        <f>H37*I37</f>
        <v>1470.6751999999999</v>
      </c>
      <c r="K37" s="12"/>
      <c r="L37" s="21"/>
    </row>
    <row r="38" spans="1:16">
      <c r="A38" s="2">
        <v>6.05</v>
      </c>
      <c r="B38" s="67" t="s">
        <v>1167</v>
      </c>
      <c r="G38" s="19"/>
      <c r="H38" s="12"/>
      <c r="J38" s="235">
        <f>SUM(J39:J41)</f>
        <v>1278.12356</v>
      </c>
      <c r="L38" s="21"/>
    </row>
    <row r="39" spans="1:16">
      <c r="A39" t="s">
        <v>1168</v>
      </c>
      <c r="B39" t="s">
        <v>1169</v>
      </c>
      <c r="G39" s="19" t="s">
        <v>149</v>
      </c>
      <c r="H39" s="12">
        <v>1</v>
      </c>
      <c r="I39" s="12">
        <f>'APUS COMUNICACIONES'!J484</f>
        <v>957.17399999999998</v>
      </c>
      <c r="J39" s="29">
        <f>H39*I39</f>
        <v>957.17399999999998</v>
      </c>
      <c r="K39" s="12"/>
      <c r="L39" s="21"/>
      <c r="P39" s="2"/>
    </row>
    <row r="40" spans="1:16">
      <c r="A40" t="s">
        <v>1170</v>
      </c>
      <c r="B40" t="s">
        <v>1171</v>
      </c>
      <c r="G40" s="19" t="s">
        <v>149</v>
      </c>
      <c r="H40" s="12">
        <f>ROUNDUP(SUM(BIBLIOTECA:INGRESO!G90),0)</f>
        <v>2</v>
      </c>
      <c r="I40" s="12">
        <f>'APUS COMUNICACIONES'!J497</f>
        <v>96.144090000000006</v>
      </c>
      <c r="J40" s="29">
        <f>H40*I40</f>
        <v>192.28818000000001</v>
      </c>
      <c r="K40" s="12"/>
      <c r="L40" s="21"/>
    </row>
    <row r="41" spans="1:16">
      <c r="A41" t="s">
        <v>1172</v>
      </c>
      <c r="B41" t="s">
        <v>1173</v>
      </c>
      <c r="G41" s="19" t="s">
        <v>149</v>
      </c>
      <c r="H41" s="12">
        <f>ROUNDUP(SUM(BIBLIOTECA:INGRESO!G91),0)</f>
        <v>2</v>
      </c>
      <c r="I41" s="12">
        <f>'APUS COMUNICACIONES'!J513</f>
        <v>64.330690000000004</v>
      </c>
      <c r="J41" s="29">
        <f>H41*I41</f>
        <v>128.66138000000001</v>
      </c>
      <c r="K41" s="12"/>
      <c r="L41" s="21"/>
    </row>
    <row r="42" spans="1:16">
      <c r="G42" s="19"/>
    </row>
    <row r="43" spans="1:16">
      <c r="G43" s="1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9A950-7644-47C5-B948-2762A623E946}">
  <sheetPr>
    <tabColor rgb="FFFF0000"/>
  </sheetPr>
  <dimension ref="A4:O529"/>
  <sheetViews>
    <sheetView topLeftCell="A509" workbookViewId="0">
      <selection activeCell="J509" sqref="J509"/>
    </sheetView>
  </sheetViews>
  <sheetFormatPr defaultRowHeight="15"/>
  <cols>
    <col min="9" max="9" width="9.28515625" bestFit="1" customWidth="1"/>
    <col min="10" max="15" width="9.140625" bestFit="1" customWidth="1"/>
    <col min="16" max="17" width="10.85546875" bestFit="1" customWidth="1"/>
  </cols>
  <sheetData>
    <row r="4" spans="1:10">
      <c r="A4" s="2" t="s">
        <v>277</v>
      </c>
      <c r="B4" s="2" t="str">
        <f>COMUNICACIONES!A4</f>
        <v>06.01.01</v>
      </c>
      <c r="C4" s="2" t="s">
        <v>1104</v>
      </c>
      <c r="D4" s="2"/>
    </row>
    <row r="5" spans="1:10">
      <c r="A5" s="2" t="s">
        <v>278</v>
      </c>
      <c r="B5" s="2" t="s">
        <v>325</v>
      </c>
      <c r="C5" s="4" t="s">
        <v>280</v>
      </c>
      <c r="D5" s="5">
        <v>8</v>
      </c>
      <c r="E5" s="4" t="s">
        <v>281</v>
      </c>
      <c r="F5" s="5">
        <f>D5</f>
        <v>8</v>
      </c>
      <c r="G5" s="2" t="s">
        <v>282</v>
      </c>
      <c r="I5" s="4" t="s">
        <v>149</v>
      </c>
      <c r="J5" s="6">
        <f>J10+J17+J20</f>
        <v>279.85309999999998</v>
      </c>
    </row>
    <row r="6" spans="1:10">
      <c r="A6" s="2" t="s">
        <v>283</v>
      </c>
      <c r="B6" s="2" t="s">
        <v>284</v>
      </c>
      <c r="F6" s="4" t="s">
        <v>122</v>
      </c>
      <c r="G6" s="4" t="s">
        <v>285</v>
      </c>
      <c r="H6" s="4" t="s">
        <v>286</v>
      </c>
      <c r="I6" s="4" t="s">
        <v>287</v>
      </c>
      <c r="J6" s="4" t="s">
        <v>288</v>
      </c>
    </row>
    <row r="7" spans="1:10">
      <c r="B7" s="7" t="s">
        <v>289</v>
      </c>
    </row>
    <row r="8" spans="1:10">
      <c r="B8" t="s">
        <v>679</v>
      </c>
      <c r="F8" s="8" t="s">
        <v>291</v>
      </c>
      <c r="G8" s="9">
        <v>1</v>
      </c>
      <c r="H8" s="10">
        <f>G8*8/$D$5</f>
        <v>1</v>
      </c>
      <c r="I8" s="12">
        <v>22.66</v>
      </c>
      <c r="J8" s="12">
        <f>H8*I8</f>
        <v>22.66</v>
      </c>
    </row>
    <row r="9" spans="1:10">
      <c r="B9" t="s">
        <v>1174</v>
      </c>
      <c r="F9" s="8" t="s">
        <v>291</v>
      </c>
      <c r="G9" s="9">
        <v>1</v>
      </c>
      <c r="H9" s="10">
        <f>G9*8/$D$5</f>
        <v>1</v>
      </c>
      <c r="I9">
        <v>26.11</v>
      </c>
      <c r="J9" s="12">
        <f>H9*I9</f>
        <v>26.11</v>
      </c>
    </row>
    <row r="10" spans="1:10">
      <c r="F10" s="8"/>
      <c r="G10" s="9"/>
      <c r="H10" s="10"/>
      <c r="J10" s="6">
        <f>SUM(J8:J9)</f>
        <v>48.769999999999996</v>
      </c>
    </row>
    <row r="11" spans="1:10">
      <c r="B11" s="7" t="s">
        <v>653</v>
      </c>
      <c r="F11" s="8"/>
      <c r="G11" s="9"/>
      <c r="H11" s="10"/>
      <c r="I11" s="10"/>
      <c r="J11" s="12"/>
    </row>
    <row r="12" spans="1:10">
      <c r="B12" t="s">
        <v>1175</v>
      </c>
      <c r="F12" s="8" t="s">
        <v>149</v>
      </c>
      <c r="H12" s="10">
        <v>2</v>
      </c>
      <c r="I12" s="12">
        <v>40</v>
      </c>
      <c r="J12" s="12">
        <f>H12*I12</f>
        <v>80</v>
      </c>
    </row>
    <row r="13" spans="1:10">
      <c r="B13" t="s">
        <v>1176</v>
      </c>
      <c r="F13" s="8" t="s">
        <v>149</v>
      </c>
      <c r="H13" s="10">
        <v>1</v>
      </c>
      <c r="I13" s="12">
        <v>7</v>
      </c>
      <c r="J13" s="12">
        <f>H13*I13</f>
        <v>7</v>
      </c>
    </row>
    <row r="14" spans="1:10">
      <c r="B14" t="s">
        <v>1177</v>
      </c>
      <c r="F14" s="8" t="s">
        <v>149</v>
      </c>
      <c r="H14" s="10">
        <v>1</v>
      </c>
      <c r="I14" s="12">
        <v>140</v>
      </c>
      <c r="J14" s="12">
        <f>H14*I14</f>
        <v>140</v>
      </c>
    </row>
    <row r="15" spans="1:10">
      <c r="B15" t="s">
        <v>1178</v>
      </c>
      <c r="F15" s="8" t="s">
        <v>149</v>
      </c>
      <c r="H15" s="10">
        <v>1</v>
      </c>
      <c r="I15" s="12">
        <v>0.93</v>
      </c>
      <c r="J15" s="12">
        <f>H15*I15</f>
        <v>0.93</v>
      </c>
    </row>
    <row r="16" spans="1:10">
      <c r="B16" t="s">
        <v>1179</v>
      </c>
      <c r="F16" s="8" t="s">
        <v>149</v>
      </c>
      <c r="H16" s="10">
        <v>1</v>
      </c>
      <c r="I16" s="12">
        <v>1.69</v>
      </c>
      <c r="J16" s="12">
        <f>H16*I16</f>
        <v>1.69</v>
      </c>
    </row>
    <row r="17" spans="1:10">
      <c r="J17" s="6">
        <f>SUM(J12:J16)</f>
        <v>229.62</v>
      </c>
    </row>
    <row r="18" spans="1:10">
      <c r="B18" s="7" t="s">
        <v>309</v>
      </c>
    </row>
    <row r="19" spans="1:10">
      <c r="B19" t="s">
        <v>310</v>
      </c>
      <c r="F19" s="8" t="s">
        <v>311</v>
      </c>
      <c r="H19" s="10">
        <v>3</v>
      </c>
      <c r="I19" s="12">
        <f>J10</f>
        <v>48.769999999999996</v>
      </c>
      <c r="J19" s="12">
        <f>H19%*I19</f>
        <v>1.4630999999999998</v>
      </c>
    </row>
    <row r="20" spans="1:10">
      <c r="A20" s="14"/>
      <c r="B20" s="14"/>
      <c r="C20" s="14"/>
      <c r="D20" s="14"/>
      <c r="E20" s="14"/>
      <c r="F20" s="14"/>
      <c r="G20" s="14"/>
      <c r="H20" s="14"/>
      <c r="I20" s="15"/>
      <c r="J20" s="16">
        <f>SUM(J19)</f>
        <v>1.4630999999999998</v>
      </c>
    </row>
    <row r="22" spans="1:10">
      <c r="A22" s="2" t="s">
        <v>277</v>
      </c>
      <c r="B22" s="2" t="str">
        <f>COMUNICACIONES!A5</f>
        <v>06.01.02</v>
      </c>
      <c r="C22" s="2" t="s">
        <v>1106</v>
      </c>
      <c r="D22" s="2"/>
    </row>
    <row r="23" spans="1:10">
      <c r="A23" s="2" t="s">
        <v>278</v>
      </c>
      <c r="B23" s="2" t="s">
        <v>325</v>
      </c>
      <c r="C23" s="4" t="s">
        <v>280</v>
      </c>
      <c r="D23" s="5">
        <v>8</v>
      </c>
      <c r="E23" s="4" t="s">
        <v>281</v>
      </c>
      <c r="F23" s="5">
        <f>D23</f>
        <v>8</v>
      </c>
      <c r="G23" s="2" t="s">
        <v>282</v>
      </c>
      <c r="I23" s="4" t="s">
        <v>149</v>
      </c>
      <c r="J23" s="6">
        <f>J28+J35+J38</f>
        <v>95.843099999999993</v>
      </c>
    </row>
    <row r="24" spans="1:10">
      <c r="A24" s="2" t="s">
        <v>283</v>
      </c>
      <c r="B24" s="2" t="s">
        <v>284</v>
      </c>
      <c r="F24" s="4" t="s">
        <v>122</v>
      </c>
      <c r="G24" s="4" t="s">
        <v>285</v>
      </c>
      <c r="H24" s="4" t="s">
        <v>286</v>
      </c>
      <c r="I24" s="4" t="s">
        <v>287</v>
      </c>
      <c r="J24" s="4" t="s">
        <v>288</v>
      </c>
    </row>
    <row r="25" spans="1:10">
      <c r="B25" s="7" t="s">
        <v>289</v>
      </c>
    </row>
    <row r="26" spans="1:10">
      <c r="B26" t="s">
        <v>679</v>
      </c>
      <c r="F26" s="8" t="s">
        <v>291</v>
      </c>
      <c r="G26" s="9">
        <v>1</v>
      </c>
      <c r="H26" s="10">
        <f>G26*8/$D$23</f>
        <v>1</v>
      </c>
      <c r="I26" s="12">
        <v>22.66</v>
      </c>
      <c r="J26" s="12">
        <f>H26*I26</f>
        <v>22.66</v>
      </c>
    </row>
    <row r="27" spans="1:10">
      <c r="B27" t="s">
        <v>1174</v>
      </c>
      <c r="F27" s="8" t="s">
        <v>291</v>
      </c>
      <c r="G27" s="9">
        <v>1</v>
      </c>
      <c r="H27" s="10">
        <f>G27*8/$D$23</f>
        <v>1</v>
      </c>
      <c r="I27">
        <v>26.11</v>
      </c>
      <c r="J27" s="12">
        <f>H27*I27</f>
        <v>26.11</v>
      </c>
    </row>
    <row r="28" spans="1:10">
      <c r="F28" s="8"/>
      <c r="G28" s="9"/>
      <c r="H28" s="10"/>
      <c r="J28" s="6">
        <f>SUM(J26:J27)</f>
        <v>48.769999999999996</v>
      </c>
    </row>
    <row r="29" spans="1:10">
      <c r="B29" s="7" t="s">
        <v>653</v>
      </c>
      <c r="F29" s="8"/>
      <c r="G29" s="9"/>
      <c r="H29" s="10"/>
      <c r="I29" s="10"/>
      <c r="J29" s="12"/>
    </row>
    <row r="30" spans="1:10">
      <c r="B30" t="s">
        <v>1180</v>
      </c>
      <c r="F30" s="8" t="s">
        <v>149</v>
      </c>
      <c r="H30" s="10">
        <v>2</v>
      </c>
      <c r="I30" s="12">
        <v>12.63</v>
      </c>
      <c r="J30" s="12">
        <f>H30*I30</f>
        <v>25.26</v>
      </c>
    </row>
    <row r="31" spans="1:10">
      <c r="B31" t="s">
        <v>1181</v>
      </c>
      <c r="F31" s="8" t="s">
        <v>149</v>
      </c>
      <c r="H31" s="10">
        <v>1</v>
      </c>
      <c r="I31" s="12">
        <v>3.73</v>
      </c>
      <c r="J31" s="12">
        <f>H31*I31</f>
        <v>3.73</v>
      </c>
    </row>
    <row r="32" spans="1:10">
      <c r="B32" t="s">
        <v>1178</v>
      </c>
      <c r="F32" s="8" t="s">
        <v>149</v>
      </c>
      <c r="H32" s="10">
        <v>1</v>
      </c>
      <c r="I32" s="12">
        <v>0.93</v>
      </c>
      <c r="J32" s="12">
        <f>H32*I32</f>
        <v>0.93</v>
      </c>
    </row>
    <row r="33" spans="1:15">
      <c r="B33" t="s">
        <v>1179</v>
      </c>
      <c r="F33" s="8" t="s">
        <v>149</v>
      </c>
      <c r="H33" s="10">
        <v>1</v>
      </c>
      <c r="I33" s="12">
        <v>1.69</v>
      </c>
      <c r="J33" s="12">
        <f>H33*I33</f>
        <v>1.69</v>
      </c>
    </row>
    <row r="34" spans="1:15">
      <c r="B34" t="s">
        <v>1182</v>
      </c>
      <c r="F34" s="8" t="s">
        <v>149</v>
      </c>
      <c r="H34" s="10">
        <v>1</v>
      </c>
      <c r="I34" s="12">
        <v>14</v>
      </c>
      <c r="J34" s="12">
        <f>H34*I34</f>
        <v>14</v>
      </c>
    </row>
    <row r="35" spans="1:15">
      <c r="J35" s="6">
        <f>SUM(J30:J34)</f>
        <v>45.61</v>
      </c>
    </row>
    <row r="36" spans="1:15">
      <c r="B36" s="7" t="s">
        <v>309</v>
      </c>
    </row>
    <row r="37" spans="1:15">
      <c r="B37" t="s">
        <v>310</v>
      </c>
      <c r="F37" s="8" t="s">
        <v>311</v>
      </c>
      <c r="H37" s="10">
        <v>3</v>
      </c>
      <c r="I37" s="12">
        <f>J28</f>
        <v>48.769999999999996</v>
      </c>
      <c r="J37" s="12">
        <f>H37%*I37</f>
        <v>1.4630999999999998</v>
      </c>
    </row>
    <row r="38" spans="1:15">
      <c r="A38" s="14"/>
      <c r="B38" s="14"/>
      <c r="C38" s="14"/>
      <c r="D38" s="14"/>
      <c r="E38" s="14"/>
      <c r="F38" s="14"/>
      <c r="G38" s="14"/>
      <c r="H38" s="14"/>
      <c r="I38" s="15"/>
      <c r="J38" s="16">
        <f>SUM(J37)</f>
        <v>1.4630999999999998</v>
      </c>
    </row>
    <row r="40" spans="1:15">
      <c r="A40" s="2" t="s">
        <v>277</v>
      </c>
      <c r="B40" s="2" t="str">
        <f>COMUNICACIONES!A6</f>
        <v>06.01.03</v>
      </c>
      <c r="C40" s="2" t="s">
        <v>1108</v>
      </c>
      <c r="D40" s="2"/>
    </row>
    <row r="41" spans="1:15">
      <c r="A41" s="2" t="s">
        <v>278</v>
      </c>
      <c r="B41" s="2" t="s">
        <v>325</v>
      </c>
      <c r="C41" s="4" t="s">
        <v>280</v>
      </c>
      <c r="D41" s="5">
        <v>8</v>
      </c>
      <c r="E41" s="4" t="s">
        <v>281</v>
      </c>
      <c r="F41" s="5">
        <f>D41</f>
        <v>8</v>
      </c>
      <c r="G41" s="2" t="s">
        <v>282</v>
      </c>
      <c r="I41" s="4" t="s">
        <v>149</v>
      </c>
      <c r="J41" s="6">
        <f>J46+J53+J56</f>
        <v>95.843099999999993</v>
      </c>
      <c r="N41" s="2"/>
      <c r="O41" s="2"/>
    </row>
    <row r="42" spans="1:15">
      <c r="A42" s="2" t="s">
        <v>283</v>
      </c>
      <c r="B42" s="2" t="s">
        <v>284</v>
      </c>
      <c r="F42" s="4" t="s">
        <v>122</v>
      </c>
      <c r="G42" s="4" t="s">
        <v>285</v>
      </c>
      <c r="H42" s="4" t="s">
        <v>286</v>
      </c>
      <c r="I42" s="4" t="s">
        <v>287</v>
      </c>
      <c r="J42" s="4" t="s">
        <v>288</v>
      </c>
      <c r="O42" s="2"/>
    </row>
    <row r="43" spans="1:15">
      <c r="B43" s="7" t="s">
        <v>289</v>
      </c>
      <c r="O43" s="2"/>
    </row>
    <row r="44" spans="1:15">
      <c r="B44" t="s">
        <v>679</v>
      </c>
      <c r="F44" s="8" t="s">
        <v>291</v>
      </c>
      <c r="G44" s="9">
        <v>1</v>
      </c>
      <c r="H44" s="10">
        <f>G44*8/$D$41</f>
        <v>1</v>
      </c>
      <c r="I44" s="12">
        <v>22.66</v>
      </c>
      <c r="J44" s="12">
        <f>H44*I44</f>
        <v>22.66</v>
      </c>
    </row>
    <row r="45" spans="1:15">
      <c r="B45" t="s">
        <v>1174</v>
      </c>
      <c r="F45" s="8" t="s">
        <v>291</v>
      </c>
      <c r="G45" s="9">
        <v>1</v>
      </c>
      <c r="H45" s="10">
        <f>G45*8/$D$41</f>
        <v>1</v>
      </c>
      <c r="I45">
        <v>26.11</v>
      </c>
      <c r="J45" s="12">
        <f>H45*I45</f>
        <v>26.11</v>
      </c>
    </row>
    <row r="46" spans="1:15">
      <c r="F46" s="8"/>
      <c r="G46" s="9"/>
      <c r="H46" s="10"/>
      <c r="J46" s="6">
        <f>SUM(J44:J45)</f>
        <v>48.769999999999996</v>
      </c>
    </row>
    <row r="47" spans="1:15">
      <c r="B47" s="7" t="s">
        <v>653</v>
      </c>
      <c r="F47" s="8"/>
      <c r="G47" s="9"/>
      <c r="H47" s="10"/>
      <c r="I47" s="10"/>
      <c r="J47" s="12"/>
    </row>
    <row r="48" spans="1:15">
      <c r="B48" t="s">
        <v>1180</v>
      </c>
      <c r="F48" s="8" t="s">
        <v>149</v>
      </c>
      <c r="H48" s="10">
        <v>2</v>
      </c>
      <c r="I48" s="12">
        <v>12.63</v>
      </c>
      <c r="J48" s="12">
        <f>H48*I48</f>
        <v>25.26</v>
      </c>
    </row>
    <row r="49" spans="1:10">
      <c r="B49" t="s">
        <v>1181</v>
      </c>
      <c r="F49" s="8" t="s">
        <v>149</v>
      </c>
      <c r="H49" s="10">
        <v>1</v>
      </c>
      <c r="I49" s="12">
        <v>3.73</v>
      </c>
      <c r="J49" s="12">
        <f>H49*I49</f>
        <v>3.73</v>
      </c>
    </row>
    <row r="50" spans="1:10">
      <c r="B50" t="s">
        <v>1178</v>
      </c>
      <c r="F50" s="8" t="s">
        <v>149</v>
      </c>
      <c r="H50" s="10">
        <v>1</v>
      </c>
      <c r="I50" s="12">
        <v>0.93</v>
      </c>
      <c r="J50" s="12">
        <f>H50*I50</f>
        <v>0.93</v>
      </c>
    </row>
    <row r="51" spans="1:10">
      <c r="B51" t="s">
        <v>1179</v>
      </c>
      <c r="F51" s="8" t="s">
        <v>149</v>
      </c>
      <c r="H51" s="10">
        <v>1</v>
      </c>
      <c r="I51" s="12">
        <v>1.69</v>
      </c>
      <c r="J51" s="12">
        <f>H51*I51</f>
        <v>1.69</v>
      </c>
    </row>
    <row r="52" spans="1:10">
      <c r="B52" t="s">
        <v>1182</v>
      </c>
      <c r="F52" s="8" t="s">
        <v>149</v>
      </c>
      <c r="H52" s="10">
        <v>1</v>
      </c>
      <c r="I52" s="12">
        <v>14</v>
      </c>
      <c r="J52" s="12">
        <f>H52*I52</f>
        <v>14</v>
      </c>
    </row>
    <row r="53" spans="1:10">
      <c r="J53" s="6">
        <f>SUM(J48:J52)</f>
        <v>45.61</v>
      </c>
    </row>
    <row r="54" spans="1:10">
      <c r="B54" s="7" t="s">
        <v>309</v>
      </c>
    </row>
    <row r="55" spans="1:10">
      <c r="B55" t="s">
        <v>310</v>
      </c>
      <c r="F55" s="8" t="s">
        <v>311</v>
      </c>
      <c r="H55" s="10">
        <v>3</v>
      </c>
      <c r="I55" s="12">
        <f>J46</f>
        <v>48.769999999999996</v>
      </c>
      <c r="J55" s="12">
        <f>H55%*I55</f>
        <v>1.4630999999999998</v>
      </c>
    </row>
    <row r="56" spans="1:10">
      <c r="A56" s="14"/>
      <c r="B56" s="14"/>
      <c r="C56" s="14"/>
      <c r="D56" s="14"/>
      <c r="E56" s="14"/>
      <c r="F56" s="14"/>
      <c r="G56" s="14"/>
      <c r="H56" s="14"/>
      <c r="I56" s="15"/>
      <c r="J56" s="16">
        <f>SUM(J55)</f>
        <v>1.4630999999999998</v>
      </c>
    </row>
    <row r="58" spans="1:10">
      <c r="A58" s="2" t="s">
        <v>277</v>
      </c>
      <c r="B58" s="2" t="str">
        <f>COMUNICACIONES!A7</f>
        <v>06.01.04</v>
      </c>
      <c r="C58" s="2" t="s">
        <v>1110</v>
      </c>
      <c r="D58" s="2"/>
    </row>
    <row r="59" spans="1:10">
      <c r="A59" s="2" t="s">
        <v>278</v>
      </c>
      <c r="B59" s="2" t="s">
        <v>313</v>
      </c>
      <c r="C59" s="4" t="s">
        <v>280</v>
      </c>
      <c r="D59" s="5">
        <v>30</v>
      </c>
      <c r="E59" s="4" t="s">
        <v>281</v>
      </c>
      <c r="F59" s="5">
        <f>D59</f>
        <v>30</v>
      </c>
      <c r="G59" s="2" t="s">
        <v>282</v>
      </c>
      <c r="I59" s="4" t="s">
        <v>144</v>
      </c>
      <c r="J59" s="6">
        <f>J65+J71+J74</f>
        <v>26.403334000000001</v>
      </c>
    </row>
    <row r="60" spans="1:10">
      <c r="A60" s="2" t="s">
        <v>283</v>
      </c>
      <c r="B60" s="2" t="s">
        <v>284</v>
      </c>
      <c r="F60" s="4" t="s">
        <v>122</v>
      </c>
      <c r="G60" s="4" t="s">
        <v>285</v>
      </c>
      <c r="H60" s="4" t="s">
        <v>286</v>
      </c>
      <c r="I60" s="4" t="s">
        <v>287</v>
      </c>
      <c r="J60" s="4" t="s">
        <v>288</v>
      </c>
    </row>
    <row r="61" spans="1:10">
      <c r="B61" s="7" t="s">
        <v>289</v>
      </c>
    </row>
    <row r="62" spans="1:10">
      <c r="B62" t="s">
        <v>650</v>
      </c>
      <c r="F62" s="8" t="s">
        <v>291</v>
      </c>
      <c r="G62" s="9">
        <v>0.1</v>
      </c>
      <c r="H62" s="10">
        <f>G62*8/$D$59</f>
        <v>2.6666666666666668E-2</v>
      </c>
      <c r="I62">
        <v>34.729999999999997</v>
      </c>
      <c r="J62" s="12">
        <f>H62*I62</f>
        <v>0.92613333333333336</v>
      </c>
    </row>
    <row r="63" spans="1:10">
      <c r="B63" t="s">
        <v>290</v>
      </c>
      <c r="F63" s="8" t="s">
        <v>291</v>
      </c>
      <c r="G63" s="9">
        <v>1</v>
      </c>
      <c r="H63" s="10">
        <f>G63*8/$D$59</f>
        <v>0.26666666666666666</v>
      </c>
      <c r="I63" s="12">
        <v>28.94</v>
      </c>
      <c r="J63" s="12">
        <f>H63*I63</f>
        <v>7.7173333333333334</v>
      </c>
    </row>
    <row r="64" spans="1:10">
      <c r="B64" t="s">
        <v>293</v>
      </c>
      <c r="F64" s="8" t="s">
        <v>291</v>
      </c>
      <c r="G64" s="9">
        <v>1</v>
      </c>
      <c r="H64" s="10">
        <f>G64*8/$D$59</f>
        <v>0.26666666666666666</v>
      </c>
      <c r="I64">
        <v>20.51</v>
      </c>
      <c r="J64" s="12">
        <f>H64*I64</f>
        <v>5.469333333333334</v>
      </c>
    </row>
    <row r="65" spans="1:10">
      <c r="F65" s="8"/>
      <c r="G65" s="9"/>
      <c r="H65" s="10"/>
      <c r="J65" s="6">
        <f>SUM(J62:J64)</f>
        <v>14.1128</v>
      </c>
    </row>
    <row r="66" spans="1:10">
      <c r="B66" s="7" t="s">
        <v>653</v>
      </c>
      <c r="F66" s="8"/>
      <c r="G66" s="9"/>
      <c r="H66" s="10"/>
      <c r="I66" s="10"/>
      <c r="J66" s="12"/>
    </row>
    <row r="67" spans="1:10">
      <c r="B67" t="s">
        <v>1183</v>
      </c>
      <c r="F67" s="8" t="s">
        <v>144</v>
      </c>
      <c r="G67" s="9"/>
      <c r="H67" s="10">
        <v>1.05</v>
      </c>
      <c r="I67">
        <v>7.1</v>
      </c>
      <c r="J67" s="12">
        <f>H67*I67</f>
        <v>7.4550000000000001</v>
      </c>
    </row>
    <row r="68" spans="1:10">
      <c r="B68" t="s">
        <v>1184</v>
      </c>
      <c r="F68" s="8" t="s">
        <v>149</v>
      </c>
      <c r="G68" s="9"/>
      <c r="H68" s="10">
        <v>0.25</v>
      </c>
      <c r="I68">
        <v>11.58</v>
      </c>
      <c r="J68" s="12">
        <f>H68*I68</f>
        <v>2.895</v>
      </c>
    </row>
    <row r="69" spans="1:10">
      <c r="B69" t="s">
        <v>1185</v>
      </c>
      <c r="F69" s="8" t="s">
        <v>439</v>
      </c>
      <c r="G69" s="9"/>
      <c r="H69" s="10">
        <v>5.0000000000000001E-3</v>
      </c>
      <c r="I69">
        <v>133.93</v>
      </c>
      <c r="J69" s="12">
        <f>H69*I69</f>
        <v>0.66965000000000008</v>
      </c>
    </row>
    <row r="70" spans="1:10">
      <c r="B70" t="s">
        <v>1186</v>
      </c>
      <c r="F70" s="8" t="s">
        <v>149</v>
      </c>
      <c r="G70" s="9"/>
      <c r="H70" s="10">
        <v>0.25</v>
      </c>
      <c r="I70">
        <v>3.39</v>
      </c>
      <c r="J70" s="12">
        <f>H70*I70</f>
        <v>0.84750000000000003</v>
      </c>
    </row>
    <row r="71" spans="1:10">
      <c r="J71" s="6">
        <f>SUM(J67:J70)</f>
        <v>11.867150000000001</v>
      </c>
    </row>
    <row r="72" spans="1:10">
      <c r="B72" s="7" t="s">
        <v>309</v>
      </c>
    </row>
    <row r="73" spans="1:10">
      <c r="B73" t="s">
        <v>310</v>
      </c>
      <c r="F73" s="8" t="s">
        <v>311</v>
      </c>
      <c r="H73" s="10">
        <v>3</v>
      </c>
      <c r="I73" s="12">
        <f>J65</f>
        <v>14.1128</v>
      </c>
      <c r="J73" s="12">
        <f>H73%*I73</f>
        <v>0.42338399999999998</v>
      </c>
    </row>
    <row r="74" spans="1:10">
      <c r="A74" s="14"/>
      <c r="B74" s="14"/>
      <c r="C74" s="14"/>
      <c r="D74" s="14"/>
      <c r="E74" s="14"/>
      <c r="F74" s="14"/>
      <c r="G74" s="14"/>
      <c r="H74" s="14"/>
      <c r="I74" s="15"/>
      <c r="J74" s="16">
        <f>SUM(J73)</f>
        <v>0.42338399999999998</v>
      </c>
    </row>
    <row r="76" spans="1:10">
      <c r="A76" s="2" t="s">
        <v>277</v>
      </c>
      <c r="B76" s="2" t="str">
        <f>COMUNICACIONES!A8</f>
        <v>06.01.05</v>
      </c>
      <c r="C76" s="2" t="s">
        <v>1112</v>
      </c>
      <c r="D76" s="2"/>
    </row>
    <row r="77" spans="1:10">
      <c r="A77" s="2" t="s">
        <v>278</v>
      </c>
      <c r="B77" s="2" t="s">
        <v>313</v>
      </c>
      <c r="C77" s="4" t="s">
        <v>280</v>
      </c>
      <c r="D77" s="5">
        <v>30</v>
      </c>
      <c r="E77" s="4" t="s">
        <v>281</v>
      </c>
      <c r="F77" s="5">
        <f>D77</f>
        <v>30</v>
      </c>
      <c r="G77" s="2" t="s">
        <v>282</v>
      </c>
      <c r="I77" s="4" t="s">
        <v>144</v>
      </c>
      <c r="J77" s="6">
        <f>J83+J89+J92</f>
        <v>25.004334</v>
      </c>
    </row>
    <row r="78" spans="1:10">
      <c r="A78" s="2" t="s">
        <v>283</v>
      </c>
      <c r="B78" s="2" t="s">
        <v>284</v>
      </c>
      <c r="F78" s="4" t="s">
        <v>122</v>
      </c>
      <c r="G78" s="4" t="s">
        <v>285</v>
      </c>
      <c r="H78" s="4" t="s">
        <v>286</v>
      </c>
      <c r="I78" s="4" t="s">
        <v>287</v>
      </c>
      <c r="J78" s="4" t="s">
        <v>288</v>
      </c>
    </row>
    <row r="79" spans="1:10">
      <c r="B79" s="7" t="s">
        <v>289</v>
      </c>
    </row>
    <row r="80" spans="1:10">
      <c r="B80" t="s">
        <v>650</v>
      </c>
      <c r="F80" s="8" t="s">
        <v>291</v>
      </c>
      <c r="G80" s="9">
        <v>0.1</v>
      </c>
      <c r="H80" s="10">
        <f>G80*8/$D$77</f>
        <v>2.6666666666666668E-2</v>
      </c>
      <c r="I80">
        <v>34.729999999999997</v>
      </c>
      <c r="J80" s="12">
        <f>H80*I80</f>
        <v>0.92613333333333336</v>
      </c>
    </row>
    <row r="81" spans="1:14">
      <c r="B81" t="s">
        <v>290</v>
      </c>
      <c r="F81" s="8" t="s">
        <v>291</v>
      </c>
      <c r="G81" s="9">
        <v>1</v>
      </c>
      <c r="H81" s="10">
        <f>G81*8/$D$77</f>
        <v>0.26666666666666666</v>
      </c>
      <c r="I81" s="12">
        <v>28.94</v>
      </c>
      <c r="J81" s="12">
        <f>H81*I81</f>
        <v>7.7173333333333334</v>
      </c>
    </row>
    <row r="82" spans="1:14">
      <c r="B82" t="s">
        <v>293</v>
      </c>
      <c r="F82" s="8" t="s">
        <v>291</v>
      </c>
      <c r="G82" s="9">
        <v>1</v>
      </c>
      <c r="H82" s="10">
        <f>G82*8/$D$77</f>
        <v>0.26666666666666666</v>
      </c>
      <c r="I82">
        <v>20.51</v>
      </c>
      <c r="J82" s="12">
        <f>H82*I82</f>
        <v>5.469333333333334</v>
      </c>
      <c r="N82" s="2"/>
    </row>
    <row r="83" spans="1:14">
      <c r="F83" s="8"/>
      <c r="G83" s="9"/>
      <c r="H83" s="10"/>
      <c r="J83" s="6">
        <f>SUM(J80:J82)</f>
        <v>14.1128</v>
      </c>
      <c r="N83" s="2"/>
    </row>
    <row r="84" spans="1:14">
      <c r="B84" s="7" t="s">
        <v>653</v>
      </c>
      <c r="F84" s="8"/>
      <c r="G84" s="9"/>
      <c r="H84" s="10"/>
      <c r="I84" s="10"/>
      <c r="J84" s="12"/>
      <c r="N84" s="2"/>
    </row>
    <row r="85" spans="1:14">
      <c r="B85" t="s">
        <v>1187</v>
      </c>
      <c r="F85" s="8" t="s">
        <v>149</v>
      </c>
      <c r="G85" s="9"/>
      <c r="H85" s="10">
        <v>0.25</v>
      </c>
      <c r="I85">
        <v>8.39</v>
      </c>
      <c r="J85" s="12">
        <f>H85*I85</f>
        <v>2.0975000000000001</v>
      </c>
    </row>
    <row r="86" spans="1:14">
      <c r="B86" t="s">
        <v>1188</v>
      </c>
      <c r="F86" s="8" t="s">
        <v>144</v>
      </c>
      <c r="G86" s="9"/>
      <c r="H86" s="10">
        <v>1.05</v>
      </c>
      <c r="I86">
        <v>6.77</v>
      </c>
      <c r="J86" s="12">
        <f>H86*I86</f>
        <v>7.1085000000000003</v>
      </c>
    </row>
    <row r="87" spans="1:14">
      <c r="B87" t="s">
        <v>1185</v>
      </c>
      <c r="F87" s="8" t="s">
        <v>439</v>
      </c>
      <c r="G87" s="9"/>
      <c r="H87" s="10">
        <v>5.0000000000000001E-3</v>
      </c>
      <c r="I87">
        <v>133.93</v>
      </c>
      <c r="J87" s="12">
        <f>H87*I87</f>
        <v>0.66965000000000008</v>
      </c>
    </row>
    <row r="88" spans="1:14">
      <c r="B88" t="s">
        <v>1189</v>
      </c>
      <c r="F88" s="8" t="s">
        <v>149</v>
      </c>
      <c r="G88" s="9"/>
      <c r="H88" s="10">
        <v>0.25</v>
      </c>
      <c r="I88">
        <v>2.37</v>
      </c>
      <c r="J88" s="12">
        <f>H88*I88</f>
        <v>0.59250000000000003</v>
      </c>
    </row>
    <row r="89" spans="1:14">
      <c r="J89" s="6">
        <f>SUM(J85:J88)</f>
        <v>10.46815</v>
      </c>
    </row>
    <row r="90" spans="1:14">
      <c r="B90" s="7" t="s">
        <v>309</v>
      </c>
    </row>
    <row r="91" spans="1:14">
      <c r="B91" t="s">
        <v>310</v>
      </c>
      <c r="F91" s="8" t="s">
        <v>311</v>
      </c>
      <c r="H91" s="10">
        <v>3</v>
      </c>
      <c r="I91" s="12">
        <f>J83</f>
        <v>14.1128</v>
      </c>
      <c r="J91" s="12">
        <f>H91%*I91</f>
        <v>0.42338399999999998</v>
      </c>
    </row>
    <row r="92" spans="1:14">
      <c r="A92" s="14"/>
      <c r="B92" s="14"/>
      <c r="C92" s="14"/>
      <c r="D92" s="14"/>
      <c r="E92" s="14"/>
      <c r="F92" s="14"/>
      <c r="G92" s="14"/>
      <c r="H92" s="14"/>
      <c r="I92" s="15"/>
      <c r="J92" s="16">
        <f>SUM(J91)</f>
        <v>0.42338399999999998</v>
      </c>
    </row>
    <row r="94" spans="1:14">
      <c r="A94" s="2" t="s">
        <v>277</v>
      </c>
      <c r="B94" s="2" t="str">
        <f>COMUNICACIONES!A9</f>
        <v>06.01.06</v>
      </c>
      <c r="C94" s="2" t="s">
        <v>1114</v>
      </c>
      <c r="D94" s="2"/>
    </row>
    <row r="95" spans="1:14">
      <c r="A95" s="2" t="s">
        <v>278</v>
      </c>
      <c r="B95" s="2" t="s">
        <v>313</v>
      </c>
      <c r="C95" s="4" t="s">
        <v>280</v>
      </c>
      <c r="D95" s="5">
        <v>40</v>
      </c>
      <c r="E95" s="4" t="s">
        <v>281</v>
      </c>
      <c r="F95" s="5">
        <f>D95</f>
        <v>40</v>
      </c>
      <c r="G95" s="2" t="s">
        <v>282</v>
      </c>
      <c r="I95" s="4" t="s">
        <v>144</v>
      </c>
      <c r="J95" s="6">
        <f>J101+J107+J110</f>
        <v>19.232787999999999</v>
      </c>
    </row>
    <row r="96" spans="1:14">
      <c r="A96" s="2" t="s">
        <v>283</v>
      </c>
      <c r="B96" s="2" t="s">
        <v>284</v>
      </c>
      <c r="F96" s="4" t="s">
        <v>122</v>
      </c>
      <c r="G96" s="4" t="s">
        <v>285</v>
      </c>
      <c r="H96" s="4" t="s">
        <v>286</v>
      </c>
      <c r="I96" s="4" t="s">
        <v>287</v>
      </c>
      <c r="J96" s="4" t="s">
        <v>288</v>
      </c>
    </row>
    <row r="97" spans="1:10">
      <c r="B97" s="7" t="s">
        <v>289</v>
      </c>
    </row>
    <row r="98" spans="1:10">
      <c r="B98" t="s">
        <v>650</v>
      </c>
      <c r="F98" s="8" t="s">
        <v>291</v>
      </c>
      <c r="G98" s="9">
        <v>0.1</v>
      </c>
      <c r="H98" s="10">
        <f>G98*8/$D$95</f>
        <v>0.02</v>
      </c>
      <c r="I98">
        <v>34.729999999999997</v>
      </c>
      <c r="J98" s="12">
        <f>H98*I98</f>
        <v>0.6946</v>
      </c>
    </row>
    <row r="99" spans="1:10">
      <c r="B99" t="s">
        <v>290</v>
      </c>
      <c r="F99" s="8" t="s">
        <v>291</v>
      </c>
      <c r="G99" s="9">
        <v>1</v>
      </c>
      <c r="H99" s="10">
        <f>G99*8/$D$95</f>
        <v>0.2</v>
      </c>
      <c r="I99" s="12">
        <v>28.94</v>
      </c>
      <c r="J99" s="12">
        <f>H99*I99</f>
        <v>5.7880000000000003</v>
      </c>
    </row>
    <row r="100" spans="1:10">
      <c r="B100" t="s">
        <v>293</v>
      </c>
      <c r="F100" s="8" t="s">
        <v>291</v>
      </c>
      <c r="G100" s="9">
        <v>1</v>
      </c>
      <c r="H100" s="10">
        <f>G100*8/$D$95</f>
        <v>0.2</v>
      </c>
      <c r="I100">
        <v>20.51</v>
      </c>
      <c r="J100" s="12">
        <f>H100*I100</f>
        <v>4.1020000000000003</v>
      </c>
    </row>
    <row r="101" spans="1:10">
      <c r="F101" s="8"/>
      <c r="G101" s="9"/>
      <c r="H101" s="10"/>
      <c r="J101" s="6">
        <f>SUM(J98:J100)</f>
        <v>10.584600000000002</v>
      </c>
    </row>
    <row r="102" spans="1:10">
      <c r="B102" s="7" t="s">
        <v>653</v>
      </c>
      <c r="F102" s="8"/>
      <c r="G102" s="9"/>
      <c r="H102" s="10"/>
      <c r="I102" s="10"/>
      <c r="J102" s="12"/>
    </row>
    <row r="103" spans="1:10">
      <c r="B103" t="s">
        <v>1190</v>
      </c>
      <c r="F103" s="8" t="s">
        <v>144</v>
      </c>
      <c r="G103" s="9"/>
      <c r="H103" s="10">
        <v>1.05</v>
      </c>
      <c r="I103">
        <v>6.47</v>
      </c>
      <c r="J103" s="12">
        <f>H103*I103</f>
        <v>6.7934999999999999</v>
      </c>
    </row>
    <row r="104" spans="1:10">
      <c r="B104" t="s">
        <v>1191</v>
      </c>
      <c r="F104" s="8" t="s">
        <v>149</v>
      </c>
      <c r="G104" s="9"/>
      <c r="H104" s="10">
        <v>0.25</v>
      </c>
      <c r="I104">
        <v>2.54</v>
      </c>
      <c r="J104" s="12">
        <f>H104*I104</f>
        <v>0.63500000000000001</v>
      </c>
    </row>
    <row r="105" spans="1:10">
      <c r="B105" t="s">
        <v>1185</v>
      </c>
      <c r="F105" s="8" t="s">
        <v>439</v>
      </c>
      <c r="G105" s="9"/>
      <c r="H105" s="10">
        <v>5.0000000000000001E-3</v>
      </c>
      <c r="I105">
        <v>133.93</v>
      </c>
      <c r="J105" s="12">
        <f>H105*I105</f>
        <v>0.66965000000000008</v>
      </c>
    </row>
    <row r="106" spans="1:10">
      <c r="B106" t="s">
        <v>1178</v>
      </c>
      <c r="F106" s="8" t="s">
        <v>149</v>
      </c>
      <c r="G106" s="9"/>
      <c r="H106" s="10">
        <v>0.25</v>
      </c>
      <c r="I106">
        <v>0.93</v>
      </c>
      <c r="J106" s="12">
        <f>H106*I106</f>
        <v>0.23250000000000001</v>
      </c>
    </row>
    <row r="107" spans="1:10">
      <c r="J107" s="6">
        <f>SUM(J103:J106)</f>
        <v>8.3306500000000003</v>
      </c>
    </row>
    <row r="108" spans="1:10">
      <c r="B108" s="7" t="s">
        <v>309</v>
      </c>
    </row>
    <row r="109" spans="1:10">
      <c r="B109" t="s">
        <v>310</v>
      </c>
      <c r="F109" s="8" t="s">
        <v>311</v>
      </c>
      <c r="H109" s="10">
        <v>3</v>
      </c>
      <c r="I109" s="12">
        <f>J101</f>
        <v>10.584600000000002</v>
      </c>
      <c r="J109" s="12">
        <f>H109%*I109</f>
        <v>0.31753800000000004</v>
      </c>
    </row>
    <row r="110" spans="1:10">
      <c r="A110" s="14"/>
      <c r="B110" s="14"/>
      <c r="C110" s="14"/>
      <c r="D110" s="14"/>
      <c r="E110" s="14"/>
      <c r="F110" s="14"/>
      <c r="G110" s="14"/>
      <c r="H110" s="14"/>
      <c r="I110" s="15"/>
      <c r="J110" s="16">
        <f>SUM(J109)</f>
        <v>0.31753800000000004</v>
      </c>
    </row>
    <row r="112" spans="1:10">
      <c r="A112" s="2" t="s">
        <v>277</v>
      </c>
      <c r="B112" s="2" t="str">
        <f>COMUNICACIONES!A10</f>
        <v>06.01.07</v>
      </c>
      <c r="C112" s="2" t="s">
        <v>1116</v>
      </c>
      <c r="D112" s="2"/>
    </row>
    <row r="113" spans="1:10">
      <c r="A113" s="2" t="s">
        <v>278</v>
      </c>
      <c r="B113" s="2" t="s">
        <v>313</v>
      </c>
      <c r="C113" s="4" t="s">
        <v>280</v>
      </c>
      <c r="D113" s="5">
        <v>40</v>
      </c>
      <c r="E113" s="4" t="s">
        <v>281</v>
      </c>
      <c r="F113" s="5">
        <f>D113</f>
        <v>40</v>
      </c>
      <c r="G113" s="2" t="s">
        <v>282</v>
      </c>
      <c r="I113" s="4" t="s">
        <v>144</v>
      </c>
      <c r="J113" s="6">
        <f>J119+J125+J128</f>
        <v>16.371788000000002</v>
      </c>
    </row>
    <row r="114" spans="1:10">
      <c r="A114" s="2" t="s">
        <v>283</v>
      </c>
      <c r="B114" s="2" t="s">
        <v>284</v>
      </c>
      <c r="F114" s="4" t="s">
        <v>122</v>
      </c>
      <c r="G114" s="4" t="s">
        <v>285</v>
      </c>
      <c r="H114" s="4" t="s">
        <v>286</v>
      </c>
      <c r="I114" s="4" t="s">
        <v>287</v>
      </c>
      <c r="J114" s="4" t="s">
        <v>288</v>
      </c>
    </row>
    <row r="115" spans="1:10">
      <c r="B115" s="7" t="s">
        <v>289</v>
      </c>
    </row>
    <row r="116" spans="1:10">
      <c r="B116" t="s">
        <v>650</v>
      </c>
      <c r="F116" s="8" t="s">
        <v>291</v>
      </c>
      <c r="G116" s="9">
        <v>0.1</v>
      </c>
      <c r="H116" s="10">
        <f>G116*8/$D$113</f>
        <v>0.02</v>
      </c>
      <c r="I116">
        <v>34.729999999999997</v>
      </c>
      <c r="J116" s="12">
        <f>H116*I116</f>
        <v>0.6946</v>
      </c>
    </row>
    <row r="117" spans="1:10">
      <c r="B117" t="s">
        <v>290</v>
      </c>
      <c r="F117" s="8" t="s">
        <v>291</v>
      </c>
      <c r="G117" s="9">
        <v>1</v>
      </c>
      <c r="H117" s="10">
        <f>G117*8/$D$113</f>
        <v>0.2</v>
      </c>
      <c r="I117" s="12">
        <v>28.94</v>
      </c>
      <c r="J117" s="12">
        <f>H117*I117</f>
        <v>5.7880000000000003</v>
      </c>
    </row>
    <row r="118" spans="1:10">
      <c r="B118" t="s">
        <v>293</v>
      </c>
      <c r="F118" s="8" t="s">
        <v>291</v>
      </c>
      <c r="G118" s="9">
        <v>1</v>
      </c>
      <c r="H118" s="10">
        <f>G118*8/$D$113</f>
        <v>0.2</v>
      </c>
      <c r="I118">
        <v>20.51</v>
      </c>
      <c r="J118" s="12">
        <f>H118*I118</f>
        <v>4.1020000000000003</v>
      </c>
    </row>
    <row r="119" spans="1:10">
      <c r="F119" s="8"/>
      <c r="G119" s="9"/>
      <c r="H119" s="10"/>
      <c r="J119" s="6">
        <f>SUM(J116:J118)</f>
        <v>10.584600000000002</v>
      </c>
    </row>
    <row r="120" spans="1:10">
      <c r="B120" s="7" t="s">
        <v>653</v>
      </c>
      <c r="F120" s="8"/>
      <c r="G120" s="9"/>
      <c r="H120" s="10"/>
      <c r="I120" s="10"/>
      <c r="J120" s="12"/>
    </row>
    <row r="121" spans="1:10">
      <c r="B121" t="s">
        <v>1192</v>
      </c>
      <c r="F121" s="8" t="s">
        <v>144</v>
      </c>
      <c r="G121" s="9"/>
      <c r="H121" s="10">
        <v>1.05</v>
      </c>
      <c r="I121">
        <v>3.5</v>
      </c>
      <c r="J121" s="12">
        <f>H121*I121</f>
        <v>3.6750000000000003</v>
      </c>
    </row>
    <row r="122" spans="1:10">
      <c r="B122" t="s">
        <v>1193</v>
      </c>
      <c r="F122" s="8" t="s">
        <v>149</v>
      </c>
      <c r="G122" s="9"/>
      <c r="H122" s="10">
        <v>0.25</v>
      </c>
      <c r="I122">
        <v>2.25</v>
      </c>
      <c r="J122" s="12">
        <f>H122*I122</f>
        <v>0.5625</v>
      </c>
    </row>
    <row r="123" spans="1:10">
      <c r="B123" t="s">
        <v>1185</v>
      </c>
      <c r="F123" s="8" t="s">
        <v>439</v>
      </c>
      <c r="G123" s="9"/>
      <c r="H123" s="10">
        <v>5.0000000000000001E-3</v>
      </c>
      <c r="I123">
        <v>133.93</v>
      </c>
      <c r="J123" s="12">
        <f>H123*I123</f>
        <v>0.66965000000000008</v>
      </c>
    </row>
    <row r="124" spans="1:10">
      <c r="B124" t="s">
        <v>1194</v>
      </c>
      <c r="F124" s="8" t="s">
        <v>149</v>
      </c>
      <c r="G124" s="9"/>
      <c r="H124" s="10">
        <v>0.25</v>
      </c>
      <c r="I124">
        <v>2.25</v>
      </c>
      <c r="J124" s="12">
        <f>H124*I124</f>
        <v>0.5625</v>
      </c>
    </row>
    <row r="125" spans="1:10">
      <c r="J125" s="6">
        <f>SUM(J121:J124)</f>
        <v>5.4696500000000006</v>
      </c>
    </row>
    <row r="126" spans="1:10">
      <c r="B126" s="7" t="s">
        <v>309</v>
      </c>
    </row>
    <row r="127" spans="1:10">
      <c r="B127" t="s">
        <v>310</v>
      </c>
      <c r="F127" s="8" t="s">
        <v>311</v>
      </c>
      <c r="H127" s="10">
        <v>3</v>
      </c>
      <c r="I127" s="12">
        <f>J119</f>
        <v>10.584600000000002</v>
      </c>
      <c r="J127" s="12">
        <f>H127%*I127</f>
        <v>0.31753800000000004</v>
      </c>
    </row>
    <row r="128" spans="1:10">
      <c r="A128" s="14"/>
      <c r="B128" s="14"/>
      <c r="C128" s="14"/>
      <c r="D128" s="14"/>
      <c r="E128" s="14"/>
      <c r="F128" s="14"/>
      <c r="G128" s="14"/>
      <c r="H128" s="14"/>
      <c r="I128" s="15"/>
      <c r="J128" s="16">
        <f>SUM(J127)</f>
        <v>0.31753800000000004</v>
      </c>
    </row>
    <row r="130" spans="1:10">
      <c r="A130" s="2" t="s">
        <v>277</v>
      </c>
      <c r="B130" s="2" t="str">
        <f>COMUNICACIONES!A11</f>
        <v>06.01.08</v>
      </c>
      <c r="C130" s="2" t="s">
        <v>1118</v>
      </c>
      <c r="D130" s="2"/>
    </row>
    <row r="131" spans="1:10">
      <c r="A131" s="2" t="s">
        <v>278</v>
      </c>
      <c r="B131" s="2" t="s">
        <v>325</v>
      </c>
      <c r="C131" s="4" t="s">
        <v>280</v>
      </c>
      <c r="D131" s="5">
        <v>10</v>
      </c>
      <c r="E131" s="4" t="s">
        <v>281</v>
      </c>
      <c r="F131" s="5">
        <f>D131</f>
        <v>10</v>
      </c>
      <c r="G131" s="2" t="s">
        <v>282</v>
      </c>
      <c r="I131" s="4" t="s">
        <v>149</v>
      </c>
      <c r="J131" s="6">
        <f>J137+J140+J143</f>
        <v>62.670152000000002</v>
      </c>
    </row>
    <row r="132" spans="1:10">
      <c r="A132" s="2" t="s">
        <v>283</v>
      </c>
      <c r="B132" s="2" t="s">
        <v>284</v>
      </c>
      <c r="F132" s="4" t="s">
        <v>122</v>
      </c>
      <c r="G132" s="4" t="s">
        <v>285</v>
      </c>
      <c r="H132" s="4" t="s">
        <v>286</v>
      </c>
      <c r="I132" s="4" t="s">
        <v>287</v>
      </c>
      <c r="J132" s="4" t="s">
        <v>288</v>
      </c>
    </row>
    <row r="133" spans="1:10">
      <c r="B133" s="7" t="s">
        <v>289</v>
      </c>
    </row>
    <row r="134" spans="1:10">
      <c r="B134" t="s">
        <v>650</v>
      </c>
      <c r="F134" s="8" t="s">
        <v>291</v>
      </c>
      <c r="G134" s="9">
        <v>0.1</v>
      </c>
      <c r="H134" s="10">
        <f>G134*8/$D$131</f>
        <v>0.08</v>
      </c>
      <c r="I134">
        <v>34.729999999999997</v>
      </c>
      <c r="J134" s="12">
        <f>H134*I134</f>
        <v>2.7784</v>
      </c>
    </row>
    <row r="135" spans="1:10">
      <c r="B135" t="s">
        <v>290</v>
      </c>
      <c r="F135" s="8" t="s">
        <v>291</v>
      </c>
      <c r="G135" s="9">
        <v>1</v>
      </c>
      <c r="H135" s="10">
        <f>G135*8/$D$131</f>
        <v>0.8</v>
      </c>
      <c r="I135" s="12">
        <v>28.94</v>
      </c>
      <c r="J135" s="12">
        <f>H135*I135</f>
        <v>23.152000000000001</v>
      </c>
    </row>
    <row r="136" spans="1:10">
      <c r="B136" t="s">
        <v>292</v>
      </c>
      <c r="F136" s="8" t="s">
        <v>291</v>
      </c>
      <c r="G136" s="9">
        <v>1</v>
      </c>
      <c r="H136" s="10">
        <f>G136*8/$D$131</f>
        <v>0.8</v>
      </c>
      <c r="I136">
        <v>22.66</v>
      </c>
      <c r="J136" s="12">
        <f>H136*I136</f>
        <v>18.128</v>
      </c>
    </row>
    <row r="137" spans="1:10">
      <c r="F137" s="8"/>
      <c r="G137" s="9"/>
      <c r="H137" s="10"/>
      <c r="J137" s="6">
        <f>SUM(J134:J136)</f>
        <v>44.058400000000006</v>
      </c>
    </row>
    <row r="138" spans="1:10">
      <c r="B138" s="7" t="s">
        <v>653</v>
      </c>
      <c r="F138" s="8"/>
      <c r="G138" s="9"/>
      <c r="H138" s="10"/>
      <c r="I138" s="10"/>
      <c r="J138" s="12"/>
    </row>
    <row r="139" spans="1:10">
      <c r="B139" t="s">
        <v>1118</v>
      </c>
      <c r="F139" s="8" t="s">
        <v>149</v>
      </c>
      <c r="G139" s="9"/>
      <c r="H139" s="10">
        <v>1</v>
      </c>
      <c r="I139">
        <v>17.29</v>
      </c>
      <c r="J139" s="12">
        <f>H139*I139</f>
        <v>17.29</v>
      </c>
    </row>
    <row r="140" spans="1:10">
      <c r="J140" s="6">
        <f>SUM(J139:J139)</f>
        <v>17.29</v>
      </c>
    </row>
    <row r="141" spans="1:10">
      <c r="B141" s="7" t="s">
        <v>309</v>
      </c>
    </row>
    <row r="142" spans="1:10">
      <c r="B142" t="s">
        <v>310</v>
      </c>
      <c r="F142" s="8" t="s">
        <v>311</v>
      </c>
      <c r="H142" s="10">
        <v>3</v>
      </c>
      <c r="I142" s="12">
        <f>J137</f>
        <v>44.058400000000006</v>
      </c>
      <c r="J142" s="12">
        <f>H142%*I142</f>
        <v>1.321752</v>
      </c>
    </row>
    <row r="143" spans="1:10">
      <c r="A143" s="14"/>
      <c r="B143" s="14"/>
      <c r="C143" s="14"/>
      <c r="D143" s="14"/>
      <c r="E143" s="14"/>
      <c r="F143" s="14"/>
      <c r="G143" s="14"/>
      <c r="H143" s="14"/>
      <c r="I143" s="15"/>
      <c r="J143" s="16">
        <f>SUM(J142)</f>
        <v>1.321752</v>
      </c>
    </row>
    <row r="145" spans="1:10">
      <c r="A145" s="2" t="s">
        <v>277</v>
      </c>
      <c r="B145" s="2" t="str">
        <f>COMUNICACIONES!A12</f>
        <v>06.01.09</v>
      </c>
      <c r="C145" s="2" t="s">
        <v>1120</v>
      </c>
      <c r="D145" s="2"/>
    </row>
    <row r="146" spans="1:10">
      <c r="A146" s="2" t="s">
        <v>278</v>
      </c>
      <c r="B146" s="2" t="s">
        <v>325</v>
      </c>
      <c r="C146" s="4" t="s">
        <v>280</v>
      </c>
      <c r="D146" s="5">
        <v>10</v>
      </c>
      <c r="E146" s="4" t="s">
        <v>281</v>
      </c>
      <c r="F146" s="5">
        <f>D146</f>
        <v>10</v>
      </c>
      <c r="G146" s="2" t="s">
        <v>282</v>
      </c>
      <c r="I146" s="4" t="s">
        <v>149</v>
      </c>
      <c r="J146" s="6">
        <f>J152+J155+J158</f>
        <v>58.850152000000008</v>
      </c>
    </row>
    <row r="147" spans="1:10">
      <c r="A147" s="2" t="s">
        <v>283</v>
      </c>
      <c r="B147" s="2" t="s">
        <v>284</v>
      </c>
      <c r="F147" s="4" t="s">
        <v>122</v>
      </c>
      <c r="G147" s="4" t="s">
        <v>285</v>
      </c>
      <c r="H147" s="4" t="s">
        <v>286</v>
      </c>
      <c r="I147" s="4" t="s">
        <v>287</v>
      </c>
      <c r="J147" s="4" t="s">
        <v>288</v>
      </c>
    </row>
    <row r="148" spans="1:10">
      <c r="B148" s="7" t="s">
        <v>289</v>
      </c>
    </row>
    <row r="149" spans="1:10">
      <c r="B149" t="s">
        <v>650</v>
      </c>
      <c r="F149" s="8" t="s">
        <v>291</v>
      </c>
      <c r="G149" s="9">
        <v>0.1</v>
      </c>
      <c r="H149" s="10">
        <f>G149*8/$D$146</f>
        <v>0.08</v>
      </c>
      <c r="I149">
        <v>34.729999999999997</v>
      </c>
      <c r="J149" s="12">
        <f>H149*I149</f>
        <v>2.7784</v>
      </c>
    </row>
    <row r="150" spans="1:10">
      <c r="B150" t="s">
        <v>290</v>
      </c>
      <c r="F150" s="8" t="s">
        <v>291</v>
      </c>
      <c r="G150" s="9">
        <v>1</v>
      </c>
      <c r="H150" s="10">
        <f>G150*8/$D$146</f>
        <v>0.8</v>
      </c>
      <c r="I150" s="12">
        <v>28.94</v>
      </c>
      <c r="J150" s="12">
        <f>H150*I150</f>
        <v>23.152000000000001</v>
      </c>
    </row>
    <row r="151" spans="1:10">
      <c r="B151" t="s">
        <v>292</v>
      </c>
      <c r="F151" s="8" t="s">
        <v>291</v>
      </c>
      <c r="G151" s="9">
        <v>1</v>
      </c>
      <c r="H151" s="10">
        <f>G151*8/$D$146</f>
        <v>0.8</v>
      </c>
      <c r="I151">
        <v>22.66</v>
      </c>
      <c r="J151" s="12">
        <f>H151*I151</f>
        <v>18.128</v>
      </c>
    </row>
    <row r="152" spans="1:10">
      <c r="F152" s="8"/>
      <c r="G152" s="9"/>
      <c r="H152" s="10"/>
      <c r="J152" s="6">
        <f>SUM(J149:J151)</f>
        <v>44.058400000000006</v>
      </c>
    </row>
    <row r="153" spans="1:10">
      <c r="B153" s="7" t="s">
        <v>653</v>
      </c>
      <c r="F153" s="8"/>
      <c r="G153" s="9"/>
      <c r="H153" s="10"/>
      <c r="I153" s="10"/>
      <c r="J153" s="12"/>
    </row>
    <row r="154" spans="1:10">
      <c r="B154" t="s">
        <v>1120</v>
      </c>
      <c r="F154" s="8" t="s">
        <v>149</v>
      </c>
      <c r="G154" s="9"/>
      <c r="H154" s="10">
        <v>1</v>
      </c>
      <c r="I154">
        <v>13.47</v>
      </c>
      <c r="J154" s="12">
        <f>H154*I154</f>
        <v>13.47</v>
      </c>
    </row>
    <row r="155" spans="1:10">
      <c r="J155" s="6">
        <f>SUM(J154:J154)</f>
        <v>13.47</v>
      </c>
    </row>
    <row r="156" spans="1:10">
      <c r="B156" s="7" t="s">
        <v>309</v>
      </c>
    </row>
    <row r="157" spans="1:10">
      <c r="B157" t="s">
        <v>310</v>
      </c>
      <c r="F157" s="8" t="s">
        <v>311</v>
      </c>
      <c r="H157" s="10">
        <v>3</v>
      </c>
      <c r="I157" s="12">
        <f>J152</f>
        <v>44.058400000000006</v>
      </c>
      <c r="J157" s="12">
        <f>H157%*I157</f>
        <v>1.321752</v>
      </c>
    </row>
    <row r="158" spans="1:10">
      <c r="A158" s="14"/>
      <c r="B158" s="14"/>
      <c r="C158" s="14"/>
      <c r="D158" s="14"/>
      <c r="E158" s="14"/>
      <c r="F158" s="14"/>
      <c r="G158" s="14"/>
      <c r="H158" s="14"/>
      <c r="I158" s="15"/>
      <c r="J158" s="16">
        <f>SUM(J157)</f>
        <v>1.321752</v>
      </c>
    </row>
    <row r="159" spans="1:10">
      <c r="F159" s="8"/>
      <c r="G159" s="9"/>
      <c r="H159" s="10"/>
      <c r="J159" s="12"/>
    </row>
    <row r="160" spans="1:10">
      <c r="A160" s="2" t="s">
        <v>277</v>
      </c>
      <c r="B160" s="2" t="str">
        <f>COMUNICACIONES!A13</f>
        <v>06.01.10</v>
      </c>
      <c r="C160" s="2" t="s">
        <v>1122</v>
      </c>
      <c r="D160" s="2"/>
    </row>
    <row r="161" spans="1:14">
      <c r="A161" s="2" t="s">
        <v>278</v>
      </c>
      <c r="B161" s="2" t="s">
        <v>325</v>
      </c>
      <c r="C161" s="4" t="s">
        <v>280</v>
      </c>
      <c r="D161" s="5">
        <v>10</v>
      </c>
      <c r="E161" s="4" t="s">
        <v>281</v>
      </c>
      <c r="F161" s="5">
        <f>D161</f>
        <v>10</v>
      </c>
      <c r="G161" s="2" t="s">
        <v>282</v>
      </c>
      <c r="I161" s="4" t="s">
        <v>149</v>
      </c>
      <c r="J161" s="6">
        <f>J167+J170+J173</f>
        <v>57.88015200000001</v>
      </c>
    </row>
    <row r="162" spans="1:14">
      <c r="A162" s="2" t="s">
        <v>283</v>
      </c>
      <c r="B162" s="2" t="s">
        <v>284</v>
      </c>
      <c r="F162" s="4" t="s">
        <v>122</v>
      </c>
      <c r="G162" s="4" t="s">
        <v>285</v>
      </c>
      <c r="H162" s="4" t="s">
        <v>286</v>
      </c>
      <c r="I162" s="4" t="s">
        <v>287</v>
      </c>
      <c r="J162" s="4" t="s">
        <v>288</v>
      </c>
    </row>
    <row r="163" spans="1:14">
      <c r="B163" s="7" t="s">
        <v>289</v>
      </c>
    </row>
    <row r="164" spans="1:14">
      <c r="B164" t="s">
        <v>650</v>
      </c>
      <c r="F164" s="8" t="s">
        <v>291</v>
      </c>
      <c r="G164" s="9">
        <v>0.1</v>
      </c>
      <c r="H164" s="10">
        <f>G164*8/$D$161</f>
        <v>0.08</v>
      </c>
      <c r="I164">
        <v>34.729999999999997</v>
      </c>
      <c r="J164" s="12">
        <f>H164*I164</f>
        <v>2.7784</v>
      </c>
    </row>
    <row r="165" spans="1:14">
      <c r="B165" t="s">
        <v>290</v>
      </c>
      <c r="F165" s="8" t="s">
        <v>291</v>
      </c>
      <c r="G165" s="9">
        <v>1</v>
      </c>
      <c r="H165" s="10">
        <f>G165*8/$D$161</f>
        <v>0.8</v>
      </c>
      <c r="I165" s="12">
        <v>28.94</v>
      </c>
      <c r="J165" s="12">
        <f>H165*I165</f>
        <v>23.152000000000001</v>
      </c>
      <c r="N165" s="2"/>
    </row>
    <row r="166" spans="1:14">
      <c r="B166" t="s">
        <v>292</v>
      </c>
      <c r="F166" s="8" t="s">
        <v>291</v>
      </c>
      <c r="G166" s="9">
        <v>1</v>
      </c>
      <c r="H166" s="10">
        <f>G166*8/$D$161</f>
        <v>0.8</v>
      </c>
      <c r="I166">
        <v>22.66</v>
      </c>
      <c r="J166" s="12">
        <f>H166*I166</f>
        <v>18.128</v>
      </c>
      <c r="N166" s="2"/>
    </row>
    <row r="167" spans="1:14">
      <c r="F167" s="8"/>
      <c r="G167" s="9"/>
      <c r="H167" s="10"/>
      <c r="J167" s="6">
        <f>SUM(J164:J166)</f>
        <v>44.058400000000006</v>
      </c>
      <c r="N167" s="2"/>
    </row>
    <row r="168" spans="1:14">
      <c r="B168" s="7" t="s">
        <v>653</v>
      </c>
      <c r="F168" s="8"/>
      <c r="G168" s="9"/>
      <c r="H168" s="10"/>
      <c r="I168" s="10"/>
      <c r="J168" s="12"/>
      <c r="N168" s="2"/>
    </row>
    <row r="169" spans="1:14">
      <c r="B169" t="s">
        <v>1122</v>
      </c>
      <c r="F169" s="8" t="s">
        <v>149</v>
      </c>
      <c r="G169" s="9"/>
      <c r="H169" s="10">
        <v>1</v>
      </c>
      <c r="I169">
        <v>12.5</v>
      </c>
      <c r="J169" s="12">
        <f>H169*I169</f>
        <v>12.5</v>
      </c>
      <c r="N169" s="2"/>
    </row>
    <row r="170" spans="1:14">
      <c r="J170" s="6">
        <f>SUM(J169:J169)</f>
        <v>12.5</v>
      </c>
      <c r="M170" s="2"/>
      <c r="N170" s="2"/>
    </row>
    <row r="171" spans="1:14">
      <c r="B171" s="7" t="s">
        <v>309</v>
      </c>
    </row>
    <row r="172" spans="1:14">
      <c r="B172" t="s">
        <v>310</v>
      </c>
      <c r="F172" s="8" t="s">
        <v>311</v>
      </c>
      <c r="H172" s="10">
        <v>3</v>
      </c>
      <c r="I172" s="12">
        <f>J167</f>
        <v>44.058400000000006</v>
      </c>
      <c r="J172" s="12">
        <f>H172%*I172</f>
        <v>1.321752</v>
      </c>
    </row>
    <row r="173" spans="1:14">
      <c r="A173" s="14"/>
      <c r="B173" s="14"/>
      <c r="C173" s="14"/>
      <c r="D173" s="14"/>
      <c r="E173" s="14"/>
      <c r="F173" s="14"/>
      <c r="G173" s="14"/>
      <c r="H173" s="14"/>
      <c r="I173" s="15"/>
      <c r="J173" s="16">
        <f>SUM(J172)</f>
        <v>1.321752</v>
      </c>
    </row>
    <row r="175" spans="1:14">
      <c r="A175" s="2" t="s">
        <v>277</v>
      </c>
      <c r="B175" s="2" t="str">
        <f>COMUNICACIONES!A14</f>
        <v>06.01.11</v>
      </c>
      <c r="C175" s="2" t="s">
        <v>1124</v>
      </c>
      <c r="D175" s="2"/>
    </row>
    <row r="176" spans="1:14">
      <c r="A176" s="2" t="s">
        <v>278</v>
      </c>
      <c r="B176" s="2" t="s">
        <v>313</v>
      </c>
      <c r="C176" s="4" t="s">
        <v>280</v>
      </c>
      <c r="D176" s="5">
        <v>12</v>
      </c>
      <c r="E176" s="4" t="s">
        <v>281</v>
      </c>
      <c r="F176" s="5">
        <f>D176</f>
        <v>12</v>
      </c>
      <c r="G176" s="2" t="s">
        <v>282</v>
      </c>
      <c r="I176" s="4" t="s">
        <v>144</v>
      </c>
      <c r="J176" s="6">
        <f>J182+J185+J188</f>
        <v>99.340459999999993</v>
      </c>
    </row>
    <row r="177" spans="1:10">
      <c r="A177" s="2" t="s">
        <v>283</v>
      </c>
      <c r="B177" s="2" t="s">
        <v>284</v>
      </c>
      <c r="F177" s="4" t="s">
        <v>122</v>
      </c>
      <c r="G177" s="4" t="s">
        <v>285</v>
      </c>
      <c r="H177" s="4" t="s">
        <v>286</v>
      </c>
      <c r="I177" s="4" t="s">
        <v>287</v>
      </c>
      <c r="J177" s="4" t="s">
        <v>288</v>
      </c>
    </row>
    <row r="178" spans="1:10">
      <c r="B178" s="7" t="s">
        <v>289</v>
      </c>
    </row>
    <row r="179" spans="1:10">
      <c r="B179" t="s">
        <v>650</v>
      </c>
      <c r="F179" s="8" t="s">
        <v>291</v>
      </c>
      <c r="G179" s="9">
        <v>0.1</v>
      </c>
      <c r="H179" s="10">
        <f>G179*8/$D$176</f>
        <v>6.6666666666666666E-2</v>
      </c>
      <c r="I179">
        <v>34.729999999999997</v>
      </c>
      <c r="J179" s="12">
        <f>H179*I179</f>
        <v>2.3153333333333332</v>
      </c>
    </row>
    <row r="180" spans="1:10">
      <c r="B180" t="s">
        <v>290</v>
      </c>
      <c r="F180" s="8" t="s">
        <v>291</v>
      </c>
      <c r="G180" s="9">
        <v>1</v>
      </c>
      <c r="H180" s="10">
        <f>G180*8/$D$176</f>
        <v>0.66666666666666663</v>
      </c>
      <c r="I180" s="12">
        <v>28.94</v>
      </c>
      <c r="J180" s="12">
        <f>H180*I180</f>
        <v>19.293333333333333</v>
      </c>
    </row>
    <row r="181" spans="1:10">
      <c r="B181" t="s">
        <v>293</v>
      </c>
      <c r="F181" s="8" t="s">
        <v>291</v>
      </c>
      <c r="G181" s="9">
        <v>1</v>
      </c>
      <c r="H181" s="10">
        <f>G181*8/$D$176</f>
        <v>0.66666666666666663</v>
      </c>
      <c r="I181">
        <v>20.51</v>
      </c>
      <c r="J181" s="12">
        <f>H181*I181</f>
        <v>13.673333333333334</v>
      </c>
    </row>
    <row r="182" spans="1:10">
      <c r="F182" s="8"/>
      <c r="G182" s="9"/>
      <c r="H182" s="10"/>
      <c r="J182" s="6">
        <f>SUM(J179:J181)</f>
        <v>35.281999999999996</v>
      </c>
    </row>
    <row r="183" spans="1:10">
      <c r="B183" s="7" t="s">
        <v>653</v>
      </c>
      <c r="F183" s="8"/>
      <c r="G183" s="9"/>
      <c r="H183" s="10"/>
      <c r="I183" s="10"/>
      <c r="J183" s="12"/>
    </row>
    <row r="184" spans="1:10">
      <c r="B184" t="s">
        <v>1195</v>
      </c>
      <c r="F184" s="8" t="s">
        <v>149</v>
      </c>
      <c r="G184" s="9"/>
      <c r="H184" s="10">
        <v>1.05</v>
      </c>
      <c r="I184">
        <v>60</v>
      </c>
      <c r="J184" s="12">
        <f>H184*I184</f>
        <v>63</v>
      </c>
    </row>
    <row r="185" spans="1:10">
      <c r="J185" s="6">
        <f>SUM(J184:J184)</f>
        <v>63</v>
      </c>
    </row>
    <row r="186" spans="1:10">
      <c r="B186" s="7" t="s">
        <v>309</v>
      </c>
    </row>
    <row r="187" spans="1:10">
      <c r="B187" t="s">
        <v>310</v>
      </c>
      <c r="F187" s="8" t="s">
        <v>311</v>
      </c>
      <c r="H187" s="10">
        <v>3</v>
      </c>
      <c r="I187" s="12">
        <f>J182</f>
        <v>35.281999999999996</v>
      </c>
      <c r="J187" s="12">
        <f>H187%*I187</f>
        <v>1.05846</v>
      </c>
    </row>
    <row r="188" spans="1:10">
      <c r="A188" s="14"/>
      <c r="B188" s="14"/>
      <c r="C188" s="14"/>
      <c r="D188" s="14"/>
      <c r="E188" s="14"/>
      <c r="F188" s="14"/>
      <c r="G188" s="14"/>
      <c r="H188" s="14"/>
      <c r="I188" s="15"/>
      <c r="J188" s="16">
        <f>SUM(J187)</f>
        <v>1.05846</v>
      </c>
    </row>
    <row r="190" spans="1:10">
      <c r="A190" s="2" t="s">
        <v>277</v>
      </c>
      <c r="B190" s="2" t="str">
        <f>COMUNICACIONES!A16</f>
        <v>06.02.01</v>
      </c>
      <c r="C190" s="2" t="s">
        <v>1127</v>
      </c>
      <c r="D190" s="2"/>
    </row>
    <row r="191" spans="1:10">
      <c r="A191" s="2" t="s">
        <v>278</v>
      </c>
      <c r="B191" s="2" t="s">
        <v>325</v>
      </c>
      <c r="C191" s="4" t="s">
        <v>280</v>
      </c>
      <c r="D191" s="5">
        <v>4</v>
      </c>
      <c r="E191" s="4" t="s">
        <v>281</v>
      </c>
      <c r="F191" s="5">
        <f>D191</f>
        <v>4</v>
      </c>
      <c r="G191" s="2" t="s">
        <v>282</v>
      </c>
      <c r="I191" s="4" t="s">
        <v>149</v>
      </c>
      <c r="J191" s="6">
        <f>J196+J199+J202</f>
        <v>2842.9762000000001</v>
      </c>
    </row>
    <row r="192" spans="1:10">
      <c r="A192" s="2" t="s">
        <v>283</v>
      </c>
      <c r="B192" s="2" t="s">
        <v>284</v>
      </c>
      <c r="F192" s="4" t="s">
        <v>122</v>
      </c>
      <c r="G192" s="4" t="s">
        <v>285</v>
      </c>
      <c r="H192" s="4" t="s">
        <v>286</v>
      </c>
      <c r="I192" s="4" t="s">
        <v>287</v>
      </c>
      <c r="J192" s="4" t="s">
        <v>288</v>
      </c>
    </row>
    <row r="193" spans="1:10">
      <c r="B193" s="7" t="s">
        <v>289</v>
      </c>
    </row>
    <row r="194" spans="1:10">
      <c r="B194" t="s">
        <v>679</v>
      </c>
      <c r="F194" s="8" t="s">
        <v>291</v>
      </c>
      <c r="G194" s="9">
        <v>1</v>
      </c>
      <c r="H194" s="10">
        <f>G194*8/$D$191</f>
        <v>2</v>
      </c>
      <c r="I194" s="12">
        <v>22.66</v>
      </c>
      <c r="J194" s="12">
        <f>H194*I194</f>
        <v>45.32</v>
      </c>
    </row>
    <row r="195" spans="1:10">
      <c r="B195" t="s">
        <v>1174</v>
      </c>
      <c r="F195" s="8" t="s">
        <v>291</v>
      </c>
      <c r="G195" s="9">
        <v>1</v>
      </c>
      <c r="H195" s="10">
        <f>G195*8/$D$191</f>
        <v>2</v>
      </c>
      <c r="I195">
        <v>26.11</v>
      </c>
      <c r="J195" s="12">
        <f>H195*I195</f>
        <v>52.22</v>
      </c>
    </row>
    <row r="196" spans="1:10">
      <c r="F196" s="8"/>
      <c r="G196" s="9"/>
      <c r="H196" s="10"/>
      <c r="J196" s="6">
        <f>SUM(J194:J195)</f>
        <v>97.539999999999992</v>
      </c>
    </row>
    <row r="197" spans="1:10">
      <c r="B197" s="7" t="s">
        <v>653</v>
      </c>
      <c r="F197" s="8"/>
      <c r="G197" s="9"/>
      <c r="H197" s="10"/>
      <c r="I197" s="10"/>
      <c r="J197" s="12"/>
    </row>
    <row r="198" spans="1:10">
      <c r="B198" t="s">
        <v>1196</v>
      </c>
      <c r="F198" s="8" t="s">
        <v>149</v>
      </c>
      <c r="G198" s="9"/>
      <c r="H198" s="10">
        <v>1</v>
      </c>
      <c r="I198">
        <v>2742.51</v>
      </c>
      <c r="J198" s="12">
        <f>H198*I198</f>
        <v>2742.51</v>
      </c>
    </row>
    <row r="199" spans="1:10">
      <c r="J199" s="6">
        <f>SUM(J198:J198)</f>
        <v>2742.51</v>
      </c>
    </row>
    <row r="200" spans="1:10">
      <c r="B200" s="7" t="s">
        <v>309</v>
      </c>
    </row>
    <row r="201" spans="1:10">
      <c r="B201" t="s">
        <v>310</v>
      </c>
      <c r="F201" s="8" t="s">
        <v>311</v>
      </c>
      <c r="H201" s="10">
        <v>3</v>
      </c>
      <c r="I201" s="12">
        <f>J196</f>
        <v>97.539999999999992</v>
      </c>
      <c r="J201" s="12">
        <f>H201%*I201</f>
        <v>2.9261999999999997</v>
      </c>
    </row>
    <row r="202" spans="1:10">
      <c r="A202" s="14"/>
      <c r="B202" s="14"/>
      <c r="C202" s="14"/>
      <c r="D202" s="14"/>
      <c r="E202" s="14"/>
      <c r="F202" s="14"/>
      <c r="G202" s="14"/>
      <c r="H202" s="14"/>
      <c r="I202" s="15"/>
      <c r="J202" s="16">
        <f>SUM(J201)</f>
        <v>2.9261999999999997</v>
      </c>
    </row>
    <row r="204" spans="1:10">
      <c r="A204" s="2" t="s">
        <v>277</v>
      </c>
      <c r="B204" s="2" t="str">
        <f>COMUNICACIONES!A17</f>
        <v>06.02.02</v>
      </c>
      <c r="C204" s="2" t="s">
        <v>1129</v>
      </c>
      <c r="D204" s="2"/>
    </row>
    <row r="205" spans="1:10">
      <c r="A205" s="2" t="s">
        <v>278</v>
      </c>
      <c r="B205" s="2" t="s">
        <v>325</v>
      </c>
      <c r="C205" s="4" t="s">
        <v>280</v>
      </c>
      <c r="D205" s="5">
        <v>4</v>
      </c>
      <c r="E205" s="4" t="s">
        <v>281</v>
      </c>
      <c r="F205" s="5">
        <f>D205</f>
        <v>4</v>
      </c>
      <c r="G205" s="2" t="s">
        <v>282</v>
      </c>
      <c r="I205" s="4" t="s">
        <v>149</v>
      </c>
      <c r="J205" s="6">
        <f>J210+J213+J216</f>
        <v>813.08619999999996</v>
      </c>
    </row>
    <row r="206" spans="1:10">
      <c r="A206" s="2" t="s">
        <v>283</v>
      </c>
      <c r="B206" s="2" t="s">
        <v>284</v>
      </c>
      <c r="F206" s="4" t="s">
        <v>122</v>
      </c>
      <c r="G206" s="4" t="s">
        <v>285</v>
      </c>
      <c r="H206" s="4" t="s">
        <v>286</v>
      </c>
      <c r="I206" s="4" t="s">
        <v>287</v>
      </c>
      <c r="J206" s="4" t="s">
        <v>288</v>
      </c>
    </row>
    <row r="207" spans="1:10">
      <c r="B207" s="7" t="s">
        <v>289</v>
      </c>
    </row>
    <row r="208" spans="1:10">
      <c r="B208" t="s">
        <v>679</v>
      </c>
      <c r="F208" s="8" t="s">
        <v>291</v>
      </c>
      <c r="G208" s="9">
        <v>1</v>
      </c>
      <c r="H208" s="10">
        <f>G208*8/$D$205</f>
        <v>2</v>
      </c>
      <c r="I208" s="12">
        <v>22.66</v>
      </c>
      <c r="J208" s="12">
        <f>H208*I208</f>
        <v>45.32</v>
      </c>
    </row>
    <row r="209" spans="1:10">
      <c r="B209" t="s">
        <v>1174</v>
      </c>
      <c r="F209" s="8" t="s">
        <v>291</v>
      </c>
      <c r="G209" s="9">
        <v>1</v>
      </c>
      <c r="H209" s="10">
        <f>G209*8/$D$205</f>
        <v>2</v>
      </c>
      <c r="I209">
        <v>26.11</v>
      </c>
      <c r="J209" s="12">
        <f>H209*I209</f>
        <v>52.22</v>
      </c>
    </row>
    <row r="210" spans="1:10">
      <c r="F210" s="8"/>
      <c r="G210" s="9"/>
      <c r="H210" s="10"/>
      <c r="J210" s="6">
        <f>SUM(J208:J209)</f>
        <v>97.539999999999992</v>
      </c>
    </row>
    <row r="211" spans="1:10">
      <c r="B211" s="7" t="s">
        <v>653</v>
      </c>
      <c r="F211" s="8"/>
      <c r="G211" s="9"/>
      <c r="H211" s="10"/>
      <c r="I211" s="10"/>
      <c r="J211" s="12"/>
    </row>
    <row r="212" spans="1:10">
      <c r="B212" t="s">
        <v>1197</v>
      </c>
      <c r="F212" s="8" t="s">
        <v>149</v>
      </c>
      <c r="G212" s="9"/>
      <c r="H212" s="10">
        <v>1</v>
      </c>
      <c r="I212">
        <v>712.62</v>
      </c>
      <c r="J212" s="12">
        <f>H212*I212</f>
        <v>712.62</v>
      </c>
    </row>
    <row r="213" spans="1:10">
      <c r="J213" s="6">
        <f>SUM(J212:J212)</f>
        <v>712.62</v>
      </c>
    </row>
    <row r="214" spans="1:10">
      <c r="B214" s="7" t="s">
        <v>309</v>
      </c>
    </row>
    <row r="215" spans="1:10">
      <c r="B215" t="s">
        <v>310</v>
      </c>
      <c r="F215" s="8" t="s">
        <v>311</v>
      </c>
      <c r="H215" s="10">
        <v>3</v>
      </c>
      <c r="I215" s="12">
        <f>J210</f>
        <v>97.539999999999992</v>
      </c>
      <c r="J215" s="12">
        <f>H215%*I215</f>
        <v>2.9261999999999997</v>
      </c>
    </row>
    <row r="216" spans="1:10">
      <c r="A216" s="14"/>
      <c r="B216" s="14"/>
      <c r="C216" s="14"/>
      <c r="D216" s="14"/>
      <c r="E216" s="14"/>
      <c r="F216" s="14"/>
      <c r="G216" s="14"/>
      <c r="H216" s="14"/>
      <c r="I216" s="15"/>
      <c r="J216" s="16">
        <f>SUM(J215)</f>
        <v>2.9261999999999997</v>
      </c>
    </row>
    <row r="217" spans="1:10">
      <c r="A217" s="53"/>
      <c r="B217" s="53"/>
      <c r="C217" s="53"/>
      <c r="D217" s="53"/>
      <c r="E217" s="53"/>
      <c r="F217" s="53"/>
      <c r="G217" s="53"/>
    </row>
    <row r="218" spans="1:10">
      <c r="A218" s="2" t="s">
        <v>277</v>
      </c>
      <c r="B218" s="2" t="str">
        <f>COMUNICACIONES!A18</f>
        <v>06.02.03</v>
      </c>
      <c r="C218" s="2" t="s">
        <v>1131</v>
      </c>
      <c r="D218" s="2"/>
    </row>
    <row r="219" spans="1:10">
      <c r="A219" s="2" t="s">
        <v>278</v>
      </c>
      <c r="B219" s="2" t="s">
        <v>325</v>
      </c>
      <c r="C219" s="4" t="s">
        <v>280</v>
      </c>
      <c r="D219" s="5">
        <v>4</v>
      </c>
      <c r="E219" s="4" t="s">
        <v>281</v>
      </c>
      <c r="F219" s="5">
        <f>D219</f>
        <v>4</v>
      </c>
      <c r="G219" s="2" t="s">
        <v>282</v>
      </c>
      <c r="I219" s="4" t="s">
        <v>149</v>
      </c>
      <c r="J219" s="6">
        <f>J224+J227+J230</f>
        <v>2276.0061999999998</v>
      </c>
    </row>
    <row r="220" spans="1:10">
      <c r="A220" s="2" t="s">
        <v>283</v>
      </c>
      <c r="B220" s="2" t="s">
        <v>284</v>
      </c>
      <c r="F220" s="4" t="s">
        <v>122</v>
      </c>
      <c r="G220" s="4" t="s">
        <v>285</v>
      </c>
      <c r="H220" s="4" t="s">
        <v>286</v>
      </c>
      <c r="I220" s="4" t="s">
        <v>287</v>
      </c>
      <c r="J220" s="4" t="s">
        <v>288</v>
      </c>
    </row>
    <row r="221" spans="1:10">
      <c r="B221" s="7" t="s">
        <v>289</v>
      </c>
    </row>
    <row r="222" spans="1:10">
      <c r="B222" t="s">
        <v>679</v>
      </c>
      <c r="F222" s="8" t="s">
        <v>291</v>
      </c>
      <c r="G222" s="9">
        <v>1</v>
      </c>
      <c r="H222" s="10">
        <f>G222*8/$D$219</f>
        <v>2</v>
      </c>
      <c r="I222" s="12">
        <v>22.66</v>
      </c>
      <c r="J222" s="12">
        <f>H222*I222</f>
        <v>45.32</v>
      </c>
    </row>
    <row r="223" spans="1:10">
      <c r="B223" t="s">
        <v>1174</v>
      </c>
      <c r="F223" s="8" t="s">
        <v>291</v>
      </c>
      <c r="G223" s="9">
        <v>1</v>
      </c>
      <c r="H223" s="10">
        <f>G223*8/$D$219</f>
        <v>2</v>
      </c>
      <c r="I223">
        <v>26.11</v>
      </c>
      <c r="J223" s="12">
        <f>H223*I223</f>
        <v>52.22</v>
      </c>
    </row>
    <row r="224" spans="1:10">
      <c r="F224" s="8"/>
      <c r="G224" s="9"/>
      <c r="H224" s="10"/>
      <c r="J224" s="6">
        <f>SUM(J222:J223)</f>
        <v>97.539999999999992</v>
      </c>
    </row>
    <row r="225" spans="1:10">
      <c r="B225" s="7" t="s">
        <v>653</v>
      </c>
      <c r="F225" s="8"/>
      <c r="G225" s="9"/>
      <c r="H225" s="10"/>
      <c r="I225" s="10"/>
      <c r="J225" s="12"/>
    </row>
    <row r="226" spans="1:10">
      <c r="B226" t="s">
        <v>1198</v>
      </c>
      <c r="F226" s="8" t="s">
        <v>149</v>
      </c>
      <c r="G226" s="9"/>
      <c r="H226" s="10">
        <v>1</v>
      </c>
      <c r="I226">
        <v>2175.54</v>
      </c>
      <c r="J226" s="12">
        <f>H226*I226</f>
        <v>2175.54</v>
      </c>
    </row>
    <row r="227" spans="1:10">
      <c r="J227" s="6">
        <f>SUM(J226:J226)</f>
        <v>2175.54</v>
      </c>
    </row>
    <row r="228" spans="1:10">
      <c r="B228" s="7" t="s">
        <v>309</v>
      </c>
    </row>
    <row r="229" spans="1:10">
      <c r="B229" t="s">
        <v>310</v>
      </c>
      <c r="F229" s="8" t="s">
        <v>311</v>
      </c>
      <c r="H229" s="10">
        <v>3</v>
      </c>
      <c r="I229" s="12">
        <f>J224</f>
        <v>97.539999999999992</v>
      </c>
      <c r="J229" s="12">
        <f>H229%*I229</f>
        <v>2.9261999999999997</v>
      </c>
    </row>
    <row r="230" spans="1:10">
      <c r="A230" s="14"/>
      <c r="B230" s="14"/>
      <c r="C230" s="14"/>
      <c r="D230" s="14"/>
      <c r="E230" s="14"/>
      <c r="F230" s="14"/>
      <c r="G230" s="14"/>
      <c r="H230" s="14"/>
      <c r="I230" s="15"/>
      <c r="J230" s="16">
        <f>SUM(J229)</f>
        <v>2.9261999999999997</v>
      </c>
    </row>
    <row r="231" spans="1:10">
      <c r="A231" s="53"/>
      <c r="B231" s="53"/>
      <c r="C231" s="53"/>
      <c r="D231" s="53"/>
      <c r="E231" s="53"/>
      <c r="F231" s="53"/>
      <c r="G231" s="53"/>
    </row>
    <row r="232" spans="1:10">
      <c r="A232" s="2" t="s">
        <v>277</v>
      </c>
      <c r="B232" s="2" t="str">
        <f>COMUNICACIONES!A19</f>
        <v>06.02.04</v>
      </c>
      <c r="C232" s="2" t="s">
        <v>1131</v>
      </c>
      <c r="D232" s="2"/>
    </row>
    <row r="233" spans="1:10">
      <c r="A233" s="2" t="s">
        <v>278</v>
      </c>
      <c r="B233" s="2" t="s">
        <v>325</v>
      </c>
      <c r="C233" s="4" t="s">
        <v>280</v>
      </c>
      <c r="D233" s="5">
        <v>4</v>
      </c>
      <c r="E233" s="4" t="s">
        <v>281</v>
      </c>
      <c r="F233" s="5">
        <f>D233</f>
        <v>4</v>
      </c>
      <c r="G233" s="2" t="s">
        <v>282</v>
      </c>
      <c r="I233" s="4" t="s">
        <v>149</v>
      </c>
      <c r="J233" s="6">
        <f>J238+J241+J244</f>
        <v>460.53620000000001</v>
      </c>
    </row>
    <row r="234" spans="1:10">
      <c r="A234" s="2" t="s">
        <v>283</v>
      </c>
      <c r="B234" s="2" t="s">
        <v>284</v>
      </c>
      <c r="F234" s="4" t="s">
        <v>122</v>
      </c>
      <c r="G234" s="4" t="s">
        <v>285</v>
      </c>
      <c r="H234" s="4" t="s">
        <v>286</v>
      </c>
      <c r="I234" s="4" t="s">
        <v>287</v>
      </c>
      <c r="J234" s="4" t="s">
        <v>288</v>
      </c>
    </row>
    <row r="235" spans="1:10">
      <c r="B235" s="7" t="s">
        <v>289</v>
      </c>
    </row>
    <row r="236" spans="1:10">
      <c r="B236" t="s">
        <v>679</v>
      </c>
      <c r="F236" s="8" t="s">
        <v>291</v>
      </c>
      <c r="G236" s="9">
        <v>1</v>
      </c>
      <c r="H236" s="10">
        <f>G236*8/$D$233</f>
        <v>2</v>
      </c>
      <c r="I236" s="12">
        <v>22.66</v>
      </c>
      <c r="J236" s="12">
        <f>H236*I236</f>
        <v>45.32</v>
      </c>
    </row>
    <row r="237" spans="1:10">
      <c r="B237" t="s">
        <v>1174</v>
      </c>
      <c r="F237" s="8" t="s">
        <v>291</v>
      </c>
      <c r="G237" s="9">
        <v>1</v>
      </c>
      <c r="H237" s="10">
        <f>G237*8/$D$233</f>
        <v>2</v>
      </c>
      <c r="I237">
        <v>26.11</v>
      </c>
      <c r="J237" s="12">
        <f>H237*I237</f>
        <v>52.22</v>
      </c>
    </row>
    <row r="238" spans="1:10">
      <c r="F238" s="8"/>
      <c r="G238" s="9"/>
      <c r="H238" s="10"/>
      <c r="J238" s="6">
        <f>SUM(J236:J237)</f>
        <v>97.539999999999992</v>
      </c>
    </row>
    <row r="239" spans="1:10">
      <c r="B239" s="7" t="s">
        <v>653</v>
      </c>
      <c r="F239" s="8"/>
      <c r="G239" s="9"/>
      <c r="H239" s="10"/>
      <c r="I239" s="10"/>
      <c r="J239" s="12"/>
    </row>
    <row r="240" spans="1:10">
      <c r="B240" t="s">
        <v>1199</v>
      </c>
      <c r="F240" s="8" t="s">
        <v>149</v>
      </c>
      <c r="G240" s="9"/>
      <c r="H240" s="10">
        <v>1</v>
      </c>
      <c r="I240">
        <v>360.07</v>
      </c>
      <c r="J240" s="12">
        <f>H240*I240</f>
        <v>360.07</v>
      </c>
    </row>
    <row r="241" spans="1:15">
      <c r="J241" s="6">
        <f>SUM(J240:J240)</f>
        <v>360.07</v>
      </c>
    </row>
    <row r="242" spans="1:15">
      <c r="B242" s="7" t="s">
        <v>309</v>
      </c>
    </row>
    <row r="243" spans="1:15">
      <c r="B243" t="s">
        <v>310</v>
      </c>
      <c r="F243" s="8" t="s">
        <v>311</v>
      </c>
      <c r="H243" s="10">
        <v>3</v>
      </c>
      <c r="I243" s="12">
        <f>J238</f>
        <v>97.539999999999992</v>
      </c>
      <c r="J243" s="12">
        <f>H243%*I243</f>
        <v>2.9261999999999997</v>
      </c>
    </row>
    <row r="244" spans="1:15">
      <c r="A244" s="14"/>
      <c r="B244" s="14"/>
      <c r="C244" s="14"/>
      <c r="D244" s="14"/>
      <c r="E244" s="14"/>
      <c r="F244" s="14"/>
      <c r="G244" s="14"/>
      <c r="H244" s="14"/>
      <c r="I244" s="15"/>
      <c r="J244" s="16">
        <f>SUM(J243)</f>
        <v>2.9261999999999997</v>
      </c>
    </row>
    <row r="245" spans="1:15">
      <c r="A245" s="53"/>
      <c r="B245" s="53"/>
      <c r="C245" s="53"/>
      <c r="D245" s="53"/>
      <c r="E245" s="53"/>
      <c r="F245" s="53"/>
      <c r="G245" s="56"/>
    </row>
    <row r="246" spans="1:15">
      <c r="A246" s="2" t="s">
        <v>277</v>
      </c>
      <c r="B246" s="2" t="str">
        <f>COMUNICACIONES!A20</f>
        <v>06.02.05</v>
      </c>
      <c r="C246" s="2" t="s">
        <v>1135</v>
      </c>
      <c r="D246" s="2"/>
    </row>
    <row r="247" spans="1:15">
      <c r="A247" s="2" t="s">
        <v>278</v>
      </c>
      <c r="B247" s="2" t="s">
        <v>325</v>
      </c>
      <c r="C247" s="4" t="s">
        <v>280</v>
      </c>
      <c r="D247" s="5">
        <v>3</v>
      </c>
      <c r="E247" s="4" t="s">
        <v>281</v>
      </c>
      <c r="F247" s="5">
        <f>D247</f>
        <v>3</v>
      </c>
      <c r="G247" s="2" t="s">
        <v>282</v>
      </c>
      <c r="I247" s="4" t="s">
        <v>149</v>
      </c>
      <c r="J247" s="6">
        <f>J252+J255+J258</f>
        <v>15436.004933333332</v>
      </c>
    </row>
    <row r="248" spans="1:15">
      <c r="A248" s="2" t="s">
        <v>283</v>
      </c>
      <c r="B248" s="2" t="s">
        <v>284</v>
      </c>
      <c r="F248" s="4" t="s">
        <v>122</v>
      </c>
      <c r="G248" s="4" t="s">
        <v>285</v>
      </c>
      <c r="H248" s="4" t="s">
        <v>286</v>
      </c>
      <c r="I248" s="4" t="s">
        <v>287</v>
      </c>
      <c r="J248" s="4" t="s">
        <v>288</v>
      </c>
      <c r="O248" s="2"/>
    </row>
    <row r="249" spans="1:15">
      <c r="B249" s="7" t="s">
        <v>289</v>
      </c>
      <c r="O249" s="2"/>
    </row>
    <row r="250" spans="1:15">
      <c r="B250" t="s">
        <v>679</v>
      </c>
      <c r="F250" s="8" t="s">
        <v>291</v>
      </c>
      <c r="G250" s="9">
        <v>1</v>
      </c>
      <c r="H250" s="10">
        <f>G250*8/$D$247</f>
        <v>2.6666666666666665</v>
      </c>
      <c r="I250" s="12">
        <v>22.66</v>
      </c>
      <c r="J250" s="12">
        <f>H250*I250</f>
        <v>60.426666666666662</v>
      </c>
      <c r="O250" s="2"/>
    </row>
    <row r="251" spans="1:15">
      <c r="B251" t="s">
        <v>1174</v>
      </c>
      <c r="F251" s="8" t="s">
        <v>291</v>
      </c>
      <c r="G251" s="9">
        <v>1</v>
      </c>
      <c r="H251" s="10">
        <f>G251*8/$D$247</f>
        <v>2.6666666666666665</v>
      </c>
      <c r="I251">
        <v>26.11</v>
      </c>
      <c r="J251" s="12">
        <f>H251*I251</f>
        <v>69.626666666666665</v>
      </c>
      <c r="O251" s="2"/>
    </row>
    <row r="252" spans="1:15">
      <c r="F252" s="8"/>
      <c r="G252" s="9"/>
      <c r="H252" s="10"/>
      <c r="J252" s="6">
        <f>SUM(J250:J251)</f>
        <v>130.05333333333334</v>
      </c>
      <c r="O252" s="2"/>
    </row>
    <row r="253" spans="1:15">
      <c r="B253" s="7" t="s">
        <v>653</v>
      </c>
      <c r="F253" s="8"/>
      <c r="G253" s="9"/>
      <c r="H253" s="10"/>
      <c r="I253" s="10"/>
      <c r="J253" s="12"/>
    </row>
    <row r="254" spans="1:15">
      <c r="B254" t="s">
        <v>1200</v>
      </c>
      <c r="F254" s="8" t="s">
        <v>149</v>
      </c>
      <c r="G254" s="9"/>
      <c r="H254" s="10">
        <v>1</v>
      </c>
      <c r="I254">
        <v>15302.05</v>
      </c>
      <c r="J254" s="12">
        <f>H254*I254</f>
        <v>15302.05</v>
      </c>
    </row>
    <row r="255" spans="1:15">
      <c r="J255" s="6">
        <f>SUM(J254:J254)</f>
        <v>15302.05</v>
      </c>
    </row>
    <row r="256" spans="1:15">
      <c r="B256" s="7" t="s">
        <v>309</v>
      </c>
    </row>
    <row r="257" spans="1:10">
      <c r="B257" t="s">
        <v>310</v>
      </c>
      <c r="F257" s="8" t="s">
        <v>311</v>
      </c>
      <c r="H257" s="10">
        <v>3</v>
      </c>
      <c r="I257" s="12">
        <f>J252</f>
        <v>130.05333333333334</v>
      </c>
      <c r="J257" s="12">
        <f>H257%*I257</f>
        <v>3.9016000000000002</v>
      </c>
    </row>
    <row r="258" spans="1:10">
      <c r="A258" s="14"/>
      <c r="B258" s="14"/>
      <c r="C258" s="14"/>
      <c r="D258" s="14"/>
      <c r="E258" s="14"/>
      <c r="F258" s="14"/>
      <c r="G258" s="14"/>
      <c r="H258" s="14"/>
      <c r="I258" s="15"/>
      <c r="J258" s="16">
        <f>SUM(J257)</f>
        <v>3.9016000000000002</v>
      </c>
    </row>
    <row r="259" spans="1:10">
      <c r="A259" s="53"/>
      <c r="B259" s="53"/>
      <c r="C259" s="53"/>
      <c r="D259" s="53"/>
      <c r="E259" s="53"/>
      <c r="F259" s="53"/>
      <c r="G259" s="53"/>
    </row>
    <row r="260" spans="1:10">
      <c r="A260" s="2" t="s">
        <v>277</v>
      </c>
      <c r="B260" s="2" t="str">
        <f>COMUNICACIONES!A21</f>
        <v>06.02.06</v>
      </c>
      <c r="C260" s="2" t="s">
        <v>1137</v>
      </c>
      <c r="D260" s="2"/>
    </row>
    <row r="261" spans="1:10">
      <c r="A261" s="2" t="s">
        <v>278</v>
      </c>
      <c r="B261" s="2" t="s">
        <v>325</v>
      </c>
      <c r="C261" s="4" t="s">
        <v>280</v>
      </c>
      <c r="D261" s="5">
        <v>3</v>
      </c>
      <c r="E261" s="4" t="s">
        <v>281</v>
      </c>
      <c r="F261" s="5">
        <f>D261</f>
        <v>3</v>
      </c>
      <c r="G261" s="2" t="s">
        <v>282</v>
      </c>
      <c r="I261" s="4" t="s">
        <v>149</v>
      </c>
      <c r="J261" s="6">
        <f>J266+J269+J272</f>
        <v>14367.004933333332</v>
      </c>
    </row>
    <row r="262" spans="1:10">
      <c r="A262" s="2" t="s">
        <v>283</v>
      </c>
      <c r="B262" s="2" t="s">
        <v>284</v>
      </c>
      <c r="F262" s="4" t="s">
        <v>122</v>
      </c>
      <c r="G262" s="4" t="s">
        <v>285</v>
      </c>
      <c r="H262" s="4" t="s">
        <v>286</v>
      </c>
      <c r="I262" s="4" t="s">
        <v>287</v>
      </c>
      <c r="J262" s="4" t="s">
        <v>288</v>
      </c>
    </row>
    <row r="263" spans="1:10">
      <c r="B263" s="7" t="s">
        <v>289</v>
      </c>
    </row>
    <row r="264" spans="1:10">
      <c r="B264" t="s">
        <v>679</v>
      </c>
      <c r="F264" s="8" t="s">
        <v>291</v>
      </c>
      <c r="G264" s="9">
        <v>1</v>
      </c>
      <c r="H264" s="10">
        <f>G264*8/$D$261</f>
        <v>2.6666666666666665</v>
      </c>
      <c r="I264" s="12">
        <v>22.66</v>
      </c>
      <c r="J264" s="12">
        <f>H264*I264</f>
        <v>60.426666666666662</v>
      </c>
    </row>
    <row r="265" spans="1:10">
      <c r="B265" t="s">
        <v>1174</v>
      </c>
      <c r="F265" s="8" t="s">
        <v>291</v>
      </c>
      <c r="G265" s="9">
        <v>1</v>
      </c>
      <c r="H265" s="10">
        <f>G265*8/$D$261</f>
        <v>2.6666666666666665</v>
      </c>
      <c r="I265">
        <v>26.11</v>
      </c>
      <c r="J265" s="12">
        <f>H265*I265</f>
        <v>69.626666666666665</v>
      </c>
    </row>
    <row r="266" spans="1:10">
      <c r="F266" s="8"/>
      <c r="G266" s="9"/>
      <c r="H266" s="10"/>
      <c r="J266" s="6">
        <f>SUM(J264:J265)</f>
        <v>130.05333333333334</v>
      </c>
    </row>
    <row r="267" spans="1:10">
      <c r="B267" s="7" t="s">
        <v>653</v>
      </c>
      <c r="F267" s="8"/>
      <c r="G267" s="9"/>
      <c r="H267" s="10"/>
      <c r="I267" s="10"/>
      <c r="J267" s="12"/>
    </row>
    <row r="268" spans="1:10">
      <c r="B268" t="s">
        <v>1201</v>
      </c>
      <c r="F268" s="8" t="s">
        <v>149</v>
      </c>
      <c r="G268" s="9"/>
      <c r="H268" s="10">
        <v>1</v>
      </c>
      <c r="I268">
        <v>14233.05</v>
      </c>
      <c r="J268" s="12">
        <f>H268*I268</f>
        <v>14233.05</v>
      </c>
    </row>
    <row r="269" spans="1:10">
      <c r="J269" s="6">
        <f>SUM(J268:J268)</f>
        <v>14233.05</v>
      </c>
    </row>
    <row r="270" spans="1:10">
      <c r="B270" s="7" t="s">
        <v>309</v>
      </c>
    </row>
    <row r="271" spans="1:10">
      <c r="B271" t="s">
        <v>310</v>
      </c>
      <c r="F271" s="8" t="s">
        <v>311</v>
      </c>
      <c r="H271" s="10">
        <v>3</v>
      </c>
      <c r="I271" s="12">
        <f>J266</f>
        <v>130.05333333333334</v>
      </c>
      <c r="J271" s="12">
        <f>H271%*I271</f>
        <v>3.9016000000000002</v>
      </c>
    </row>
    <row r="272" spans="1:10">
      <c r="A272" s="14"/>
      <c r="B272" s="14"/>
      <c r="C272" s="14"/>
      <c r="D272" s="14"/>
      <c r="E272" s="14"/>
      <c r="F272" s="14"/>
      <c r="G272" s="14"/>
      <c r="H272" s="14"/>
      <c r="I272" s="15"/>
      <c r="J272" s="16">
        <f>SUM(J271)</f>
        <v>3.9016000000000002</v>
      </c>
    </row>
    <row r="273" spans="1:10">
      <c r="A273" s="53"/>
      <c r="B273" s="56"/>
      <c r="C273" s="53"/>
      <c r="D273" s="56"/>
      <c r="E273" s="56"/>
      <c r="F273" s="56"/>
      <c r="G273" s="56"/>
    </row>
    <row r="274" spans="1:10">
      <c r="A274" s="2" t="s">
        <v>277</v>
      </c>
      <c r="B274" s="2" t="str">
        <f>COMUNICACIONES!A22</f>
        <v>06.02.07</v>
      </c>
      <c r="C274" s="2" t="s">
        <v>1139</v>
      </c>
      <c r="D274" s="2"/>
    </row>
    <row r="275" spans="1:10">
      <c r="A275" s="2" t="s">
        <v>278</v>
      </c>
      <c r="B275" s="2" t="s">
        <v>325</v>
      </c>
      <c r="C275" s="4" t="s">
        <v>280</v>
      </c>
      <c r="D275" s="5">
        <v>4</v>
      </c>
      <c r="E275" s="4" t="s">
        <v>281</v>
      </c>
      <c r="F275" s="5">
        <f>D275</f>
        <v>4</v>
      </c>
      <c r="G275" s="2" t="s">
        <v>282</v>
      </c>
      <c r="I275" s="4" t="s">
        <v>149</v>
      </c>
      <c r="J275" s="6">
        <f>J280+J283+J286</f>
        <v>1343.8062</v>
      </c>
    </row>
    <row r="276" spans="1:10">
      <c r="A276" s="2" t="s">
        <v>283</v>
      </c>
      <c r="B276" s="2" t="s">
        <v>284</v>
      </c>
      <c r="F276" s="4" t="s">
        <v>122</v>
      </c>
      <c r="G276" s="4" t="s">
        <v>285</v>
      </c>
      <c r="H276" s="4" t="s">
        <v>286</v>
      </c>
      <c r="I276" s="4" t="s">
        <v>287</v>
      </c>
      <c r="J276" s="4" t="s">
        <v>288</v>
      </c>
    </row>
    <row r="277" spans="1:10">
      <c r="B277" s="7" t="s">
        <v>289</v>
      </c>
    </row>
    <row r="278" spans="1:10">
      <c r="B278" t="s">
        <v>679</v>
      </c>
      <c r="F278" s="8" t="s">
        <v>291</v>
      </c>
      <c r="G278" s="9">
        <v>1</v>
      </c>
      <c r="H278" s="10">
        <f>G278*8/$D$275</f>
        <v>2</v>
      </c>
      <c r="I278" s="12">
        <v>22.66</v>
      </c>
      <c r="J278" s="12">
        <f>H278*I278</f>
        <v>45.32</v>
      </c>
    </row>
    <row r="279" spans="1:10">
      <c r="B279" t="s">
        <v>1174</v>
      </c>
      <c r="F279" s="8" t="s">
        <v>291</v>
      </c>
      <c r="G279" s="9">
        <v>1</v>
      </c>
      <c r="H279" s="10">
        <f>G279*8/$D$275</f>
        <v>2</v>
      </c>
      <c r="I279">
        <v>26.11</v>
      </c>
      <c r="J279" s="12">
        <f>H279*I279</f>
        <v>52.22</v>
      </c>
    </row>
    <row r="280" spans="1:10">
      <c r="F280" s="8"/>
      <c r="G280" s="9"/>
      <c r="H280" s="10"/>
      <c r="J280" s="6">
        <f>SUM(J278:J279)</f>
        <v>97.539999999999992</v>
      </c>
    </row>
    <row r="281" spans="1:10">
      <c r="B281" s="7" t="s">
        <v>653</v>
      </c>
      <c r="F281" s="8"/>
      <c r="G281" s="9"/>
      <c r="H281" s="10"/>
      <c r="I281" s="10"/>
      <c r="J281" s="12"/>
    </row>
    <row r="282" spans="1:10">
      <c r="B282" t="s">
        <v>1202</v>
      </c>
      <c r="F282" s="8" t="s">
        <v>149</v>
      </c>
      <c r="G282" s="9"/>
      <c r="H282" s="10">
        <v>1</v>
      </c>
      <c r="I282">
        <v>1243.3399999999999</v>
      </c>
      <c r="J282" s="12">
        <f>H282*I282</f>
        <v>1243.3399999999999</v>
      </c>
    </row>
    <row r="283" spans="1:10">
      <c r="J283" s="6">
        <f>SUM(J282:J282)</f>
        <v>1243.3399999999999</v>
      </c>
    </row>
    <row r="284" spans="1:10">
      <c r="B284" s="7" t="s">
        <v>309</v>
      </c>
    </row>
    <row r="285" spans="1:10">
      <c r="B285" t="s">
        <v>310</v>
      </c>
      <c r="F285" s="8" t="s">
        <v>311</v>
      </c>
      <c r="H285" s="10">
        <v>3</v>
      </c>
      <c r="I285" s="12">
        <f>J280</f>
        <v>97.539999999999992</v>
      </c>
      <c r="J285" s="12">
        <f>H285%*I285</f>
        <v>2.9261999999999997</v>
      </c>
    </row>
    <row r="286" spans="1:10">
      <c r="A286" s="14"/>
      <c r="B286" s="14"/>
      <c r="C286" s="14"/>
      <c r="D286" s="14"/>
      <c r="E286" s="14"/>
      <c r="F286" s="14"/>
      <c r="G286" s="14"/>
      <c r="H286" s="14"/>
      <c r="I286" s="15"/>
      <c r="J286" s="16">
        <f>SUM(J285)</f>
        <v>2.9261999999999997</v>
      </c>
    </row>
    <row r="287" spans="1:10">
      <c r="A287" s="52"/>
      <c r="B287" s="56"/>
      <c r="C287" s="53"/>
      <c r="D287" s="53"/>
      <c r="E287" s="52"/>
      <c r="F287" s="57"/>
      <c r="G287" s="53"/>
    </row>
    <row r="288" spans="1:10">
      <c r="A288" s="2" t="s">
        <v>277</v>
      </c>
      <c r="B288" s="2" t="str">
        <f>COMUNICACIONES!A23</f>
        <v>06.02.08</v>
      </c>
      <c r="C288" s="2" t="s">
        <v>1141</v>
      </c>
      <c r="D288" s="2"/>
    </row>
    <row r="289" spans="1:10">
      <c r="A289" s="2" t="s">
        <v>278</v>
      </c>
      <c r="B289" s="2" t="s">
        <v>325</v>
      </c>
      <c r="C289" s="4" t="s">
        <v>280</v>
      </c>
      <c r="D289" s="5">
        <v>4</v>
      </c>
      <c r="E289" s="4" t="s">
        <v>281</v>
      </c>
      <c r="F289" s="5">
        <f>D289</f>
        <v>4</v>
      </c>
      <c r="G289" s="2" t="s">
        <v>282</v>
      </c>
      <c r="I289" s="4" t="s">
        <v>149</v>
      </c>
      <c r="J289" s="6">
        <f>J294+J297+J300</f>
        <v>456.63620000000003</v>
      </c>
    </row>
    <row r="290" spans="1:10">
      <c r="A290" s="2" t="s">
        <v>283</v>
      </c>
      <c r="B290" s="2" t="s">
        <v>284</v>
      </c>
      <c r="F290" s="4" t="s">
        <v>122</v>
      </c>
      <c r="G290" s="4" t="s">
        <v>285</v>
      </c>
      <c r="H290" s="4" t="s">
        <v>286</v>
      </c>
      <c r="I290" s="4" t="s">
        <v>287</v>
      </c>
      <c r="J290" s="4" t="s">
        <v>288</v>
      </c>
    </row>
    <row r="291" spans="1:10">
      <c r="B291" s="7" t="s">
        <v>289</v>
      </c>
    </row>
    <row r="292" spans="1:10">
      <c r="B292" t="s">
        <v>679</v>
      </c>
      <c r="F292" s="8" t="s">
        <v>291</v>
      </c>
      <c r="G292" s="9">
        <v>1</v>
      </c>
      <c r="H292" s="10">
        <f>G292*8/$D$289</f>
        <v>2</v>
      </c>
      <c r="I292" s="12">
        <v>22.66</v>
      </c>
      <c r="J292" s="12">
        <f>H292*I292</f>
        <v>45.32</v>
      </c>
    </row>
    <row r="293" spans="1:10">
      <c r="B293" t="s">
        <v>1174</v>
      </c>
      <c r="F293" s="8" t="s">
        <v>291</v>
      </c>
      <c r="G293" s="9">
        <v>1</v>
      </c>
      <c r="H293" s="10">
        <f>G293*8/$D$289</f>
        <v>2</v>
      </c>
      <c r="I293">
        <v>26.11</v>
      </c>
      <c r="J293" s="12">
        <f>H293*I293</f>
        <v>52.22</v>
      </c>
    </row>
    <row r="294" spans="1:10">
      <c r="F294" s="8"/>
      <c r="G294" s="9"/>
      <c r="H294" s="10"/>
      <c r="J294" s="6">
        <f>SUM(J292:J293)</f>
        <v>97.539999999999992</v>
      </c>
    </row>
    <row r="295" spans="1:10">
      <c r="B295" s="7" t="s">
        <v>653</v>
      </c>
      <c r="F295" s="8"/>
      <c r="G295" s="9"/>
      <c r="H295" s="10"/>
      <c r="I295" s="10"/>
      <c r="J295" s="12"/>
    </row>
    <row r="296" spans="1:10">
      <c r="B296" t="s">
        <v>1203</v>
      </c>
      <c r="F296" s="8" t="s">
        <v>149</v>
      </c>
      <c r="G296" s="9"/>
      <c r="H296" s="10">
        <v>1</v>
      </c>
      <c r="I296">
        <v>356.17</v>
      </c>
      <c r="J296" s="12">
        <f>H296*I296</f>
        <v>356.17</v>
      </c>
    </row>
    <row r="297" spans="1:10">
      <c r="J297" s="6">
        <f>SUM(J296:J296)</f>
        <v>356.17</v>
      </c>
    </row>
    <row r="298" spans="1:10">
      <c r="B298" s="7" t="s">
        <v>309</v>
      </c>
    </row>
    <row r="299" spans="1:10">
      <c r="B299" t="s">
        <v>310</v>
      </c>
      <c r="F299" s="8" t="s">
        <v>311</v>
      </c>
      <c r="H299" s="10">
        <v>3</v>
      </c>
      <c r="I299" s="12">
        <f>J294</f>
        <v>97.539999999999992</v>
      </c>
      <c r="J299" s="12">
        <f>H299%*I299</f>
        <v>2.9261999999999997</v>
      </c>
    </row>
    <row r="300" spans="1:10">
      <c r="A300" s="14"/>
      <c r="B300" s="14"/>
      <c r="C300" s="14"/>
      <c r="D300" s="14"/>
      <c r="E300" s="14"/>
      <c r="F300" s="14"/>
      <c r="G300" s="14"/>
      <c r="H300" s="14"/>
      <c r="I300" s="15"/>
      <c r="J300" s="16">
        <f>SUM(J299)</f>
        <v>2.9261999999999997</v>
      </c>
    </row>
    <row r="301" spans="1:10">
      <c r="A301" s="52"/>
      <c r="B301" s="52"/>
      <c r="C301" s="53"/>
      <c r="D301" s="53"/>
      <c r="E301" s="52"/>
      <c r="F301" s="60"/>
      <c r="G301" s="52"/>
    </row>
    <row r="302" spans="1:10">
      <c r="A302" s="2" t="s">
        <v>277</v>
      </c>
      <c r="B302" s="2" t="str">
        <f>COMUNICACIONES!A24</f>
        <v>06.02.09</v>
      </c>
      <c r="C302" s="2" t="s">
        <v>1143</v>
      </c>
      <c r="D302" s="2"/>
    </row>
    <row r="303" spans="1:10">
      <c r="A303" s="2" t="s">
        <v>278</v>
      </c>
      <c r="B303" s="2" t="s">
        <v>325</v>
      </c>
      <c r="C303" s="4" t="s">
        <v>280</v>
      </c>
      <c r="D303" s="5">
        <v>4</v>
      </c>
      <c r="E303" s="4" t="s">
        <v>281</v>
      </c>
      <c r="F303" s="5">
        <f>D303</f>
        <v>4</v>
      </c>
      <c r="G303" s="2" t="s">
        <v>282</v>
      </c>
      <c r="I303" s="4" t="s">
        <v>149</v>
      </c>
      <c r="J303" s="6">
        <f>J308+J311+J315</f>
        <v>168.55619999999999</v>
      </c>
    </row>
    <row r="304" spans="1:10">
      <c r="A304" s="2" t="s">
        <v>283</v>
      </c>
      <c r="B304" s="2" t="s">
        <v>284</v>
      </c>
      <c r="F304" s="4" t="s">
        <v>122</v>
      </c>
      <c r="G304" s="4" t="s">
        <v>285</v>
      </c>
      <c r="H304" s="4" t="s">
        <v>286</v>
      </c>
      <c r="I304" s="4" t="s">
        <v>287</v>
      </c>
      <c r="J304" s="4" t="s">
        <v>288</v>
      </c>
    </row>
    <row r="305" spans="1:10">
      <c r="B305" s="7" t="s">
        <v>289</v>
      </c>
    </row>
    <row r="306" spans="1:10">
      <c r="B306" t="s">
        <v>679</v>
      </c>
      <c r="F306" s="8" t="s">
        <v>291</v>
      </c>
      <c r="G306" s="9">
        <v>1</v>
      </c>
      <c r="H306" s="10">
        <f>G306*8/$D$303</f>
        <v>2</v>
      </c>
      <c r="I306" s="12">
        <v>22.66</v>
      </c>
      <c r="J306" s="12">
        <f>H306*I306</f>
        <v>45.32</v>
      </c>
    </row>
    <row r="307" spans="1:10">
      <c r="B307" t="s">
        <v>1174</v>
      </c>
      <c r="F307" s="8" t="s">
        <v>291</v>
      </c>
      <c r="G307" s="9">
        <v>1</v>
      </c>
      <c r="H307" s="10">
        <f>G307*8/$D$303</f>
        <v>2</v>
      </c>
      <c r="I307">
        <v>26.11</v>
      </c>
      <c r="J307" s="12">
        <f>H307*I307</f>
        <v>52.22</v>
      </c>
    </row>
    <row r="308" spans="1:10">
      <c r="F308" s="8"/>
      <c r="G308" s="9"/>
      <c r="H308" s="10"/>
      <c r="J308" s="6">
        <f>SUM(J306:J307)</f>
        <v>97.539999999999992</v>
      </c>
    </row>
    <row r="309" spans="1:10">
      <c r="B309" s="7" t="s">
        <v>653</v>
      </c>
      <c r="F309" s="8"/>
      <c r="G309" s="9"/>
      <c r="H309" s="10"/>
      <c r="I309" s="10"/>
      <c r="J309" s="12"/>
    </row>
    <row r="310" spans="1:10">
      <c r="B310" t="s">
        <v>1204</v>
      </c>
      <c r="F310" s="8" t="s">
        <v>149</v>
      </c>
      <c r="G310" s="9"/>
      <c r="H310" s="10">
        <v>1</v>
      </c>
      <c r="I310">
        <v>47.41</v>
      </c>
      <c r="J310" s="12">
        <f>H310*I310</f>
        <v>47.41</v>
      </c>
    </row>
    <row r="311" spans="1:10">
      <c r="J311" s="6">
        <f>SUM(J310:J310)</f>
        <v>47.41</v>
      </c>
    </row>
    <row r="312" spans="1:10">
      <c r="B312" s="7" t="s">
        <v>309</v>
      </c>
    </row>
    <row r="313" spans="1:10">
      <c r="B313" t="s">
        <v>310</v>
      </c>
      <c r="F313" s="8" t="s">
        <v>311</v>
      </c>
      <c r="H313" s="10">
        <v>3</v>
      </c>
      <c r="I313" s="12">
        <f>J308</f>
        <v>97.539999999999992</v>
      </c>
      <c r="J313" s="12">
        <f>H313%*I313</f>
        <v>2.9261999999999997</v>
      </c>
    </row>
    <row r="314" spans="1:10">
      <c r="B314" t="s">
        <v>866</v>
      </c>
      <c r="F314" s="8" t="s">
        <v>867</v>
      </c>
      <c r="G314" s="9">
        <v>1</v>
      </c>
      <c r="H314" s="10">
        <f>G314*8/$D$303</f>
        <v>2</v>
      </c>
      <c r="I314" s="17">
        <v>10.34</v>
      </c>
      <c r="J314" s="12">
        <f>H314*I314</f>
        <v>20.68</v>
      </c>
    </row>
    <row r="315" spans="1:10">
      <c r="A315" s="14"/>
      <c r="B315" s="14"/>
      <c r="C315" s="14"/>
      <c r="D315" s="14"/>
      <c r="E315" s="14"/>
      <c r="F315" s="14"/>
      <c r="G315" s="14"/>
      <c r="H315" s="14"/>
      <c r="I315" s="15"/>
      <c r="J315" s="16">
        <f>SUM(J313:J314)</f>
        <v>23.606200000000001</v>
      </c>
    </row>
    <row r="316" spans="1:10">
      <c r="A316" s="75"/>
      <c r="B316" s="1"/>
      <c r="C316" s="1"/>
      <c r="D316" s="1"/>
      <c r="E316" s="1"/>
      <c r="F316" s="72"/>
      <c r="G316" s="1"/>
      <c r="H316" s="73"/>
      <c r="I316" s="74"/>
      <c r="J316" s="74"/>
    </row>
    <row r="317" spans="1:10">
      <c r="A317" s="76" t="s">
        <v>277</v>
      </c>
      <c r="B317" s="2" t="str">
        <f>COMUNICACIONES!A25</f>
        <v>06.02.10</v>
      </c>
      <c r="C317" s="76" t="s">
        <v>1145</v>
      </c>
      <c r="D317" s="76"/>
      <c r="E317" s="77"/>
      <c r="F317" s="77"/>
      <c r="G317" s="77"/>
      <c r="H317" s="77"/>
      <c r="I317" s="77"/>
      <c r="J317" s="77"/>
    </row>
    <row r="318" spans="1:10">
      <c r="A318" s="76" t="s">
        <v>278</v>
      </c>
      <c r="B318" s="76" t="s">
        <v>325</v>
      </c>
      <c r="C318" s="78" t="s">
        <v>280</v>
      </c>
      <c r="D318" s="79">
        <v>5</v>
      </c>
      <c r="E318" s="78" t="s">
        <v>281</v>
      </c>
      <c r="F318" s="79">
        <f>D318</f>
        <v>5</v>
      </c>
      <c r="G318" s="76" t="s">
        <v>282</v>
      </c>
      <c r="H318" s="77"/>
      <c r="I318" s="78" t="s">
        <v>149</v>
      </c>
      <c r="J318" s="80">
        <f>J323+J326+J330</f>
        <v>123.63751999999999</v>
      </c>
    </row>
    <row r="319" spans="1:10">
      <c r="A319" s="76" t="s">
        <v>283</v>
      </c>
      <c r="B319" s="76" t="s">
        <v>284</v>
      </c>
      <c r="C319" s="77"/>
      <c r="D319" s="77"/>
      <c r="E319" s="77"/>
      <c r="F319" s="78" t="s">
        <v>122</v>
      </c>
      <c r="G319" s="78" t="s">
        <v>285</v>
      </c>
      <c r="H319" s="78" t="s">
        <v>286</v>
      </c>
      <c r="I319" s="78" t="s">
        <v>287</v>
      </c>
      <c r="J319" s="78" t="s">
        <v>288</v>
      </c>
    </row>
    <row r="320" spans="1:10">
      <c r="A320" s="77"/>
      <c r="B320" s="7" t="s">
        <v>289</v>
      </c>
      <c r="C320" s="77"/>
      <c r="D320" s="77"/>
      <c r="E320" s="77"/>
      <c r="F320" s="77"/>
      <c r="G320" s="77"/>
      <c r="H320" s="77"/>
      <c r="I320" s="77"/>
      <c r="J320" s="77"/>
    </row>
    <row r="321" spans="1:13">
      <c r="A321" s="77"/>
      <c r="B321" s="77" t="s">
        <v>292</v>
      </c>
      <c r="C321" s="77"/>
      <c r="D321" s="77"/>
      <c r="E321" s="77"/>
      <c r="F321" s="81" t="s">
        <v>291</v>
      </c>
      <c r="G321" s="82">
        <v>1</v>
      </c>
      <c r="H321" s="83">
        <f>G321*8/$D$318</f>
        <v>1.6</v>
      </c>
      <c r="I321" s="84">
        <v>23.6</v>
      </c>
      <c r="J321" s="84">
        <f>H321*I321</f>
        <v>37.760000000000005</v>
      </c>
    </row>
    <row r="322" spans="1:13">
      <c r="A322" s="77"/>
      <c r="B322" s="77" t="s">
        <v>1174</v>
      </c>
      <c r="C322" s="77"/>
      <c r="D322" s="77"/>
      <c r="E322" s="77"/>
      <c r="F322" s="81" t="s">
        <v>291</v>
      </c>
      <c r="G322" s="82">
        <v>1</v>
      </c>
      <c r="H322" s="83">
        <f>G322*8/$D$318</f>
        <v>1.6</v>
      </c>
      <c r="I322" s="77">
        <v>26.11</v>
      </c>
      <c r="J322" s="84">
        <f>H322*I322</f>
        <v>41.776000000000003</v>
      </c>
    </row>
    <row r="323" spans="1:13">
      <c r="A323" s="77"/>
      <c r="B323" s="77"/>
      <c r="C323" s="77"/>
      <c r="D323" s="77"/>
      <c r="E323" s="77"/>
      <c r="F323" s="81"/>
      <c r="G323" s="82"/>
      <c r="H323" s="83"/>
      <c r="I323" s="77"/>
      <c r="J323" s="80">
        <f>SUM(J321:J322)</f>
        <v>79.536000000000001</v>
      </c>
    </row>
    <row r="324" spans="1:13">
      <c r="A324" s="77"/>
      <c r="B324" s="7" t="s">
        <v>653</v>
      </c>
      <c r="C324" s="77"/>
      <c r="D324" s="77"/>
      <c r="E324" s="77"/>
      <c r="F324" s="81"/>
      <c r="G324" s="82"/>
      <c r="H324" s="83"/>
      <c r="I324" s="83"/>
      <c r="J324" s="84"/>
    </row>
    <row r="325" spans="1:13">
      <c r="A325" s="77"/>
      <c r="B325" s="77" t="s">
        <v>1204</v>
      </c>
      <c r="C325" s="77"/>
      <c r="D325" s="77"/>
      <c r="E325" s="77"/>
      <c r="F325" s="81" t="s">
        <v>149</v>
      </c>
      <c r="G325" s="77"/>
      <c r="H325" s="83">
        <v>1</v>
      </c>
      <c r="I325" s="84">
        <v>41.55</v>
      </c>
      <c r="J325" s="84">
        <f>H325*I325</f>
        <v>41.55</v>
      </c>
    </row>
    <row r="326" spans="1:13">
      <c r="A326" s="77"/>
      <c r="B326" s="77"/>
      <c r="C326" s="77"/>
      <c r="D326" s="77"/>
      <c r="E326" s="77"/>
      <c r="F326" s="77"/>
      <c r="G326" s="77"/>
      <c r="H326" s="77"/>
      <c r="I326" s="77"/>
      <c r="J326" s="80">
        <f>SUM(J325:J325)</f>
        <v>41.55</v>
      </c>
    </row>
    <row r="327" spans="1:13">
      <c r="A327" s="77"/>
      <c r="B327" s="7" t="s">
        <v>309</v>
      </c>
      <c r="C327" s="77"/>
      <c r="D327" s="77"/>
      <c r="E327" s="77"/>
      <c r="F327" s="77"/>
      <c r="G327" s="77"/>
      <c r="H327" s="77"/>
      <c r="I327" s="77"/>
      <c r="J327" s="77"/>
    </row>
    <row r="328" spans="1:13">
      <c r="A328" s="77"/>
      <c r="B328" s="77" t="s">
        <v>310</v>
      </c>
      <c r="C328" s="77"/>
      <c r="D328" s="77"/>
      <c r="E328" s="77"/>
      <c r="F328" s="81" t="s">
        <v>311</v>
      </c>
      <c r="G328" s="77"/>
      <c r="H328" s="83">
        <v>3</v>
      </c>
      <c r="I328" s="84">
        <f>J323</f>
        <v>79.536000000000001</v>
      </c>
      <c r="J328" s="84">
        <f>H328%*I328</f>
        <v>2.3860799999999998</v>
      </c>
    </row>
    <row r="329" spans="1:13">
      <c r="A329" s="77"/>
      <c r="B329" s="77" t="s">
        <v>866</v>
      </c>
      <c r="C329" s="77"/>
      <c r="D329" s="77"/>
      <c r="E329" s="77"/>
      <c r="F329" s="81" t="s">
        <v>867</v>
      </c>
      <c r="G329" s="82">
        <v>1</v>
      </c>
      <c r="H329" s="83">
        <f>G329*8/$D$318</f>
        <v>1.6</v>
      </c>
      <c r="I329" s="85">
        <v>10.34</v>
      </c>
      <c r="J329" s="84">
        <f>H329%*I329</f>
        <v>0.16544</v>
      </c>
    </row>
    <row r="330" spans="1:13">
      <c r="A330" s="86"/>
      <c r="B330" s="86"/>
      <c r="C330" s="86"/>
      <c r="D330" s="86"/>
      <c r="E330" s="86"/>
      <c r="F330" s="86"/>
      <c r="G330" s="86"/>
      <c r="H330" s="86"/>
      <c r="I330" s="87"/>
      <c r="J330" s="88">
        <f>SUM(J328:J329)</f>
        <v>2.5515199999999996</v>
      </c>
    </row>
    <row r="332" spans="1:13">
      <c r="A332" s="2" t="s">
        <v>277</v>
      </c>
      <c r="B332" s="2" t="str">
        <f>COMUNICACIONES!A26</f>
        <v>06.02.11</v>
      </c>
      <c r="C332" s="2" t="s">
        <v>1147</v>
      </c>
      <c r="D332" s="2"/>
    </row>
    <row r="333" spans="1:13">
      <c r="A333" s="2" t="s">
        <v>278</v>
      </c>
      <c r="B333" s="2" t="s">
        <v>325</v>
      </c>
      <c r="C333" s="4" t="s">
        <v>280</v>
      </c>
      <c r="D333" s="5">
        <v>4</v>
      </c>
      <c r="E333" s="4" t="s">
        <v>281</v>
      </c>
      <c r="F333" s="5">
        <f>D333</f>
        <v>4</v>
      </c>
      <c r="G333" s="2" t="s">
        <v>282</v>
      </c>
      <c r="I333" s="4" t="s">
        <v>149</v>
      </c>
      <c r="J333" s="6">
        <f>J338+J341+J345</f>
        <v>128.02940000000001</v>
      </c>
      <c r="M333" s="2"/>
    </row>
    <row r="334" spans="1:13">
      <c r="A334" s="2" t="s">
        <v>283</v>
      </c>
      <c r="B334" s="2" t="s">
        <v>284</v>
      </c>
      <c r="F334" s="4" t="s">
        <v>122</v>
      </c>
      <c r="G334" s="4" t="s">
        <v>285</v>
      </c>
      <c r="H334" s="4" t="s">
        <v>286</v>
      </c>
      <c r="I334" s="4" t="s">
        <v>287</v>
      </c>
      <c r="J334" s="4" t="s">
        <v>288</v>
      </c>
      <c r="M334" s="2"/>
    </row>
    <row r="335" spans="1:13">
      <c r="B335" s="7" t="s">
        <v>289</v>
      </c>
      <c r="M335" s="2"/>
    </row>
    <row r="336" spans="1:13">
      <c r="B336" t="s">
        <v>292</v>
      </c>
      <c r="F336" s="8" t="s">
        <v>291</v>
      </c>
      <c r="G336" s="9">
        <v>1</v>
      </c>
      <c r="H336" s="10">
        <f>G336*8/$D$333</f>
        <v>2</v>
      </c>
      <c r="I336" s="12">
        <v>23.6</v>
      </c>
      <c r="J336" s="12">
        <f>H336*I336</f>
        <v>47.2</v>
      </c>
      <c r="M336" s="2"/>
    </row>
    <row r="337" spans="1:13">
      <c r="B337" t="s">
        <v>1174</v>
      </c>
      <c r="F337" s="8" t="s">
        <v>291</v>
      </c>
      <c r="G337" s="9">
        <v>1</v>
      </c>
      <c r="H337" s="10">
        <f>G337*8/$D$333</f>
        <v>2</v>
      </c>
      <c r="I337">
        <v>26.11</v>
      </c>
      <c r="J337" s="12">
        <f>H337*I337</f>
        <v>52.22</v>
      </c>
      <c r="M337" s="2"/>
    </row>
    <row r="338" spans="1:13">
      <c r="F338" s="8"/>
      <c r="G338" s="9"/>
      <c r="H338" s="10"/>
      <c r="J338" s="6">
        <f>SUM(J336:J337)</f>
        <v>99.42</v>
      </c>
      <c r="M338" s="2"/>
    </row>
    <row r="339" spans="1:13">
      <c r="B339" s="7" t="s">
        <v>653</v>
      </c>
      <c r="F339" s="8"/>
      <c r="G339" s="9"/>
      <c r="H339" s="10"/>
      <c r="I339" s="10"/>
      <c r="J339" s="12"/>
      <c r="M339" s="2"/>
    </row>
    <row r="340" spans="1:13">
      <c r="B340" t="s">
        <v>1204</v>
      </c>
      <c r="F340" s="8" t="s">
        <v>149</v>
      </c>
      <c r="H340" s="10">
        <v>1</v>
      </c>
      <c r="I340" s="12">
        <v>25.42</v>
      </c>
      <c r="J340" s="12">
        <f>H340*I340</f>
        <v>25.42</v>
      </c>
    </row>
    <row r="341" spans="1:13">
      <c r="J341" s="6">
        <f>SUM(J340:J340)</f>
        <v>25.42</v>
      </c>
    </row>
    <row r="342" spans="1:13">
      <c r="B342" s="7" t="s">
        <v>309</v>
      </c>
    </row>
    <row r="343" spans="1:13">
      <c r="B343" t="s">
        <v>310</v>
      </c>
      <c r="F343" s="8" t="s">
        <v>311</v>
      </c>
      <c r="H343" s="10">
        <v>3</v>
      </c>
      <c r="I343" s="12">
        <f>J338</f>
        <v>99.42</v>
      </c>
      <c r="J343" s="12">
        <f>H343%*I343</f>
        <v>2.9826000000000001</v>
      </c>
    </row>
    <row r="344" spans="1:13">
      <c r="B344" t="s">
        <v>866</v>
      </c>
      <c r="F344" s="8" t="s">
        <v>867</v>
      </c>
      <c r="G344" s="9">
        <v>1</v>
      </c>
      <c r="H344" s="10">
        <f>G344*8/$D$333</f>
        <v>2</v>
      </c>
      <c r="I344" s="17">
        <v>10.34</v>
      </c>
      <c r="J344" s="12">
        <f>H344%*I344</f>
        <v>0.20680000000000001</v>
      </c>
    </row>
    <row r="345" spans="1:13">
      <c r="A345" s="14"/>
      <c r="B345" s="14"/>
      <c r="C345" s="14"/>
      <c r="D345" s="14"/>
      <c r="E345" s="14"/>
      <c r="F345" s="14"/>
      <c r="G345" s="14"/>
      <c r="H345" s="14"/>
      <c r="I345" s="15"/>
      <c r="J345" s="16">
        <f>SUM(J343:J344)</f>
        <v>3.1894</v>
      </c>
    </row>
    <row r="347" spans="1:13">
      <c r="A347" s="2" t="s">
        <v>277</v>
      </c>
      <c r="B347" s="2" t="str">
        <f>COMUNICACIONES!A27</f>
        <v>06.02.12</v>
      </c>
      <c r="C347" s="2" t="s">
        <v>1143</v>
      </c>
      <c r="D347" s="2"/>
    </row>
    <row r="348" spans="1:13">
      <c r="A348" s="2" t="s">
        <v>278</v>
      </c>
      <c r="B348" s="2" t="s">
        <v>325</v>
      </c>
      <c r="C348" s="4" t="s">
        <v>280</v>
      </c>
      <c r="D348" s="5">
        <v>4</v>
      </c>
      <c r="E348" s="4" t="s">
        <v>281</v>
      </c>
      <c r="F348" s="5">
        <f>D348</f>
        <v>4</v>
      </c>
      <c r="G348" s="2" t="s">
        <v>282</v>
      </c>
      <c r="I348" s="4" t="s">
        <v>149</v>
      </c>
      <c r="J348" s="6">
        <f>J353+J356+J360</f>
        <v>147.2294</v>
      </c>
    </row>
    <row r="349" spans="1:13">
      <c r="A349" s="2" t="s">
        <v>283</v>
      </c>
      <c r="B349" s="2" t="s">
        <v>284</v>
      </c>
      <c r="F349" s="4" t="s">
        <v>122</v>
      </c>
      <c r="G349" s="4" t="s">
        <v>285</v>
      </c>
      <c r="H349" s="4" t="s">
        <v>286</v>
      </c>
      <c r="I349" s="4" t="s">
        <v>287</v>
      </c>
      <c r="J349" s="4" t="s">
        <v>288</v>
      </c>
    </row>
    <row r="350" spans="1:13">
      <c r="B350" s="7" t="s">
        <v>289</v>
      </c>
    </row>
    <row r="351" spans="1:13">
      <c r="B351" t="s">
        <v>292</v>
      </c>
      <c r="F351" s="8" t="s">
        <v>291</v>
      </c>
      <c r="G351" s="9">
        <v>1</v>
      </c>
      <c r="H351" s="10">
        <f>G351*8/$D$348</f>
        <v>2</v>
      </c>
      <c r="I351" s="12">
        <v>23.6</v>
      </c>
      <c r="J351" s="12">
        <f>H351*I351</f>
        <v>47.2</v>
      </c>
    </row>
    <row r="352" spans="1:13">
      <c r="B352" t="s">
        <v>1174</v>
      </c>
      <c r="F352" s="8" t="s">
        <v>291</v>
      </c>
      <c r="G352" s="9">
        <v>1</v>
      </c>
      <c r="H352" s="10">
        <f>G352*8/$D$348</f>
        <v>2</v>
      </c>
      <c r="I352">
        <v>26.11</v>
      </c>
      <c r="J352" s="12">
        <f>H352*I352</f>
        <v>52.22</v>
      </c>
    </row>
    <row r="353" spans="1:10">
      <c r="F353" s="8"/>
      <c r="G353" s="9"/>
      <c r="H353" s="10"/>
      <c r="J353" s="6">
        <f>SUM(J351:J352)</f>
        <v>99.42</v>
      </c>
    </row>
    <row r="354" spans="1:10">
      <c r="B354" s="7" t="s">
        <v>653</v>
      </c>
      <c r="F354" s="8"/>
      <c r="G354" s="9"/>
      <c r="H354" s="10"/>
      <c r="I354" s="10"/>
      <c r="J354" s="12"/>
    </row>
    <row r="355" spans="1:10">
      <c r="B355" t="s">
        <v>1204</v>
      </c>
      <c r="F355" s="8" t="s">
        <v>149</v>
      </c>
      <c r="H355" s="10">
        <v>1</v>
      </c>
      <c r="I355" s="12">
        <v>44.62</v>
      </c>
      <c r="J355" s="12">
        <f>H355*I355</f>
        <v>44.62</v>
      </c>
    </row>
    <row r="356" spans="1:10">
      <c r="J356" s="6">
        <f>SUM(J355:J355)</f>
        <v>44.62</v>
      </c>
    </row>
    <row r="357" spans="1:10">
      <c r="B357" s="7" t="s">
        <v>309</v>
      </c>
    </row>
    <row r="358" spans="1:10">
      <c r="B358" t="s">
        <v>310</v>
      </c>
      <c r="F358" s="8" t="s">
        <v>311</v>
      </c>
      <c r="H358" s="10">
        <v>3</v>
      </c>
      <c r="I358" s="12">
        <f>J353</f>
        <v>99.42</v>
      </c>
      <c r="J358" s="12">
        <f>H358%*I358</f>
        <v>2.9826000000000001</v>
      </c>
    </row>
    <row r="359" spans="1:10">
      <c r="B359" t="s">
        <v>866</v>
      </c>
      <c r="F359" s="8" t="s">
        <v>867</v>
      </c>
      <c r="G359" s="9">
        <v>1</v>
      </c>
      <c r="H359" s="10">
        <f>G359*8/$D$348</f>
        <v>2</v>
      </c>
      <c r="I359" s="17">
        <v>10.34</v>
      </c>
      <c r="J359" s="12">
        <f>H359%*I359</f>
        <v>0.20680000000000001</v>
      </c>
    </row>
    <row r="360" spans="1:10">
      <c r="A360" s="14"/>
      <c r="B360" s="14"/>
      <c r="C360" s="14"/>
      <c r="D360" s="14"/>
      <c r="E360" s="14"/>
      <c r="F360" s="14"/>
      <c r="G360" s="14"/>
      <c r="H360" s="14"/>
      <c r="I360" s="15"/>
      <c r="J360" s="16">
        <f>SUM(J358:J359)</f>
        <v>3.1894</v>
      </c>
    </row>
    <row r="362" spans="1:10">
      <c r="A362" s="2" t="s">
        <v>277</v>
      </c>
      <c r="B362" s="2" t="str">
        <f>COMUNICACIONES!A28</f>
        <v>06.02.13</v>
      </c>
      <c r="C362" s="2" t="s">
        <v>1150</v>
      </c>
      <c r="D362" s="2"/>
    </row>
    <row r="363" spans="1:10">
      <c r="A363" s="2" t="s">
        <v>278</v>
      </c>
      <c r="B363" s="2" t="s">
        <v>325</v>
      </c>
      <c r="C363" s="4" t="s">
        <v>280</v>
      </c>
      <c r="D363" s="5">
        <v>2</v>
      </c>
      <c r="E363" s="4" t="s">
        <v>281</v>
      </c>
      <c r="F363" s="5">
        <f>D363</f>
        <v>2</v>
      </c>
      <c r="G363" s="2" t="s">
        <v>282</v>
      </c>
      <c r="I363" s="4" t="s">
        <v>149</v>
      </c>
      <c r="J363" s="6">
        <f>J368+J371+J374</f>
        <v>6299.9951999999994</v>
      </c>
    </row>
    <row r="364" spans="1:10">
      <c r="A364" s="2" t="s">
        <v>283</v>
      </c>
      <c r="B364" s="2" t="s">
        <v>284</v>
      </c>
      <c r="F364" s="4" t="s">
        <v>122</v>
      </c>
      <c r="G364" s="4" t="s">
        <v>285</v>
      </c>
      <c r="H364" s="4" t="s">
        <v>286</v>
      </c>
      <c r="I364" s="4" t="s">
        <v>287</v>
      </c>
      <c r="J364" s="4" t="s">
        <v>288</v>
      </c>
    </row>
    <row r="365" spans="1:10">
      <c r="B365" s="7" t="s">
        <v>289</v>
      </c>
    </row>
    <row r="366" spans="1:10">
      <c r="B366" t="s">
        <v>292</v>
      </c>
      <c r="F366" s="8" t="s">
        <v>291</v>
      </c>
      <c r="G366" s="9">
        <v>1</v>
      </c>
      <c r="H366" s="10">
        <f>G366*8/$D$363</f>
        <v>4</v>
      </c>
      <c r="I366" s="12">
        <v>23.6</v>
      </c>
      <c r="J366" s="12">
        <f>H366*I366</f>
        <v>94.4</v>
      </c>
    </row>
    <row r="367" spans="1:10">
      <c r="B367" t="s">
        <v>1174</v>
      </c>
      <c r="F367" s="8" t="s">
        <v>291</v>
      </c>
      <c r="G367" s="9">
        <v>1</v>
      </c>
      <c r="H367" s="10">
        <f>G367*8/$D$363</f>
        <v>4</v>
      </c>
      <c r="I367">
        <v>26.11</v>
      </c>
      <c r="J367" s="12">
        <f>H367*I367</f>
        <v>104.44</v>
      </c>
    </row>
    <row r="368" spans="1:10">
      <c r="F368" s="8"/>
      <c r="G368" s="9"/>
      <c r="H368" s="10"/>
      <c r="J368" s="6">
        <f>SUM(J366:J367)</f>
        <v>198.84</v>
      </c>
    </row>
    <row r="369" spans="1:10">
      <c r="B369" s="7" t="s">
        <v>653</v>
      </c>
      <c r="F369" s="8"/>
      <c r="G369" s="9"/>
      <c r="H369" s="10"/>
      <c r="I369" s="10"/>
      <c r="J369" s="12"/>
    </row>
    <row r="370" spans="1:10">
      <c r="B370" t="s">
        <v>1205</v>
      </c>
      <c r="F370" s="8" t="s">
        <v>149</v>
      </c>
      <c r="H370" s="10">
        <v>1</v>
      </c>
      <c r="I370" s="12">
        <v>3564.02</v>
      </c>
      <c r="J370" s="12">
        <f>H370*I370</f>
        <v>3564.02</v>
      </c>
    </row>
    <row r="371" spans="1:10">
      <c r="J371" s="6">
        <v>6095.19</v>
      </c>
    </row>
    <row r="372" spans="1:10">
      <c r="B372" s="7" t="s">
        <v>309</v>
      </c>
    </row>
    <row r="373" spans="1:10">
      <c r="B373" t="s">
        <v>310</v>
      </c>
      <c r="F373" s="8" t="s">
        <v>311</v>
      </c>
      <c r="H373" s="10">
        <v>3</v>
      </c>
      <c r="I373" s="12">
        <f>J368</f>
        <v>198.84</v>
      </c>
      <c r="J373" s="12">
        <f>H373%*I373</f>
        <v>5.9652000000000003</v>
      </c>
    </row>
    <row r="374" spans="1:10">
      <c r="A374" s="14"/>
      <c r="B374" s="14"/>
      <c r="C374" s="14"/>
      <c r="D374" s="14"/>
      <c r="E374" s="14"/>
      <c r="F374" s="14"/>
      <c r="G374" s="14"/>
      <c r="H374" s="14"/>
      <c r="I374" s="15"/>
      <c r="J374" s="16">
        <f>SUM(J373:J373)</f>
        <v>5.9652000000000003</v>
      </c>
    </row>
    <row r="376" spans="1:10">
      <c r="A376" s="2" t="s">
        <v>277</v>
      </c>
      <c r="B376" s="2" t="str">
        <f>COMUNICACIONES!A29</f>
        <v>06.02.14</v>
      </c>
      <c r="C376" s="2" t="s">
        <v>1152</v>
      </c>
      <c r="D376" s="2"/>
    </row>
    <row r="377" spans="1:10">
      <c r="A377" s="2" t="s">
        <v>278</v>
      </c>
      <c r="B377" s="2" t="s">
        <v>325</v>
      </c>
      <c r="C377" s="4" t="s">
        <v>280</v>
      </c>
      <c r="D377" s="5">
        <v>2</v>
      </c>
      <c r="E377" s="4" t="s">
        <v>281</v>
      </c>
      <c r="F377" s="5">
        <f>D377</f>
        <v>2</v>
      </c>
      <c r="G377" s="2" t="s">
        <v>282</v>
      </c>
      <c r="I377" s="4" t="s">
        <v>149</v>
      </c>
      <c r="J377" s="6">
        <f>J382+J385+J388</f>
        <v>8658.3952000000008</v>
      </c>
    </row>
    <row r="378" spans="1:10">
      <c r="A378" s="2" t="s">
        <v>283</v>
      </c>
      <c r="B378" s="2" t="s">
        <v>284</v>
      </c>
      <c r="F378" s="4" t="s">
        <v>122</v>
      </c>
      <c r="G378" s="4" t="s">
        <v>285</v>
      </c>
      <c r="H378" s="4" t="s">
        <v>286</v>
      </c>
      <c r="I378" s="4" t="s">
        <v>287</v>
      </c>
      <c r="J378" s="4" t="s">
        <v>288</v>
      </c>
    </row>
    <row r="379" spans="1:10">
      <c r="B379" s="7" t="s">
        <v>289</v>
      </c>
    </row>
    <row r="380" spans="1:10">
      <c r="B380" t="s">
        <v>292</v>
      </c>
      <c r="F380" s="8" t="s">
        <v>291</v>
      </c>
      <c r="G380" s="9">
        <v>1</v>
      </c>
      <c r="H380" s="10">
        <f>G380*8/$D$377</f>
        <v>4</v>
      </c>
      <c r="I380" s="12">
        <v>23.6</v>
      </c>
      <c r="J380" s="12">
        <f>H380*I380</f>
        <v>94.4</v>
      </c>
    </row>
    <row r="381" spans="1:10">
      <c r="B381" t="s">
        <v>1174</v>
      </c>
      <c r="F381" s="8" t="s">
        <v>291</v>
      </c>
      <c r="G381" s="9">
        <v>1</v>
      </c>
      <c r="H381" s="10">
        <f>G381*8/$D$377</f>
        <v>4</v>
      </c>
      <c r="I381">
        <v>26.11</v>
      </c>
      <c r="J381" s="12">
        <f>H381*I381</f>
        <v>104.44</v>
      </c>
    </row>
    <row r="382" spans="1:10">
      <c r="F382" s="8"/>
      <c r="G382" s="9"/>
      <c r="H382" s="10"/>
      <c r="J382" s="6">
        <f>SUM(J380:J381)</f>
        <v>198.84</v>
      </c>
    </row>
    <row r="383" spans="1:10">
      <c r="B383" s="7" t="s">
        <v>653</v>
      </c>
      <c r="F383" s="8"/>
      <c r="G383" s="9"/>
      <c r="H383" s="10"/>
      <c r="I383" s="10"/>
      <c r="J383" s="12"/>
    </row>
    <row r="384" spans="1:10">
      <c r="B384" t="s">
        <v>1206</v>
      </c>
      <c r="F384" s="8" t="s">
        <v>149</v>
      </c>
      <c r="H384" s="10">
        <v>1</v>
      </c>
      <c r="I384" s="12">
        <v>8453.59</v>
      </c>
      <c r="J384" s="12">
        <f>H384*I384</f>
        <v>8453.59</v>
      </c>
    </row>
    <row r="385" spans="1:13">
      <c r="J385" s="6">
        <f>SUM(J384:J384)</f>
        <v>8453.59</v>
      </c>
    </row>
    <row r="386" spans="1:13">
      <c r="B386" s="7" t="s">
        <v>309</v>
      </c>
    </row>
    <row r="387" spans="1:13">
      <c r="B387" t="s">
        <v>310</v>
      </c>
      <c r="F387" s="8" t="s">
        <v>311</v>
      </c>
      <c r="H387" s="10">
        <v>3</v>
      </c>
      <c r="I387" s="12">
        <f>J382</f>
        <v>198.84</v>
      </c>
      <c r="J387" s="12">
        <f>H387%*I387</f>
        <v>5.9652000000000003</v>
      </c>
    </row>
    <row r="388" spans="1:13">
      <c r="A388" s="14"/>
      <c r="B388" s="14"/>
      <c r="C388" s="14"/>
      <c r="D388" s="14"/>
      <c r="E388" s="14"/>
      <c r="F388" s="14"/>
      <c r="G388" s="14"/>
      <c r="H388" s="14"/>
      <c r="I388" s="15"/>
      <c r="J388" s="16">
        <f>SUM(J387:J387)</f>
        <v>5.9652000000000003</v>
      </c>
    </row>
    <row r="390" spans="1:13">
      <c r="A390" s="2" t="s">
        <v>277</v>
      </c>
      <c r="B390" s="2" t="str">
        <f>COMUNICACIONES!A30</f>
        <v>06.02.15</v>
      </c>
      <c r="C390" s="2" t="s">
        <v>1154</v>
      </c>
      <c r="D390" s="2"/>
    </row>
    <row r="391" spans="1:13">
      <c r="A391" s="2" t="s">
        <v>278</v>
      </c>
      <c r="B391" s="2" t="s">
        <v>325</v>
      </c>
      <c r="C391" s="4" t="s">
        <v>280</v>
      </c>
      <c r="D391" s="5">
        <v>2</v>
      </c>
      <c r="E391" s="4" t="s">
        <v>281</v>
      </c>
      <c r="F391" s="5">
        <f>D391</f>
        <v>2</v>
      </c>
      <c r="G391" s="2" t="s">
        <v>282</v>
      </c>
      <c r="I391" s="4" t="s">
        <v>149</v>
      </c>
      <c r="J391" s="6">
        <f>J396+J402+J405</f>
        <v>9537.4312000000009</v>
      </c>
    </row>
    <row r="392" spans="1:13">
      <c r="A392" s="2" t="s">
        <v>283</v>
      </c>
      <c r="B392" s="2" t="s">
        <v>284</v>
      </c>
      <c r="F392" s="4" t="s">
        <v>122</v>
      </c>
      <c r="G392" s="4" t="s">
        <v>285</v>
      </c>
      <c r="H392" s="4" t="s">
        <v>286</v>
      </c>
      <c r="I392" s="4" t="s">
        <v>287</v>
      </c>
      <c r="J392" s="4" t="s">
        <v>288</v>
      </c>
    </row>
    <row r="393" spans="1:13">
      <c r="B393" s="7" t="s">
        <v>289</v>
      </c>
    </row>
    <row r="394" spans="1:13">
      <c r="B394" t="s">
        <v>292</v>
      </c>
      <c r="F394" s="8" t="s">
        <v>291</v>
      </c>
      <c r="G394" s="9">
        <v>1</v>
      </c>
      <c r="H394" s="10">
        <f>G394*8/$D$391</f>
        <v>4</v>
      </c>
      <c r="I394" s="12">
        <v>23.6</v>
      </c>
      <c r="J394" s="12">
        <f>H394*I394</f>
        <v>94.4</v>
      </c>
    </row>
    <row r="395" spans="1:13">
      <c r="B395" t="s">
        <v>1174</v>
      </c>
      <c r="F395" s="8" t="s">
        <v>291</v>
      </c>
      <c r="G395" s="9">
        <v>1</v>
      </c>
      <c r="H395" s="10">
        <f>G395*8/$D$391</f>
        <v>4</v>
      </c>
      <c r="I395">
        <v>26.11</v>
      </c>
      <c r="J395" s="12">
        <f>H395*I395</f>
        <v>104.44</v>
      </c>
    </row>
    <row r="396" spans="1:13">
      <c r="F396" s="8"/>
      <c r="G396" s="9"/>
      <c r="H396" s="10"/>
      <c r="J396" s="6">
        <f>SUM(J394:J395)</f>
        <v>198.84</v>
      </c>
    </row>
    <row r="397" spans="1:13">
      <c r="B397" s="7" t="s">
        <v>653</v>
      </c>
      <c r="F397" s="8"/>
      <c r="G397" s="9"/>
      <c r="H397" s="10"/>
      <c r="I397" s="10"/>
      <c r="J397" s="12"/>
    </row>
    <row r="398" spans="1:13">
      <c r="B398" t="s">
        <v>1207</v>
      </c>
      <c r="F398" s="8" t="s">
        <v>149</v>
      </c>
      <c r="H398" s="10">
        <v>7</v>
      </c>
      <c r="I398" s="12">
        <v>213.75899999999999</v>
      </c>
      <c r="J398" s="12">
        <f>H398*I398</f>
        <v>1496.3129999999999</v>
      </c>
      <c r="M398" s="2"/>
    </row>
    <row r="399" spans="1:13">
      <c r="B399" t="s">
        <v>1208</v>
      </c>
      <c r="F399" s="8" t="s">
        <v>149</v>
      </c>
      <c r="H399" s="10">
        <v>7</v>
      </c>
      <c r="I399" s="12">
        <v>213.75899999999999</v>
      </c>
      <c r="J399" s="12">
        <f>H399*I399</f>
        <v>1496.3129999999999</v>
      </c>
      <c r="M399" s="2"/>
    </row>
    <row r="400" spans="1:13">
      <c r="B400" t="s">
        <v>1209</v>
      </c>
      <c r="F400" s="8" t="s">
        <v>149</v>
      </c>
      <c r="H400" s="10">
        <v>11</v>
      </c>
      <c r="I400" s="12">
        <v>340</v>
      </c>
      <c r="J400" s="12">
        <f>H400*I400</f>
        <v>3740</v>
      </c>
      <c r="M400" s="2"/>
    </row>
    <row r="401" spans="1:13">
      <c r="B401" t="s">
        <v>1210</v>
      </c>
      <c r="F401" s="8" t="s">
        <v>362</v>
      </c>
      <c r="H401" s="10">
        <v>4</v>
      </c>
      <c r="I401" s="12">
        <v>650</v>
      </c>
      <c r="J401" s="12">
        <f>H401*I401</f>
        <v>2600</v>
      </c>
      <c r="L401" s="2"/>
      <c r="M401" s="2"/>
    </row>
    <row r="402" spans="1:13">
      <c r="J402" s="6">
        <f>SUM(J398:J401)</f>
        <v>9332.6260000000002</v>
      </c>
      <c r="M402" s="2"/>
    </row>
    <row r="403" spans="1:13">
      <c r="B403" s="7" t="s">
        <v>309</v>
      </c>
    </row>
    <row r="404" spans="1:13">
      <c r="B404" t="s">
        <v>310</v>
      </c>
      <c r="F404" s="8" t="s">
        <v>311</v>
      </c>
      <c r="H404" s="10">
        <v>3</v>
      </c>
      <c r="I404" s="12">
        <f>J396</f>
        <v>198.84</v>
      </c>
      <c r="J404" s="12">
        <f>H404%*I404</f>
        <v>5.9652000000000003</v>
      </c>
    </row>
    <row r="405" spans="1:13">
      <c r="A405" s="14"/>
      <c r="B405" s="14"/>
      <c r="C405" s="14"/>
      <c r="D405" s="14"/>
      <c r="E405" s="14"/>
      <c r="F405" s="14"/>
      <c r="G405" s="14"/>
      <c r="H405" s="14"/>
      <c r="I405" s="15"/>
      <c r="J405" s="16">
        <f>SUM(J404:J404)</f>
        <v>5.9652000000000003</v>
      </c>
    </row>
    <row r="407" spans="1:13">
      <c r="A407" s="2" t="s">
        <v>277</v>
      </c>
      <c r="B407" s="2" t="str">
        <f>COMUNICACIONES!A32</f>
        <v>06.03.01</v>
      </c>
      <c r="C407" s="2" t="s">
        <v>1157</v>
      </c>
      <c r="D407" s="2"/>
    </row>
    <row r="408" spans="1:13">
      <c r="A408" s="2" t="s">
        <v>278</v>
      </c>
      <c r="B408" s="2" t="s">
        <v>325</v>
      </c>
      <c r="C408" s="4" t="s">
        <v>280</v>
      </c>
      <c r="D408" s="5">
        <v>1</v>
      </c>
      <c r="E408" s="4" t="s">
        <v>281</v>
      </c>
      <c r="F408" s="5">
        <f>D408</f>
        <v>1</v>
      </c>
      <c r="G408" s="2" t="s">
        <v>282</v>
      </c>
      <c r="I408" s="4" t="s">
        <v>149</v>
      </c>
      <c r="J408" s="6">
        <f>J413+J416+J419</f>
        <v>8361.6008000000002</v>
      </c>
    </row>
    <row r="409" spans="1:13">
      <c r="A409" s="2" t="s">
        <v>283</v>
      </c>
      <c r="B409" s="2" t="s">
        <v>284</v>
      </c>
      <c r="F409" s="4" t="s">
        <v>122</v>
      </c>
      <c r="G409" s="4" t="s">
        <v>285</v>
      </c>
      <c r="H409" s="4" t="s">
        <v>286</v>
      </c>
      <c r="I409" s="4" t="s">
        <v>287</v>
      </c>
      <c r="J409" s="4" t="s">
        <v>288</v>
      </c>
    </row>
    <row r="410" spans="1:13">
      <c r="B410" s="7" t="s">
        <v>289</v>
      </c>
    </row>
    <row r="411" spans="1:13">
      <c r="B411" t="s">
        <v>292</v>
      </c>
      <c r="F411" s="8" t="s">
        <v>291</v>
      </c>
      <c r="G411" s="9">
        <v>2</v>
      </c>
      <c r="H411" s="10">
        <f>G411*8/$D$408</f>
        <v>16</v>
      </c>
      <c r="I411" s="12">
        <v>23.6</v>
      </c>
      <c r="J411" s="12">
        <f>H411*I411</f>
        <v>377.6</v>
      </c>
    </row>
    <row r="412" spans="1:13">
      <c r="B412" t="s">
        <v>1174</v>
      </c>
      <c r="F412" s="8" t="s">
        <v>291</v>
      </c>
      <c r="G412" s="9">
        <v>2</v>
      </c>
      <c r="H412" s="10">
        <f>G412*8/$D$408</f>
        <v>16</v>
      </c>
      <c r="I412">
        <v>26.11</v>
      </c>
      <c r="J412" s="12">
        <f>H412*I412</f>
        <v>417.76</v>
      </c>
    </row>
    <row r="413" spans="1:13">
      <c r="F413" s="8"/>
      <c r="G413" s="9"/>
      <c r="H413" s="10"/>
      <c r="J413" s="6">
        <f>SUM(J411:J412)</f>
        <v>795.36</v>
      </c>
    </row>
    <row r="414" spans="1:13">
      <c r="B414" s="7" t="s">
        <v>653</v>
      </c>
      <c r="F414" s="8"/>
      <c r="G414" s="9"/>
      <c r="H414" s="10"/>
      <c r="I414" s="10"/>
      <c r="J414" s="12"/>
    </row>
    <row r="415" spans="1:13">
      <c r="B415" t="s">
        <v>1201</v>
      </c>
      <c r="F415" s="8" t="s">
        <v>149</v>
      </c>
      <c r="H415" s="10">
        <v>1</v>
      </c>
      <c r="I415" s="12">
        <v>7542.38</v>
      </c>
      <c r="J415" s="12">
        <f>H415*I415</f>
        <v>7542.38</v>
      </c>
    </row>
    <row r="416" spans="1:13">
      <c r="J416" s="6">
        <f>SUM(J415:J415)</f>
        <v>7542.38</v>
      </c>
    </row>
    <row r="417" spans="1:10">
      <c r="B417" s="7" t="s">
        <v>309</v>
      </c>
    </row>
    <row r="418" spans="1:10">
      <c r="B418" t="s">
        <v>310</v>
      </c>
      <c r="F418" s="8" t="s">
        <v>311</v>
      </c>
      <c r="H418" s="10">
        <v>3</v>
      </c>
      <c r="I418" s="12">
        <f>J413</f>
        <v>795.36</v>
      </c>
      <c r="J418" s="12">
        <f>H418%*I418</f>
        <v>23.860800000000001</v>
      </c>
    </row>
    <row r="419" spans="1:10">
      <c r="A419" s="14"/>
      <c r="B419" s="14"/>
      <c r="C419" s="14"/>
      <c r="D419" s="14"/>
      <c r="E419" s="14"/>
      <c r="F419" s="14"/>
      <c r="G419" s="14"/>
      <c r="H419" s="14"/>
      <c r="I419" s="15"/>
      <c r="J419" s="16">
        <f>SUM(J418:J418)</f>
        <v>23.860800000000001</v>
      </c>
    </row>
    <row r="421" spans="1:10">
      <c r="A421" s="2" t="s">
        <v>277</v>
      </c>
      <c r="B421" s="2" t="str">
        <f>COMUNICACIONES!A33</f>
        <v>06.03.02</v>
      </c>
      <c r="C421" s="2" t="s">
        <v>1159</v>
      </c>
      <c r="D421" s="2"/>
    </row>
    <row r="422" spans="1:10">
      <c r="A422" s="2" t="s">
        <v>278</v>
      </c>
      <c r="B422" s="2" t="s">
        <v>325</v>
      </c>
      <c r="C422" s="4" t="s">
        <v>280</v>
      </c>
      <c r="D422" s="5">
        <v>2</v>
      </c>
      <c r="E422" s="4" t="s">
        <v>281</v>
      </c>
      <c r="F422" s="5">
        <f>D422</f>
        <v>2</v>
      </c>
      <c r="G422" s="2" t="s">
        <v>282</v>
      </c>
      <c r="I422" s="4" t="s">
        <v>149</v>
      </c>
      <c r="J422" s="6">
        <f>J427+J433+J437</f>
        <v>633.69880000000001</v>
      </c>
    </row>
    <row r="423" spans="1:10">
      <c r="A423" s="2" t="s">
        <v>283</v>
      </c>
      <c r="B423" s="2" t="s">
        <v>284</v>
      </c>
      <c r="F423" s="4" t="s">
        <v>122</v>
      </c>
      <c r="G423" s="4" t="s">
        <v>285</v>
      </c>
      <c r="H423" s="4" t="s">
        <v>286</v>
      </c>
      <c r="I423" s="4" t="s">
        <v>287</v>
      </c>
      <c r="J423" s="4" t="s">
        <v>288</v>
      </c>
    </row>
    <row r="424" spans="1:10">
      <c r="B424" s="7" t="s">
        <v>289</v>
      </c>
    </row>
    <row r="425" spans="1:10">
      <c r="B425" t="s">
        <v>292</v>
      </c>
      <c r="F425" s="8" t="s">
        <v>291</v>
      </c>
      <c r="G425" s="9">
        <v>1</v>
      </c>
      <c r="H425" s="10">
        <f>G425*8/$D$422</f>
        <v>4</v>
      </c>
      <c r="I425" s="12">
        <v>23.6</v>
      </c>
      <c r="J425" s="12">
        <f>H425*I425</f>
        <v>94.4</v>
      </c>
    </row>
    <row r="426" spans="1:10">
      <c r="B426" t="s">
        <v>1174</v>
      </c>
      <c r="F426" s="8" t="s">
        <v>291</v>
      </c>
      <c r="G426" s="9">
        <v>1</v>
      </c>
      <c r="H426" s="10">
        <f>G426*8/$D$422</f>
        <v>4</v>
      </c>
      <c r="I426">
        <v>26.11</v>
      </c>
      <c r="J426" s="12">
        <f>H426*I426</f>
        <v>104.44</v>
      </c>
    </row>
    <row r="427" spans="1:10">
      <c r="F427" s="8"/>
      <c r="G427" s="9"/>
      <c r="H427" s="10"/>
      <c r="J427" s="6">
        <f>SUM(J425:J426)</f>
        <v>198.84</v>
      </c>
    </row>
    <row r="428" spans="1:10">
      <c r="B428" s="7" t="s">
        <v>653</v>
      </c>
      <c r="F428" s="8"/>
      <c r="G428" s="9"/>
      <c r="H428" s="10"/>
      <c r="I428" s="10"/>
      <c r="J428" s="12"/>
    </row>
    <row r="429" spans="1:10">
      <c r="B429" t="s">
        <v>1211</v>
      </c>
      <c r="F429" s="8" t="s">
        <v>149</v>
      </c>
      <c r="H429" s="10">
        <v>1</v>
      </c>
      <c r="I429" s="12">
        <v>85</v>
      </c>
      <c r="J429" s="12">
        <f>H429*I429</f>
        <v>85</v>
      </c>
    </row>
    <row r="430" spans="1:10">
      <c r="B430" t="s">
        <v>1212</v>
      </c>
      <c r="F430" s="8" t="s">
        <v>149</v>
      </c>
      <c r="H430" s="10">
        <v>1</v>
      </c>
      <c r="I430" s="12">
        <v>317.48</v>
      </c>
      <c r="J430" s="12">
        <f>H430*I430</f>
        <v>317.48</v>
      </c>
    </row>
    <row r="431" spans="1:10">
      <c r="B431" t="s">
        <v>1213</v>
      </c>
      <c r="F431" s="8" t="s">
        <v>149</v>
      </c>
      <c r="H431" s="10">
        <v>1</v>
      </c>
      <c r="I431" s="12">
        <v>3.5</v>
      </c>
      <c r="J431" s="12">
        <f>H431*I431</f>
        <v>3.5</v>
      </c>
    </row>
    <row r="432" spans="1:10">
      <c r="B432" t="s">
        <v>1214</v>
      </c>
      <c r="F432" s="8" t="s">
        <v>149</v>
      </c>
      <c r="H432" s="10">
        <v>1</v>
      </c>
      <c r="I432" s="12">
        <v>22.5</v>
      </c>
      <c r="J432" s="12">
        <f>H432*I432</f>
        <v>22.5</v>
      </c>
    </row>
    <row r="433" spans="1:10">
      <c r="J433" s="6">
        <f>SUM(J429:J432)</f>
        <v>428.48</v>
      </c>
    </row>
    <row r="434" spans="1:10">
      <c r="B434" s="7" t="s">
        <v>309</v>
      </c>
    </row>
    <row r="435" spans="1:10">
      <c r="B435" t="s">
        <v>310</v>
      </c>
      <c r="F435" s="8" t="s">
        <v>311</v>
      </c>
      <c r="H435" s="10">
        <v>3</v>
      </c>
      <c r="I435" s="12">
        <f>J427</f>
        <v>198.84</v>
      </c>
      <c r="J435" s="12">
        <f>H435%*I435</f>
        <v>5.9652000000000003</v>
      </c>
    </row>
    <row r="436" spans="1:10">
      <c r="B436" t="s">
        <v>866</v>
      </c>
      <c r="F436" s="8" t="s">
        <v>867</v>
      </c>
      <c r="G436" s="9">
        <v>1</v>
      </c>
      <c r="H436" s="10">
        <f>G436*8/$D$422</f>
        <v>4</v>
      </c>
      <c r="I436" s="17">
        <v>10.34</v>
      </c>
      <c r="J436" s="12">
        <f>H436%*I436</f>
        <v>0.41360000000000002</v>
      </c>
    </row>
    <row r="437" spans="1:10">
      <c r="A437" s="14"/>
      <c r="B437" s="14"/>
      <c r="C437" s="14"/>
      <c r="D437" s="14"/>
      <c r="E437" s="14"/>
      <c r="F437" s="14"/>
      <c r="G437" s="14"/>
      <c r="H437" s="14"/>
      <c r="I437" s="15"/>
      <c r="J437" s="16">
        <f>SUM(J435:J436)</f>
        <v>6.3788</v>
      </c>
    </row>
    <row r="439" spans="1:10">
      <c r="A439" s="2" t="s">
        <v>277</v>
      </c>
      <c r="B439" s="2" t="str">
        <f>COMUNICACIONES!A34</f>
        <v>06.03.03</v>
      </c>
      <c r="C439" s="2" t="s">
        <v>1161</v>
      </c>
      <c r="D439" s="2"/>
    </row>
    <row r="440" spans="1:10">
      <c r="A440" s="2" t="s">
        <v>278</v>
      </c>
      <c r="B440" s="2" t="s">
        <v>325</v>
      </c>
      <c r="C440" s="4" t="s">
        <v>280</v>
      </c>
      <c r="D440" s="5">
        <v>2</v>
      </c>
      <c r="E440" s="4" t="s">
        <v>281</v>
      </c>
      <c r="F440" s="5">
        <f>D440</f>
        <v>2</v>
      </c>
      <c r="G440" s="2" t="s">
        <v>282</v>
      </c>
      <c r="I440" s="4" t="s">
        <v>149</v>
      </c>
      <c r="J440" s="6">
        <f>J445+J448+J452</f>
        <v>520.83879999999999</v>
      </c>
    </row>
    <row r="441" spans="1:10">
      <c r="A441" s="2" t="s">
        <v>283</v>
      </c>
      <c r="B441" s="2" t="s">
        <v>284</v>
      </c>
      <c r="F441" s="4" t="s">
        <v>122</v>
      </c>
      <c r="G441" s="4" t="s">
        <v>285</v>
      </c>
      <c r="H441" s="4" t="s">
        <v>286</v>
      </c>
      <c r="I441" s="4" t="s">
        <v>287</v>
      </c>
      <c r="J441" s="4" t="s">
        <v>288</v>
      </c>
    </row>
    <row r="442" spans="1:10">
      <c r="B442" s="7" t="s">
        <v>289</v>
      </c>
    </row>
    <row r="443" spans="1:10">
      <c r="B443" t="s">
        <v>292</v>
      </c>
      <c r="F443" s="8" t="s">
        <v>291</v>
      </c>
      <c r="G443" s="9">
        <v>1</v>
      </c>
      <c r="H443" s="10">
        <f>G443*8/$D$440</f>
        <v>4</v>
      </c>
      <c r="I443" s="12">
        <v>23.6</v>
      </c>
      <c r="J443" s="12">
        <f>H443*I443</f>
        <v>94.4</v>
      </c>
    </row>
    <row r="444" spans="1:10">
      <c r="B444" t="s">
        <v>1174</v>
      </c>
      <c r="F444" s="8" t="s">
        <v>291</v>
      </c>
      <c r="G444" s="9">
        <v>1</v>
      </c>
      <c r="H444" s="10">
        <f>G444*8/$D$440</f>
        <v>4</v>
      </c>
      <c r="I444">
        <v>26.11</v>
      </c>
      <c r="J444" s="12">
        <f>H444*I444</f>
        <v>104.44</v>
      </c>
    </row>
    <row r="445" spans="1:10">
      <c r="F445" s="8"/>
      <c r="G445" s="9"/>
      <c r="H445" s="10"/>
      <c r="J445" s="6">
        <f>SUM(J443:J444)</f>
        <v>198.84</v>
      </c>
    </row>
    <row r="446" spans="1:10">
      <c r="B446" s="7" t="s">
        <v>653</v>
      </c>
      <c r="F446" s="8"/>
      <c r="G446" s="9"/>
      <c r="H446" s="10"/>
      <c r="I446" s="10"/>
      <c r="J446" s="12"/>
    </row>
    <row r="447" spans="1:10">
      <c r="B447" t="s">
        <v>1215</v>
      </c>
      <c r="F447" s="8" t="s">
        <v>149</v>
      </c>
      <c r="H447" s="10">
        <v>1</v>
      </c>
      <c r="I447" s="12">
        <v>315.62</v>
      </c>
      <c r="J447" s="12">
        <f>H447*I447</f>
        <v>315.62</v>
      </c>
    </row>
    <row r="448" spans="1:10">
      <c r="J448" s="6">
        <f>SUM(J447:J447)</f>
        <v>315.62</v>
      </c>
    </row>
    <row r="449" spans="1:14">
      <c r="B449" s="7" t="s">
        <v>309</v>
      </c>
    </row>
    <row r="450" spans="1:14">
      <c r="B450" t="s">
        <v>310</v>
      </c>
      <c r="F450" s="8" t="s">
        <v>311</v>
      </c>
      <c r="H450" s="10">
        <v>3</v>
      </c>
      <c r="I450" s="12">
        <f>J445</f>
        <v>198.84</v>
      </c>
      <c r="J450" s="12">
        <f>H450%*I450</f>
        <v>5.9652000000000003</v>
      </c>
    </row>
    <row r="451" spans="1:14">
      <c r="B451" t="s">
        <v>866</v>
      </c>
      <c r="F451" s="8" t="s">
        <v>867</v>
      </c>
      <c r="G451" s="9">
        <v>1</v>
      </c>
      <c r="H451" s="10">
        <f>G451*8/$D$440</f>
        <v>4</v>
      </c>
      <c r="I451" s="17">
        <v>10.34</v>
      </c>
      <c r="J451" s="12">
        <f>H451%*I451</f>
        <v>0.41360000000000002</v>
      </c>
    </row>
    <row r="452" spans="1:14">
      <c r="A452" s="14"/>
      <c r="B452" s="14"/>
      <c r="C452" s="14"/>
      <c r="D452" s="14"/>
      <c r="E452" s="14"/>
      <c r="F452" s="14"/>
      <c r="G452" s="14"/>
      <c r="H452" s="14"/>
      <c r="I452" s="15"/>
      <c r="J452" s="16">
        <f>SUM(J450:J451)</f>
        <v>6.3788</v>
      </c>
    </row>
    <row r="454" spans="1:14">
      <c r="A454" s="2" t="s">
        <v>277</v>
      </c>
      <c r="B454" s="2" t="str">
        <f>COMUNICACIONES!A36</f>
        <v>06.04.01</v>
      </c>
      <c r="C454" s="2" t="s">
        <v>1164</v>
      </c>
      <c r="D454" s="2"/>
    </row>
    <row r="455" spans="1:14">
      <c r="A455" s="2" t="s">
        <v>278</v>
      </c>
      <c r="B455" s="2" t="s">
        <v>325</v>
      </c>
      <c r="C455" s="4" t="s">
        <v>280</v>
      </c>
      <c r="D455" s="5">
        <v>2</v>
      </c>
      <c r="E455" s="4" t="s">
        <v>281</v>
      </c>
      <c r="F455" s="5">
        <f>D455</f>
        <v>2</v>
      </c>
      <c r="G455" s="2" t="s">
        <v>282</v>
      </c>
      <c r="I455" s="4" t="s">
        <v>149</v>
      </c>
      <c r="J455" s="6">
        <f>J460+J463+J466</f>
        <v>530.50519999999995</v>
      </c>
    </row>
    <row r="456" spans="1:14">
      <c r="A456" s="2" t="s">
        <v>283</v>
      </c>
      <c r="B456" s="2" t="s">
        <v>284</v>
      </c>
      <c r="F456" s="4" t="s">
        <v>122</v>
      </c>
      <c r="G456" s="4" t="s">
        <v>285</v>
      </c>
      <c r="H456" s="4" t="s">
        <v>286</v>
      </c>
      <c r="I456" s="4" t="s">
        <v>287</v>
      </c>
      <c r="J456" s="4" t="s">
        <v>288</v>
      </c>
    </row>
    <row r="457" spans="1:14">
      <c r="B457" s="7" t="s">
        <v>289</v>
      </c>
    </row>
    <row r="458" spans="1:14">
      <c r="B458" t="s">
        <v>292</v>
      </c>
      <c r="F458" s="8" t="s">
        <v>291</v>
      </c>
      <c r="G458" s="9">
        <v>1</v>
      </c>
      <c r="H458" s="10">
        <f>G458*8/$D$455</f>
        <v>4</v>
      </c>
      <c r="I458" s="12">
        <v>23.6</v>
      </c>
      <c r="J458" s="12">
        <f>H458*I458</f>
        <v>94.4</v>
      </c>
      <c r="N458" s="2"/>
    </row>
    <row r="459" spans="1:14">
      <c r="B459" t="s">
        <v>1174</v>
      </c>
      <c r="F459" s="8" t="s">
        <v>291</v>
      </c>
      <c r="G459" s="9">
        <v>1</v>
      </c>
      <c r="H459" s="10">
        <f>G459*8/$D$455</f>
        <v>4</v>
      </c>
      <c r="I459">
        <v>26.11</v>
      </c>
      <c r="J459" s="12">
        <f>H459*I459</f>
        <v>104.44</v>
      </c>
      <c r="N459" s="2"/>
    </row>
    <row r="460" spans="1:14">
      <c r="F460" s="8"/>
      <c r="G460" s="9"/>
      <c r="H460" s="10"/>
      <c r="J460" s="6">
        <f>SUM(J458:J459)</f>
        <v>198.84</v>
      </c>
      <c r="M460" s="2"/>
      <c r="N460" s="2"/>
    </row>
    <row r="461" spans="1:14">
      <c r="B461" s="7" t="s">
        <v>653</v>
      </c>
      <c r="F461" s="8"/>
      <c r="G461" s="9"/>
      <c r="H461" s="10"/>
      <c r="I461" s="10"/>
      <c r="J461" s="12"/>
      <c r="N461" s="2"/>
    </row>
    <row r="462" spans="1:14">
      <c r="B462" t="s">
        <v>1216</v>
      </c>
      <c r="F462" s="8" t="s">
        <v>149</v>
      </c>
      <c r="H462" s="10">
        <v>1</v>
      </c>
      <c r="I462" s="12">
        <v>325.7</v>
      </c>
      <c r="J462" s="12">
        <f>H462*I462</f>
        <v>325.7</v>
      </c>
      <c r="N462" s="2"/>
    </row>
    <row r="463" spans="1:14">
      <c r="J463" s="6">
        <f>SUM(J462:J462)</f>
        <v>325.7</v>
      </c>
    </row>
    <row r="464" spans="1:14">
      <c r="B464" s="7" t="s">
        <v>309</v>
      </c>
    </row>
    <row r="465" spans="1:10">
      <c r="B465" t="s">
        <v>310</v>
      </c>
      <c r="F465" s="8" t="s">
        <v>311</v>
      </c>
      <c r="H465" s="10">
        <v>3</v>
      </c>
      <c r="I465" s="12">
        <f>J460</f>
        <v>198.84</v>
      </c>
      <c r="J465" s="12">
        <f>H465%*I465</f>
        <v>5.9652000000000003</v>
      </c>
    </row>
    <row r="466" spans="1:10">
      <c r="A466" s="14"/>
      <c r="B466" s="14"/>
      <c r="C466" s="14"/>
      <c r="D466" s="14"/>
      <c r="E466" s="14"/>
      <c r="F466" s="14"/>
      <c r="G466" s="14"/>
      <c r="H466" s="14"/>
      <c r="I466" s="15"/>
      <c r="J466" s="16">
        <f>SUM(J465:J465)</f>
        <v>5.9652000000000003</v>
      </c>
    </row>
    <row r="468" spans="1:10">
      <c r="A468" s="2" t="s">
        <v>277</v>
      </c>
      <c r="B468" s="2" t="str">
        <f>COMUNICACIONES!A37</f>
        <v>06.04.02</v>
      </c>
      <c r="C468" s="2" t="s">
        <v>1166</v>
      </c>
      <c r="D468" s="2"/>
    </row>
    <row r="469" spans="1:10">
      <c r="A469" s="2" t="s">
        <v>278</v>
      </c>
      <c r="B469" s="2" t="s">
        <v>325</v>
      </c>
      <c r="C469" s="4" t="s">
        <v>280</v>
      </c>
      <c r="D469" s="5">
        <v>2</v>
      </c>
      <c r="E469" s="4" t="s">
        <v>281</v>
      </c>
      <c r="F469" s="5">
        <f>D469</f>
        <v>2</v>
      </c>
      <c r="G469" s="2" t="s">
        <v>282</v>
      </c>
      <c r="I469" s="4" t="s">
        <v>149</v>
      </c>
      <c r="J469" s="6">
        <f>J474+J477+J481</f>
        <v>367.66879999999998</v>
      </c>
    </row>
    <row r="470" spans="1:10">
      <c r="A470" s="2" t="s">
        <v>283</v>
      </c>
      <c r="B470" s="2" t="s">
        <v>284</v>
      </c>
      <c r="F470" s="4" t="s">
        <v>122</v>
      </c>
      <c r="G470" s="4" t="s">
        <v>285</v>
      </c>
      <c r="H470" s="4" t="s">
        <v>286</v>
      </c>
      <c r="I470" s="4" t="s">
        <v>287</v>
      </c>
      <c r="J470" s="4" t="s">
        <v>288</v>
      </c>
    </row>
    <row r="471" spans="1:10">
      <c r="B471" s="7" t="s">
        <v>289</v>
      </c>
    </row>
    <row r="472" spans="1:10">
      <c r="B472" t="s">
        <v>292</v>
      </c>
      <c r="F472" s="8" t="s">
        <v>291</v>
      </c>
      <c r="G472" s="9">
        <v>1</v>
      </c>
      <c r="H472" s="10">
        <f>G472*8/$D$469</f>
        <v>4</v>
      </c>
      <c r="I472" s="12">
        <v>23.6</v>
      </c>
      <c r="J472" s="12">
        <f>H472*I472</f>
        <v>94.4</v>
      </c>
    </row>
    <row r="473" spans="1:10">
      <c r="B473" t="s">
        <v>1174</v>
      </c>
      <c r="F473" s="8" t="s">
        <v>291</v>
      </c>
      <c r="G473" s="9">
        <v>1</v>
      </c>
      <c r="H473" s="10">
        <f>G473*8/$D$469</f>
        <v>4</v>
      </c>
      <c r="I473">
        <v>26.11</v>
      </c>
      <c r="J473" s="12">
        <f>H473*I473</f>
        <v>104.44</v>
      </c>
    </row>
    <row r="474" spans="1:10">
      <c r="F474" s="8"/>
      <c r="G474" s="9"/>
      <c r="H474" s="10"/>
      <c r="J474" s="6">
        <f>SUM(J472:J473)</f>
        <v>198.84</v>
      </c>
    </row>
    <row r="475" spans="1:10">
      <c r="B475" s="7" t="s">
        <v>653</v>
      </c>
      <c r="F475" s="8"/>
      <c r="G475" s="9"/>
      <c r="H475" s="10"/>
      <c r="I475" s="10"/>
      <c r="J475" s="12"/>
    </row>
    <row r="476" spans="1:10">
      <c r="B476" t="s">
        <v>1166</v>
      </c>
      <c r="F476" s="8" t="s">
        <v>149</v>
      </c>
      <c r="H476" s="10">
        <v>1</v>
      </c>
      <c r="I476" s="12">
        <v>162.44999999999999</v>
      </c>
      <c r="J476" s="12">
        <f>H476*I476</f>
        <v>162.44999999999999</v>
      </c>
    </row>
    <row r="477" spans="1:10">
      <c r="J477" s="6">
        <f>SUM(J476:J476)</f>
        <v>162.44999999999999</v>
      </c>
    </row>
    <row r="478" spans="1:10">
      <c r="B478" s="7" t="s">
        <v>309</v>
      </c>
    </row>
    <row r="479" spans="1:10">
      <c r="B479" t="s">
        <v>310</v>
      </c>
      <c r="F479" s="8" t="s">
        <v>311</v>
      </c>
      <c r="H479" s="10">
        <v>3</v>
      </c>
      <c r="I479" s="12">
        <f>J474</f>
        <v>198.84</v>
      </c>
      <c r="J479" s="12">
        <f>H479%*I479</f>
        <v>5.9652000000000003</v>
      </c>
    </row>
    <row r="480" spans="1:10">
      <c r="B480" t="s">
        <v>866</v>
      </c>
      <c r="F480" s="8" t="s">
        <v>867</v>
      </c>
      <c r="G480" s="9">
        <v>1</v>
      </c>
      <c r="H480" s="10">
        <f>G480*8/$D$469</f>
        <v>4</v>
      </c>
      <c r="I480" s="17">
        <v>10.34</v>
      </c>
      <c r="J480" s="12">
        <f>H480%*I480</f>
        <v>0.41360000000000002</v>
      </c>
    </row>
    <row r="481" spans="1:10">
      <c r="A481" s="14"/>
      <c r="B481" s="14"/>
      <c r="C481" s="14"/>
      <c r="D481" s="14"/>
      <c r="E481" s="14"/>
      <c r="F481" s="14"/>
      <c r="G481" s="14"/>
      <c r="H481" s="14"/>
      <c r="I481" s="15"/>
      <c r="J481" s="16">
        <f>SUM(J479:J480)</f>
        <v>6.3788</v>
      </c>
    </row>
    <row r="483" spans="1:10">
      <c r="A483" s="2" t="s">
        <v>277</v>
      </c>
      <c r="B483" s="2" t="str">
        <f>COMUNICACIONES!A39</f>
        <v>06.05.01</v>
      </c>
      <c r="C483" s="2" t="s">
        <v>1169</v>
      </c>
      <c r="D483" s="2"/>
    </row>
    <row r="484" spans="1:10">
      <c r="A484" s="2" t="s">
        <v>278</v>
      </c>
      <c r="B484" s="2" t="s">
        <v>325</v>
      </c>
      <c r="C484" s="4" t="s">
        <v>280</v>
      </c>
      <c r="D484" s="5">
        <v>1</v>
      </c>
      <c r="E484" s="4" t="s">
        <v>281</v>
      </c>
      <c r="F484" s="5">
        <f>D484</f>
        <v>1</v>
      </c>
      <c r="G484" s="2" t="s">
        <v>282</v>
      </c>
      <c r="I484" s="4" t="s">
        <v>149</v>
      </c>
      <c r="J484" s="6">
        <f>J488+J491+J494</f>
        <v>957.17399999999998</v>
      </c>
    </row>
    <row r="485" spans="1:10">
      <c r="A485" s="2" t="s">
        <v>283</v>
      </c>
      <c r="B485" s="2" t="s">
        <v>284</v>
      </c>
      <c r="F485" s="4" t="s">
        <v>122</v>
      </c>
      <c r="G485" s="4" t="s">
        <v>285</v>
      </c>
      <c r="H485" s="4" t="s">
        <v>286</v>
      </c>
      <c r="I485" s="4" t="s">
        <v>287</v>
      </c>
      <c r="J485" s="4" t="s">
        <v>288</v>
      </c>
    </row>
    <row r="486" spans="1:10">
      <c r="B486" s="7" t="s">
        <v>289</v>
      </c>
    </row>
    <row r="487" spans="1:10">
      <c r="B487" t="s">
        <v>679</v>
      </c>
      <c r="F487" s="8" t="s">
        <v>291</v>
      </c>
      <c r="G487" s="9">
        <v>1</v>
      </c>
      <c r="H487" s="10">
        <f>G487*8/$D$484</f>
        <v>8</v>
      </c>
      <c r="I487">
        <v>23.6</v>
      </c>
      <c r="J487" s="12">
        <f>H487*I487</f>
        <v>188.8</v>
      </c>
    </row>
    <row r="488" spans="1:10">
      <c r="F488" s="8"/>
      <c r="G488" s="9"/>
      <c r="H488" s="10"/>
      <c r="J488" s="6">
        <f>SUM(J487:J487)</f>
        <v>188.8</v>
      </c>
    </row>
    <row r="489" spans="1:10">
      <c r="B489" s="7" t="s">
        <v>653</v>
      </c>
      <c r="F489" s="8"/>
      <c r="G489" s="9"/>
      <c r="H489" s="10"/>
      <c r="I489" s="10"/>
      <c r="J489" s="12"/>
    </row>
    <row r="490" spans="1:10">
      <c r="B490" t="s">
        <v>1217</v>
      </c>
      <c r="F490" s="8" t="s">
        <v>149</v>
      </c>
      <c r="H490" s="10">
        <v>1</v>
      </c>
      <c r="I490" s="12">
        <v>762.71</v>
      </c>
      <c r="J490" s="12">
        <f>H490*I490</f>
        <v>762.71</v>
      </c>
    </row>
    <row r="491" spans="1:10">
      <c r="J491" s="6">
        <f>SUM(J490:J490)</f>
        <v>762.71</v>
      </c>
    </row>
    <row r="492" spans="1:10">
      <c r="B492" s="7" t="s">
        <v>309</v>
      </c>
    </row>
    <row r="493" spans="1:10">
      <c r="B493" t="s">
        <v>310</v>
      </c>
      <c r="F493" s="8" t="s">
        <v>311</v>
      </c>
      <c r="H493" s="10">
        <v>3</v>
      </c>
      <c r="I493" s="12">
        <f>J488</f>
        <v>188.8</v>
      </c>
      <c r="J493" s="12">
        <f>H493%*I493</f>
        <v>5.6639999999999997</v>
      </c>
    </row>
    <row r="494" spans="1:10">
      <c r="A494" s="14"/>
      <c r="B494" s="14"/>
      <c r="C494" s="14"/>
      <c r="D494" s="14"/>
      <c r="E494" s="14"/>
      <c r="F494" s="14"/>
      <c r="G494" s="14"/>
      <c r="H494" s="14"/>
      <c r="I494" s="15"/>
      <c r="J494" s="16">
        <f>SUM(J493)</f>
        <v>5.6639999999999997</v>
      </c>
    </row>
    <row r="496" spans="1:10">
      <c r="A496" s="2" t="s">
        <v>277</v>
      </c>
      <c r="B496" s="2" t="str">
        <f>COMUNICACIONES!A40</f>
        <v>06.05.02</v>
      </c>
      <c r="C496" s="2" t="s">
        <v>1171</v>
      </c>
      <c r="D496" s="2"/>
    </row>
    <row r="497" spans="1:13">
      <c r="A497" s="2" t="s">
        <v>278</v>
      </c>
      <c r="B497" s="2" t="s">
        <v>325</v>
      </c>
      <c r="C497" s="4" t="s">
        <v>280</v>
      </c>
      <c r="D497" s="5">
        <v>8</v>
      </c>
      <c r="E497" s="4" t="s">
        <v>281</v>
      </c>
      <c r="F497" s="5">
        <f>D497</f>
        <v>8</v>
      </c>
      <c r="G497" s="2" t="s">
        <v>282</v>
      </c>
      <c r="I497" s="4" t="s">
        <v>149</v>
      </c>
      <c r="J497" s="6">
        <f>J503+J506+J510</f>
        <v>96.144090000000006</v>
      </c>
    </row>
    <row r="498" spans="1:13">
      <c r="A498" s="2" t="s">
        <v>283</v>
      </c>
      <c r="B498" s="2" t="s">
        <v>284</v>
      </c>
      <c r="F498" s="4" t="s">
        <v>122</v>
      </c>
      <c r="G498" s="4" t="s">
        <v>285</v>
      </c>
      <c r="H498" s="4" t="s">
        <v>286</v>
      </c>
      <c r="I498" s="4" t="s">
        <v>287</v>
      </c>
      <c r="J498" s="4" t="s">
        <v>288</v>
      </c>
      <c r="L498" s="2"/>
    </row>
    <row r="499" spans="1:13">
      <c r="B499" s="7" t="s">
        <v>289</v>
      </c>
      <c r="L499" s="2"/>
    </row>
    <row r="500" spans="1:13">
      <c r="B500" t="s">
        <v>650</v>
      </c>
      <c r="F500" s="8" t="s">
        <v>291</v>
      </c>
      <c r="G500" s="9">
        <v>0.1</v>
      </c>
      <c r="H500" s="10">
        <f>G500*8/$D$497</f>
        <v>0.1</v>
      </c>
      <c r="I500">
        <v>34.729999999999997</v>
      </c>
      <c r="J500" s="12">
        <f>H500*I500</f>
        <v>3.4729999999999999</v>
      </c>
      <c r="L500" s="2"/>
      <c r="M500" s="2"/>
    </row>
    <row r="501" spans="1:13">
      <c r="B501" t="s">
        <v>290</v>
      </c>
      <c r="F501" s="8" t="s">
        <v>291</v>
      </c>
      <c r="G501" s="9">
        <v>1</v>
      </c>
      <c r="H501" s="10">
        <f>G501*8/$D$497</f>
        <v>1</v>
      </c>
      <c r="I501">
        <v>28.94</v>
      </c>
      <c r="J501" s="12">
        <f>H501*I501</f>
        <v>28.94</v>
      </c>
      <c r="M501" s="7"/>
    </row>
    <row r="502" spans="1:13">
      <c r="B502" t="s">
        <v>293</v>
      </c>
      <c r="F502" s="8" t="s">
        <v>291</v>
      </c>
      <c r="G502" s="9">
        <v>1</v>
      </c>
      <c r="H502" s="10">
        <f>G502*8/$D$497</f>
        <v>1</v>
      </c>
      <c r="I502">
        <v>20.51</v>
      </c>
      <c r="J502" s="12">
        <f>H502*I502</f>
        <v>20.51</v>
      </c>
    </row>
    <row r="503" spans="1:13">
      <c r="F503" s="8"/>
      <c r="G503" s="9"/>
      <c r="H503" s="10"/>
      <c r="J503" s="6">
        <f>SUM(J500:J502)</f>
        <v>52.923000000000002</v>
      </c>
    </row>
    <row r="504" spans="1:13">
      <c r="B504" s="7" t="s">
        <v>653</v>
      </c>
      <c r="F504" s="8"/>
      <c r="G504" s="9"/>
      <c r="H504" s="10"/>
      <c r="I504" s="10"/>
      <c r="J504" s="12"/>
    </row>
    <row r="505" spans="1:13">
      <c r="B505" t="s">
        <v>1218</v>
      </c>
      <c r="F505" s="8" t="s">
        <v>149</v>
      </c>
      <c r="H505" s="10">
        <v>1</v>
      </c>
      <c r="I505" s="12">
        <v>41.53</v>
      </c>
      <c r="J505" s="12">
        <f>H505*I505</f>
        <v>41.53</v>
      </c>
    </row>
    <row r="506" spans="1:13">
      <c r="J506" s="6">
        <f>SUM(J505:J505)</f>
        <v>41.53</v>
      </c>
    </row>
    <row r="507" spans="1:13">
      <c r="B507" s="7" t="s">
        <v>309</v>
      </c>
      <c r="M507" s="7"/>
    </row>
    <row r="508" spans="1:13">
      <c r="B508" t="s">
        <v>310</v>
      </c>
      <c r="F508" s="8" t="s">
        <v>311</v>
      </c>
      <c r="H508" s="10">
        <v>3</v>
      </c>
      <c r="I508" s="12">
        <f>J503</f>
        <v>52.923000000000002</v>
      </c>
      <c r="J508" s="12">
        <f>H508%*I508</f>
        <v>1.58769</v>
      </c>
    </row>
    <row r="509" spans="1:13">
      <c r="B509" t="s">
        <v>866</v>
      </c>
      <c r="F509" s="8" t="s">
        <v>867</v>
      </c>
      <c r="G509" s="9">
        <v>1</v>
      </c>
      <c r="H509" s="10">
        <f>G509*8/$D$497</f>
        <v>1</v>
      </c>
      <c r="I509" s="17">
        <v>10.34</v>
      </c>
      <c r="J509" s="12">
        <f>H509%*I509</f>
        <v>0.10340000000000001</v>
      </c>
    </row>
    <row r="510" spans="1:13">
      <c r="A510" s="14"/>
      <c r="B510" s="14"/>
      <c r="C510" s="14"/>
      <c r="D510" s="14"/>
      <c r="E510" s="14"/>
      <c r="F510" s="14"/>
      <c r="G510" s="14"/>
      <c r="H510" s="14"/>
      <c r="I510" s="15"/>
      <c r="J510" s="16">
        <f>SUM(J508:J509)</f>
        <v>1.69109</v>
      </c>
      <c r="M510" s="7"/>
    </row>
    <row r="512" spans="1:13">
      <c r="A512" s="2" t="s">
        <v>277</v>
      </c>
      <c r="B512" s="2" t="str">
        <f>COMUNICACIONES!A41</f>
        <v>06.05.03</v>
      </c>
      <c r="C512" s="2" t="s">
        <v>1173</v>
      </c>
      <c r="D512" s="2"/>
    </row>
    <row r="513" spans="1:14">
      <c r="A513" s="2" t="s">
        <v>278</v>
      </c>
      <c r="B513" s="2" t="s">
        <v>325</v>
      </c>
      <c r="C513" s="4" t="s">
        <v>280</v>
      </c>
      <c r="D513" s="5">
        <v>8</v>
      </c>
      <c r="E513" s="4" t="s">
        <v>281</v>
      </c>
      <c r="F513" s="5">
        <f>D513</f>
        <v>8</v>
      </c>
      <c r="G513" s="2" t="s">
        <v>282</v>
      </c>
      <c r="I513" s="4" t="s">
        <v>149</v>
      </c>
      <c r="J513" s="6">
        <f>J519+J524+J527</f>
        <v>64.330690000000004</v>
      </c>
    </row>
    <row r="514" spans="1:14">
      <c r="A514" s="2" t="s">
        <v>283</v>
      </c>
      <c r="B514" s="2" t="s">
        <v>284</v>
      </c>
      <c r="F514" s="4" t="s">
        <v>122</v>
      </c>
      <c r="G514" s="4" t="s">
        <v>285</v>
      </c>
      <c r="H514" s="4" t="s">
        <v>286</v>
      </c>
      <c r="I514" s="4" t="s">
        <v>287</v>
      </c>
      <c r="J514" s="4" t="s">
        <v>288</v>
      </c>
    </row>
    <row r="515" spans="1:14">
      <c r="B515" s="7" t="s">
        <v>289</v>
      </c>
    </row>
    <row r="516" spans="1:14">
      <c r="B516" t="s">
        <v>650</v>
      </c>
      <c r="F516" s="8" t="s">
        <v>291</v>
      </c>
      <c r="G516" s="9">
        <v>0.1</v>
      </c>
      <c r="H516" s="10">
        <f>G516*8/$D$513</f>
        <v>0.1</v>
      </c>
      <c r="I516">
        <v>34.729999999999997</v>
      </c>
      <c r="J516" s="12">
        <f>H516*I516</f>
        <v>3.4729999999999999</v>
      </c>
    </row>
    <row r="517" spans="1:14">
      <c r="B517" t="s">
        <v>290</v>
      </c>
      <c r="F517" s="8" t="s">
        <v>291</v>
      </c>
      <c r="G517" s="9">
        <v>1</v>
      </c>
      <c r="H517" s="10">
        <f>G517*8/$D$513</f>
        <v>1</v>
      </c>
      <c r="I517">
        <v>28.94</v>
      </c>
      <c r="J517" s="12">
        <f>H517*I517</f>
        <v>28.94</v>
      </c>
    </row>
    <row r="518" spans="1:14">
      <c r="B518" t="s">
        <v>293</v>
      </c>
      <c r="F518" s="8" t="s">
        <v>291</v>
      </c>
      <c r="G518" s="9">
        <v>1</v>
      </c>
      <c r="H518" s="10">
        <f>G518*8/$D$513</f>
        <v>1</v>
      </c>
      <c r="I518">
        <v>20.51</v>
      </c>
      <c r="J518" s="12">
        <f>H518*I518</f>
        <v>20.51</v>
      </c>
    </row>
    <row r="519" spans="1:14">
      <c r="F519" s="8"/>
      <c r="G519" s="9"/>
      <c r="H519" s="10"/>
      <c r="J519" s="6">
        <f>SUM(J516:J518)</f>
        <v>52.923000000000002</v>
      </c>
    </row>
    <row r="520" spans="1:14">
      <c r="B520" s="7" t="s">
        <v>653</v>
      </c>
      <c r="F520" s="8"/>
      <c r="G520" s="9"/>
      <c r="H520" s="10"/>
      <c r="I520" s="10"/>
      <c r="J520" s="12"/>
    </row>
    <row r="521" spans="1:14">
      <c r="B521" t="s">
        <v>1191</v>
      </c>
      <c r="F521" s="8" t="s">
        <v>149</v>
      </c>
      <c r="H521" s="10">
        <v>2</v>
      </c>
      <c r="I521" s="12">
        <v>2.54</v>
      </c>
      <c r="J521" s="12">
        <f>H521*I521</f>
        <v>5.08</v>
      </c>
    </row>
    <row r="522" spans="1:14">
      <c r="B522" t="s">
        <v>1219</v>
      </c>
      <c r="F522" s="8" t="s">
        <v>149</v>
      </c>
      <c r="H522" s="10">
        <v>1</v>
      </c>
      <c r="I522" s="12">
        <v>3.81</v>
      </c>
      <c r="J522" s="12">
        <f>H522*I522</f>
        <v>3.81</v>
      </c>
    </row>
    <row r="523" spans="1:14">
      <c r="B523" t="s">
        <v>1178</v>
      </c>
      <c r="F523" s="8" t="s">
        <v>149</v>
      </c>
      <c r="H523" s="10">
        <v>1</v>
      </c>
      <c r="I523" s="12">
        <v>0.93</v>
      </c>
      <c r="J523" s="12">
        <f>H523*I523</f>
        <v>0.93</v>
      </c>
      <c r="M523" s="2"/>
      <c r="N523" s="2"/>
    </row>
    <row r="524" spans="1:14">
      <c r="J524" s="6">
        <f>SUM(J521:J523)</f>
        <v>9.82</v>
      </c>
      <c r="N524" s="2"/>
    </row>
    <row r="525" spans="1:14">
      <c r="B525" s="7" t="s">
        <v>309</v>
      </c>
      <c r="N525" s="2"/>
    </row>
    <row r="526" spans="1:14">
      <c r="B526" t="s">
        <v>310</v>
      </c>
      <c r="F526" s="8" t="s">
        <v>311</v>
      </c>
      <c r="H526" s="10">
        <v>3</v>
      </c>
      <c r="I526" s="12">
        <f>J519</f>
        <v>52.923000000000002</v>
      </c>
      <c r="J526" s="12">
        <f>H526%*I526</f>
        <v>1.58769</v>
      </c>
      <c r="M526" s="2"/>
      <c r="N526" s="2"/>
    </row>
    <row r="527" spans="1:14">
      <c r="A527" s="14"/>
      <c r="B527" s="14"/>
      <c r="C527" s="14"/>
      <c r="D527" s="14"/>
      <c r="E527" s="14"/>
      <c r="F527" s="14"/>
      <c r="G527" s="14"/>
      <c r="H527" s="14"/>
      <c r="I527" s="15"/>
      <c r="J527" s="16">
        <f>SUM(J526)</f>
        <v>1.58769</v>
      </c>
      <c r="M527" s="2"/>
      <c r="N527" s="2"/>
    </row>
    <row r="528" spans="1:14">
      <c r="M528" s="2"/>
      <c r="N528" s="2"/>
    </row>
    <row r="529" spans="13:14">
      <c r="M529" s="2"/>
      <c r="N529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A1E66-83AE-47ED-AEC5-15F2B351839F}">
  <sheetPr>
    <tabColor rgb="FF7030A0"/>
  </sheetPr>
  <dimension ref="A2:AI1161"/>
  <sheetViews>
    <sheetView topLeftCell="A15" workbookViewId="0">
      <selection activeCell="I30" sqref="I30"/>
    </sheetView>
  </sheetViews>
  <sheetFormatPr defaultRowHeight="15"/>
  <cols>
    <col min="8" max="8" width="9.28515625" bestFit="1" customWidth="1"/>
    <col min="9" max="9" width="11.140625" customWidth="1"/>
    <col min="10" max="10" width="11.28515625" customWidth="1"/>
    <col min="11" max="11" width="13" customWidth="1"/>
    <col min="12" max="12" width="9.28515625" bestFit="1" customWidth="1"/>
    <col min="14" max="14" width="10.5703125" customWidth="1"/>
    <col min="20" max="20" width="9.28515625" bestFit="1" customWidth="1"/>
    <col min="25" max="25" width="10.42578125" bestFit="1" customWidth="1"/>
    <col min="26" max="26" width="11" customWidth="1"/>
    <col min="34" max="34" width="9.85546875" bestFit="1" customWidth="1"/>
  </cols>
  <sheetData>
    <row r="2" spans="1:26">
      <c r="M2" s="25" t="s">
        <v>1220</v>
      </c>
      <c r="N2" s="25">
        <f>'Datos iniciales '!C3</f>
        <v>800</v>
      </c>
    </row>
    <row r="3" spans="1:26">
      <c r="E3" s="4" t="s">
        <v>1221</v>
      </c>
      <c r="F3" s="4" t="s">
        <v>1222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 t="s">
        <v>1223</v>
      </c>
      <c r="N3" s="25">
        <f>'Datos iniciales '!B3</f>
        <v>450</v>
      </c>
    </row>
    <row r="4" spans="1:26">
      <c r="G4" s="23"/>
      <c r="H4" s="21"/>
      <c r="I4" s="12"/>
      <c r="K4" s="29"/>
      <c r="M4" s="25" t="s">
        <v>1224</v>
      </c>
      <c r="N4" s="25">
        <f>'Datos iniciales '!D3</f>
        <v>180</v>
      </c>
      <c r="O4" t="s">
        <v>1225</v>
      </c>
    </row>
    <row r="5" spans="1:26">
      <c r="K5" s="29"/>
      <c r="M5" s="25"/>
      <c r="N5" s="25"/>
    </row>
    <row r="6" spans="1:26">
      <c r="A6" s="1" t="s">
        <v>127</v>
      </c>
      <c r="B6" s="1"/>
      <c r="C6" s="1"/>
      <c r="D6" s="1"/>
      <c r="E6" s="1"/>
      <c r="Q6" s="2" t="s">
        <v>277</v>
      </c>
      <c r="R6" s="2"/>
      <c r="S6" s="2" t="s">
        <v>132</v>
      </c>
      <c r="T6" s="2"/>
      <c r="U6" s="2"/>
      <c r="V6" s="2"/>
      <c r="W6" s="2"/>
      <c r="X6" s="2"/>
      <c r="Y6" s="2"/>
    </row>
    <row r="7" spans="1:26">
      <c r="A7" s="173" t="s">
        <v>128</v>
      </c>
      <c r="B7" s="173"/>
      <c r="H7" s="173"/>
      <c r="I7" s="173"/>
      <c r="J7" s="174"/>
      <c r="K7" s="29">
        <f>SUM(J9:J112)</f>
        <v>383066.40658365958</v>
      </c>
      <c r="Q7" s="2" t="s">
        <v>278</v>
      </c>
      <c r="R7" s="2" t="s">
        <v>279</v>
      </c>
      <c r="S7" s="4" t="s">
        <v>280</v>
      </c>
      <c r="T7" s="5">
        <v>25</v>
      </c>
      <c r="U7" s="4" t="s">
        <v>281</v>
      </c>
      <c r="V7" s="5">
        <f>T7</f>
        <v>25</v>
      </c>
      <c r="W7" s="2" t="s">
        <v>282</v>
      </c>
      <c r="Y7" s="4" t="s">
        <v>149</v>
      </c>
      <c r="Z7" s="6">
        <f>Z14+Z26+Z29</f>
        <v>158.90000999999998</v>
      </c>
    </row>
    <row r="8" spans="1:26">
      <c r="A8" s="175" t="s">
        <v>130</v>
      </c>
      <c r="B8" s="175"/>
      <c r="I8" s="175"/>
      <c r="J8" s="176"/>
      <c r="K8" s="29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t="s">
        <v>132</v>
      </c>
      <c r="G9" t="s">
        <v>1226</v>
      </c>
      <c r="H9">
        <v>50</v>
      </c>
      <c r="I9" s="12">
        <f>Z7</f>
        <v>158.90000999999998</v>
      </c>
      <c r="J9" s="29">
        <f>H9*I9</f>
        <v>7945.0004999999992</v>
      </c>
      <c r="K9" s="29"/>
      <c r="R9" s="7" t="s">
        <v>289</v>
      </c>
    </row>
    <row r="10" spans="1:26">
      <c r="A10" t="s">
        <v>135</v>
      </c>
      <c r="G10" t="s">
        <v>1226</v>
      </c>
      <c r="H10">
        <f>ROUND(0.01*N3,0)</f>
        <v>5</v>
      </c>
      <c r="I10" s="12">
        <f>Z32</f>
        <v>144.64563000000001</v>
      </c>
      <c r="J10" s="29">
        <f t="shared" ref="J10:J16" si="0">H10*I10</f>
        <v>723.22815000000003</v>
      </c>
      <c r="V10" s="8"/>
      <c r="W10" s="9"/>
      <c r="X10" s="10"/>
      <c r="Y10" s="12"/>
      <c r="Z10" s="12"/>
    </row>
    <row r="11" spans="1:26">
      <c r="A11" t="s">
        <v>137</v>
      </c>
      <c r="G11" t="s">
        <v>1226</v>
      </c>
      <c r="H11">
        <v>8</v>
      </c>
      <c r="I11" s="12">
        <f>Z56</f>
        <v>148.03953000000001</v>
      </c>
      <c r="J11" s="29">
        <f>H11*I11</f>
        <v>1184.3162400000001</v>
      </c>
      <c r="R11" t="s">
        <v>290</v>
      </c>
      <c r="V11" s="8" t="s">
        <v>291</v>
      </c>
      <c r="W11" s="9">
        <v>1</v>
      </c>
      <c r="X11" s="10">
        <f>W11*8/$T$7</f>
        <v>0.32</v>
      </c>
      <c r="Y11" s="12">
        <v>28.94</v>
      </c>
      <c r="Z11" s="12">
        <f t="shared" ref="Z11:Z12" si="1">X11*Y11</f>
        <v>9.2608000000000015</v>
      </c>
    </row>
    <row r="12" spans="1:26">
      <c r="A12" t="s">
        <v>139</v>
      </c>
      <c r="G12" t="s">
        <v>1226</v>
      </c>
      <c r="H12">
        <v>50</v>
      </c>
      <c r="I12" s="12">
        <f>Z80</f>
        <v>152.56473</v>
      </c>
      <c r="J12" s="29">
        <f t="shared" si="0"/>
        <v>7628.2365</v>
      </c>
      <c r="R12" t="s">
        <v>292</v>
      </c>
      <c r="V12" s="8" t="s">
        <v>291</v>
      </c>
      <c r="W12" s="9">
        <v>1</v>
      </c>
      <c r="X12" s="10">
        <f>W12*8/$T$7</f>
        <v>0.32</v>
      </c>
      <c r="Y12" s="12">
        <v>22.66</v>
      </c>
      <c r="Z12" s="12">
        <f t="shared" si="1"/>
        <v>7.2511999999999999</v>
      </c>
    </row>
    <row r="13" spans="1:26">
      <c r="A13" t="s">
        <v>141</v>
      </c>
      <c r="G13" t="s">
        <v>1226</v>
      </c>
      <c r="H13">
        <v>25</v>
      </c>
      <c r="I13" s="29">
        <f>Z104</f>
        <v>206.19276500000001</v>
      </c>
      <c r="J13" s="29">
        <f t="shared" si="0"/>
        <v>5154.819125</v>
      </c>
      <c r="R13" t="s">
        <v>293</v>
      </c>
      <c r="V13" s="8" t="s">
        <v>291</v>
      </c>
      <c r="W13" s="9">
        <v>3</v>
      </c>
      <c r="X13" s="10">
        <f>W13*8/$T$7</f>
        <v>0.96</v>
      </c>
      <c r="Y13" s="12">
        <v>20.51</v>
      </c>
      <c r="Z13" s="12">
        <f>X13*Y13</f>
        <v>19.689600000000002</v>
      </c>
    </row>
    <row r="14" spans="1:26">
      <c r="A14" t="s">
        <v>143</v>
      </c>
      <c r="G14" t="s">
        <v>144</v>
      </c>
      <c r="H14" s="12">
        <f>4*(N2)^0.5</f>
        <v>113.13708498984761</v>
      </c>
      <c r="I14" s="12">
        <f>Z128</f>
        <v>44.069546666666668</v>
      </c>
      <c r="J14" s="29">
        <f t="shared" si="0"/>
        <v>4985.9000466907219</v>
      </c>
      <c r="Z14" s="6">
        <f>SUM(Z10:Z13)</f>
        <v>36.201599999999999</v>
      </c>
    </row>
    <row r="15" spans="1:26">
      <c r="A15" t="s">
        <v>146</v>
      </c>
      <c r="G15" t="s">
        <v>1226</v>
      </c>
      <c r="H15">
        <v>16</v>
      </c>
      <c r="I15" s="12">
        <f>Z144</f>
        <v>343.16158999999999</v>
      </c>
      <c r="J15" s="29">
        <f t="shared" si="0"/>
        <v>5490.5854399999998</v>
      </c>
      <c r="R15" s="7" t="s">
        <v>294</v>
      </c>
    </row>
    <row r="16" spans="1:26">
      <c r="A16" t="s">
        <v>148</v>
      </c>
      <c r="G16" t="s">
        <v>149</v>
      </c>
      <c r="H16">
        <v>2</v>
      </c>
      <c r="I16" s="12">
        <f>Z173</f>
        <v>1453.7775200000001</v>
      </c>
      <c r="J16" s="29">
        <f>H16*I16</f>
        <v>2907.5550400000002</v>
      </c>
      <c r="R16" t="s">
        <v>295</v>
      </c>
      <c r="V16" s="8" t="s">
        <v>296</v>
      </c>
      <c r="W16" s="9"/>
      <c r="X16" s="10">
        <v>1.25</v>
      </c>
      <c r="Y16" s="12">
        <v>2.64</v>
      </c>
      <c r="Z16" s="12">
        <f>X16*Y16</f>
        <v>3.3000000000000003</v>
      </c>
    </row>
    <row r="17" spans="1:26">
      <c r="A17" s="175" t="s">
        <v>151</v>
      </c>
      <c r="G17" s="175"/>
      <c r="H17" s="175"/>
      <c r="I17" s="175"/>
      <c r="J17" s="176"/>
      <c r="K17" s="29"/>
      <c r="R17" t="s">
        <v>297</v>
      </c>
      <c r="V17" s="8" t="s">
        <v>298</v>
      </c>
      <c r="W17" s="9"/>
      <c r="X17" s="10">
        <v>1.8</v>
      </c>
      <c r="Y17">
        <v>14.15</v>
      </c>
      <c r="Z17" s="12">
        <f t="shared" ref="Z17:Z25" si="2">X17*Y17</f>
        <v>25.470000000000002</v>
      </c>
    </row>
    <row r="18" spans="1:26">
      <c r="A18" t="s">
        <v>153</v>
      </c>
      <c r="G18" t="s">
        <v>154</v>
      </c>
      <c r="H18">
        <v>1</v>
      </c>
      <c r="I18" s="12">
        <v>251.61</v>
      </c>
      <c r="J18" s="29">
        <f>PRODUCT(H18*I18)</f>
        <v>251.61</v>
      </c>
      <c r="R18" t="s">
        <v>299</v>
      </c>
      <c r="V18" s="8" t="s">
        <v>149</v>
      </c>
      <c r="W18" s="9"/>
      <c r="X18" s="10">
        <v>0.2</v>
      </c>
      <c r="Y18">
        <v>55</v>
      </c>
      <c r="Z18" s="12">
        <f t="shared" si="2"/>
        <v>11</v>
      </c>
    </row>
    <row r="19" spans="1:26">
      <c r="A19" t="s">
        <v>156</v>
      </c>
      <c r="G19" t="s">
        <v>157</v>
      </c>
      <c r="H19">
        <f>N4</f>
        <v>180</v>
      </c>
      <c r="I19" s="12">
        <v>185.89</v>
      </c>
      <c r="J19" s="29">
        <f t="shared" ref="J19:J21" si="3">PRODUCT(H19*I19)</f>
        <v>33460.199999999997</v>
      </c>
      <c r="L19" s="2"/>
      <c r="R19" t="s">
        <v>300</v>
      </c>
      <c r="V19" s="8" t="s">
        <v>296</v>
      </c>
      <c r="X19" s="10">
        <v>0.06</v>
      </c>
      <c r="Y19">
        <v>10.93</v>
      </c>
      <c r="Z19" s="12">
        <f t="shared" si="2"/>
        <v>0.65579999999999994</v>
      </c>
    </row>
    <row r="20" spans="1:26">
      <c r="A20" t="s">
        <v>159</v>
      </c>
      <c r="G20" t="s">
        <v>154</v>
      </c>
      <c r="H20">
        <v>1</v>
      </c>
      <c r="I20" s="12">
        <v>976.39</v>
      </c>
      <c r="J20" s="29">
        <f t="shared" si="3"/>
        <v>976.39</v>
      </c>
      <c r="L20" s="2"/>
      <c r="R20" t="s">
        <v>301</v>
      </c>
      <c r="V20" s="8" t="s">
        <v>296</v>
      </c>
      <c r="X20" s="10">
        <v>7.0999999999999994E-2</v>
      </c>
      <c r="Y20" s="12">
        <v>5.51</v>
      </c>
      <c r="Z20" s="12">
        <f>X20*Y20</f>
        <v>0.39120999999999995</v>
      </c>
    </row>
    <row r="21" spans="1:26">
      <c r="A21" t="s">
        <v>161</v>
      </c>
      <c r="G21" t="s">
        <v>157</v>
      </c>
      <c r="H21">
        <f>N4</f>
        <v>180</v>
      </c>
      <c r="I21" s="12">
        <v>185.89</v>
      </c>
      <c r="J21" s="29">
        <f t="shared" si="3"/>
        <v>33460.199999999997</v>
      </c>
      <c r="L21" s="2"/>
      <c r="R21" t="s">
        <v>302</v>
      </c>
      <c r="V21" s="8" t="s">
        <v>203</v>
      </c>
      <c r="X21" s="10">
        <v>0.19</v>
      </c>
      <c r="Y21" s="12">
        <v>70.92</v>
      </c>
      <c r="Z21" s="12">
        <f>X21*Y21</f>
        <v>13.4748</v>
      </c>
    </row>
    <row r="22" spans="1:26">
      <c r="I22" s="12"/>
      <c r="J22" s="29"/>
      <c r="L22" s="2"/>
      <c r="R22" t="s">
        <v>303</v>
      </c>
      <c r="V22" s="8" t="s">
        <v>298</v>
      </c>
      <c r="X22" s="10">
        <v>0.53</v>
      </c>
      <c r="Y22">
        <v>27.88</v>
      </c>
      <c r="Z22" s="12">
        <f t="shared" si="2"/>
        <v>14.776400000000001</v>
      </c>
    </row>
    <row r="23" spans="1:26">
      <c r="I23" s="12"/>
      <c r="J23" s="29"/>
      <c r="L23" s="2"/>
      <c r="R23" t="s">
        <v>304</v>
      </c>
      <c r="V23" s="8" t="s">
        <v>305</v>
      </c>
      <c r="X23" s="10">
        <v>0.2374</v>
      </c>
      <c r="Y23">
        <v>32.200000000000003</v>
      </c>
      <c r="Z23" s="12">
        <f t="shared" si="2"/>
        <v>7.6442800000000011</v>
      </c>
    </row>
    <row r="24" spans="1:26">
      <c r="H24" s="2"/>
      <c r="I24" s="12"/>
      <c r="J24" s="29"/>
      <c r="L24" s="2"/>
      <c r="R24" t="s">
        <v>306</v>
      </c>
      <c r="V24" s="8" t="s">
        <v>307</v>
      </c>
      <c r="X24" s="10">
        <v>1.0920000000000001</v>
      </c>
      <c r="Y24" s="12">
        <v>24.52</v>
      </c>
      <c r="Z24" s="12">
        <f t="shared" si="2"/>
        <v>26.775840000000002</v>
      </c>
    </row>
    <row r="25" spans="1:26">
      <c r="A25" s="173" t="s">
        <v>162</v>
      </c>
      <c r="G25" s="173"/>
      <c r="H25" s="173"/>
      <c r="I25" s="173"/>
      <c r="J25" s="174"/>
      <c r="R25" t="s">
        <v>308</v>
      </c>
      <c r="V25" s="8" t="s">
        <v>305</v>
      </c>
      <c r="X25" s="10">
        <v>3</v>
      </c>
      <c r="Y25" s="12">
        <v>5.8</v>
      </c>
      <c r="Z25" s="12">
        <f t="shared" si="2"/>
        <v>17.399999999999999</v>
      </c>
    </row>
    <row r="26" spans="1:26">
      <c r="A26" s="175" t="s">
        <v>164</v>
      </c>
      <c r="G26" s="175"/>
      <c r="H26" s="175"/>
      <c r="I26" s="175"/>
      <c r="J26" s="176"/>
      <c r="V26" s="8"/>
      <c r="X26" s="10"/>
      <c r="Y26" s="12"/>
      <c r="Z26" s="6">
        <f>SUM(Z16:Z25)</f>
        <v>120.88833</v>
      </c>
    </row>
    <row r="27" spans="1:26">
      <c r="A27" t="s">
        <v>1227</v>
      </c>
      <c r="G27" t="s">
        <v>1226</v>
      </c>
      <c r="H27" s="29">
        <f>N2</f>
        <v>800</v>
      </c>
      <c r="I27" s="12">
        <f>Z255</f>
        <v>1.14856</v>
      </c>
      <c r="J27" s="29">
        <f>H27*I27</f>
        <v>918.84800000000007</v>
      </c>
      <c r="R27" s="7" t="s">
        <v>309</v>
      </c>
    </row>
    <row r="28" spans="1:26">
      <c r="A28" t="s">
        <v>168</v>
      </c>
      <c r="G28" t="s">
        <v>1226</v>
      </c>
      <c r="H28" s="29">
        <f>N2</f>
        <v>800</v>
      </c>
      <c r="I28" s="12">
        <f>Z265</f>
        <v>1.3594755555555555</v>
      </c>
      <c r="J28" s="29">
        <f>H28*I28</f>
        <v>1087.5804444444445</v>
      </c>
      <c r="R28" t="s">
        <v>310</v>
      </c>
      <c r="V28" s="8" t="s">
        <v>311</v>
      </c>
      <c r="X28" s="10">
        <v>5</v>
      </c>
      <c r="Y28" s="12">
        <f>Z14</f>
        <v>36.201599999999999</v>
      </c>
      <c r="Z28" s="12">
        <f>X28%*Y28</f>
        <v>1.8100800000000001</v>
      </c>
    </row>
    <row r="29" spans="1:26">
      <c r="A29" s="175" t="s">
        <v>170</v>
      </c>
      <c r="G29" s="175"/>
      <c r="H29" s="175"/>
      <c r="I29" s="175"/>
      <c r="J29" s="176"/>
      <c r="L29" s="2"/>
      <c r="Z29" s="6">
        <f>SUM(Z28)</f>
        <v>1.8100800000000001</v>
      </c>
    </row>
    <row r="30" spans="1:26">
      <c r="A30" t="s">
        <v>172</v>
      </c>
      <c r="G30" t="s">
        <v>154</v>
      </c>
      <c r="H30">
        <v>1</v>
      </c>
      <c r="I30" s="50">
        <f>0.05%*'Datos iniciales '!F91</f>
        <v>1156.1290319100938</v>
      </c>
      <c r="J30" s="29">
        <f>H30*I30</f>
        <v>1156.1290319100938</v>
      </c>
      <c r="L30" s="77"/>
      <c r="Q30" s="177"/>
      <c r="R30" s="177"/>
      <c r="S30" s="177"/>
      <c r="T30" s="177"/>
      <c r="U30" s="177"/>
      <c r="V30" s="177"/>
      <c r="W30" s="177"/>
      <c r="X30" s="178"/>
      <c r="Y30" s="178"/>
      <c r="Z30" s="177"/>
    </row>
    <row r="31" spans="1:26">
      <c r="A31" t="s">
        <v>174</v>
      </c>
      <c r="G31" t="s">
        <v>154</v>
      </c>
      <c r="H31">
        <v>1</v>
      </c>
      <c r="I31" s="50">
        <f>0.2%*'Datos iniciales '!F91</f>
        <v>4624.5161276403751</v>
      </c>
      <c r="J31" s="29">
        <f>H31*I31</f>
        <v>4624.5161276403751</v>
      </c>
      <c r="Q31" s="2" t="s">
        <v>277</v>
      </c>
      <c r="R31" s="2"/>
      <c r="S31" s="2" t="s">
        <v>135</v>
      </c>
      <c r="T31" s="2"/>
      <c r="U31" s="2"/>
      <c r="V31" s="2"/>
      <c r="W31" s="2"/>
      <c r="X31" s="2"/>
      <c r="Y31" s="2"/>
    </row>
    <row r="32" spans="1:26">
      <c r="A32" s="175" t="s">
        <v>176</v>
      </c>
      <c r="G32" s="175"/>
      <c r="H32" s="175"/>
      <c r="I32" s="175"/>
      <c r="J32" s="176"/>
      <c r="Q32" s="2" t="s">
        <v>278</v>
      </c>
      <c r="R32" s="2" t="s">
        <v>279</v>
      </c>
      <c r="S32" s="4" t="s">
        <v>280</v>
      </c>
      <c r="T32" s="5">
        <v>40</v>
      </c>
      <c r="U32" s="4" t="s">
        <v>281</v>
      </c>
      <c r="V32" s="5">
        <f>T32</f>
        <v>40</v>
      </c>
      <c r="W32" s="2" t="s">
        <v>282</v>
      </c>
      <c r="Y32" s="4" t="s">
        <v>149</v>
      </c>
      <c r="Z32" s="6">
        <f>Z38+Z50+Z53</f>
        <v>144.64563000000001</v>
      </c>
    </row>
    <row r="33" spans="1:26">
      <c r="A33" t="s">
        <v>178</v>
      </c>
      <c r="G33" t="s">
        <v>1226</v>
      </c>
      <c r="H33" s="29">
        <f>N2</f>
        <v>800</v>
      </c>
      <c r="I33" s="12">
        <f>Z290</f>
        <v>3.9762599999999999</v>
      </c>
      <c r="J33" s="29">
        <f>H33*I33</f>
        <v>3181.0079999999998</v>
      </c>
      <c r="K33" s="29"/>
      <c r="L33" s="2"/>
      <c r="Q33" s="2" t="s">
        <v>283</v>
      </c>
      <c r="R33" s="2" t="s">
        <v>284</v>
      </c>
      <c r="V33" s="4" t="s">
        <v>122</v>
      </c>
      <c r="W33" s="4" t="s">
        <v>285</v>
      </c>
      <c r="X33" s="4" t="s">
        <v>286</v>
      </c>
      <c r="Y33" s="4" t="s">
        <v>287</v>
      </c>
      <c r="Z33" s="4" t="s">
        <v>288</v>
      </c>
    </row>
    <row r="34" spans="1:26">
      <c r="A34" t="s">
        <v>1228</v>
      </c>
      <c r="G34" t="s">
        <v>1226</v>
      </c>
      <c r="H34" s="29">
        <f>N2</f>
        <v>800</v>
      </c>
      <c r="I34" s="12">
        <f>Z310</f>
        <v>4.26553</v>
      </c>
      <c r="J34" s="29">
        <f>H34*I34</f>
        <v>3412.424</v>
      </c>
      <c r="L34" s="2"/>
      <c r="R34" s="7" t="s">
        <v>289</v>
      </c>
    </row>
    <row r="35" spans="1:26">
      <c r="A35" s="173" t="s">
        <v>181</v>
      </c>
      <c r="G35" s="173"/>
      <c r="H35" s="173"/>
      <c r="I35" s="173"/>
      <c r="J35" s="180"/>
      <c r="R35" t="s">
        <v>290</v>
      </c>
      <c r="V35" s="8" t="s">
        <v>291</v>
      </c>
      <c r="W35" s="9">
        <v>1</v>
      </c>
      <c r="X35" s="10">
        <f>W35*8/$T$32</f>
        <v>0.2</v>
      </c>
      <c r="Y35" s="12">
        <v>28.94</v>
      </c>
      <c r="Z35" s="12">
        <f t="shared" ref="Z35:Z36" si="4">X35*Y35</f>
        <v>5.7880000000000003</v>
      </c>
    </row>
    <row r="36" spans="1:26">
      <c r="A36" s="175" t="s">
        <v>183</v>
      </c>
      <c r="G36" s="175"/>
      <c r="H36" s="175"/>
      <c r="I36" s="175"/>
      <c r="J36" s="181"/>
      <c r="R36" t="s">
        <v>292</v>
      </c>
      <c r="V36" s="8" t="s">
        <v>291</v>
      </c>
      <c r="W36" s="9">
        <v>1</v>
      </c>
      <c r="X36" s="10">
        <f>W36*8/$T$32</f>
        <v>0.2</v>
      </c>
      <c r="Y36" s="12">
        <v>22.66</v>
      </c>
      <c r="Z36" s="12">
        <f t="shared" si="4"/>
        <v>4.532</v>
      </c>
    </row>
    <row r="37" spans="1:26">
      <c r="A37" t="s">
        <v>1229</v>
      </c>
      <c r="G37" t="s">
        <v>154</v>
      </c>
      <c r="H37">
        <v>1</v>
      </c>
      <c r="I37" s="12">
        <f>Z352</f>
        <v>41043.350000000006</v>
      </c>
      <c r="J37" s="182">
        <f>H37*I37</f>
        <v>41043.350000000006</v>
      </c>
      <c r="R37" t="s">
        <v>293</v>
      </c>
      <c r="V37" s="8" t="s">
        <v>291</v>
      </c>
      <c r="W37" s="9">
        <v>3</v>
      </c>
      <c r="X37" s="10">
        <f>W37*8/$T$32</f>
        <v>0.6</v>
      </c>
      <c r="Y37" s="12">
        <v>20.51</v>
      </c>
      <c r="Z37" s="12">
        <f>X37*Y37</f>
        <v>12.306000000000001</v>
      </c>
    </row>
    <row r="38" spans="1:26">
      <c r="A38" t="s">
        <v>1230</v>
      </c>
      <c r="G38" t="s">
        <v>154</v>
      </c>
      <c r="H38">
        <v>1</v>
      </c>
      <c r="I38" s="12">
        <f>Z355</f>
        <v>3824.87</v>
      </c>
      <c r="J38" s="182">
        <f>H38*I38</f>
        <v>3824.87</v>
      </c>
      <c r="Z38" s="6">
        <f>SUM(Z35:Z37)</f>
        <v>22.626000000000001</v>
      </c>
    </row>
    <row r="39" spans="1:26">
      <c r="A39" t="s">
        <v>1231</v>
      </c>
      <c r="G39" t="s">
        <v>154</v>
      </c>
      <c r="H39">
        <v>1</v>
      </c>
      <c r="I39" s="12">
        <f>Z378</f>
        <v>6076.5</v>
      </c>
      <c r="J39" s="182">
        <f t="shared" ref="J39:J43" si="5">H39*I39</f>
        <v>6076.5</v>
      </c>
      <c r="R39" s="7" t="s">
        <v>294</v>
      </c>
    </row>
    <row r="40" spans="1:26">
      <c r="A40" t="s">
        <v>1232</v>
      </c>
      <c r="G40" t="s">
        <v>154</v>
      </c>
      <c r="H40">
        <v>1</v>
      </c>
      <c r="I40" s="12">
        <f>Z387</f>
        <v>18386.64</v>
      </c>
      <c r="J40" s="182">
        <f t="shared" si="5"/>
        <v>18386.64</v>
      </c>
      <c r="R40" t="s">
        <v>295</v>
      </c>
      <c r="V40" s="8" t="s">
        <v>296</v>
      </c>
      <c r="W40" s="9"/>
      <c r="X40" s="10">
        <v>1.25</v>
      </c>
      <c r="Y40" s="12">
        <v>2.64</v>
      </c>
      <c r="Z40" s="12">
        <f>X40*Y40</f>
        <v>3.3000000000000003</v>
      </c>
    </row>
    <row r="41" spans="1:26">
      <c r="A41" t="s">
        <v>1233</v>
      </c>
      <c r="G41" t="s">
        <v>154</v>
      </c>
      <c r="H41">
        <v>1</v>
      </c>
      <c r="I41" s="29">
        <f>Z390</f>
        <v>1478.8000000000002</v>
      </c>
      <c r="J41" s="182">
        <f t="shared" si="5"/>
        <v>1478.8000000000002</v>
      </c>
      <c r="L41" s="29"/>
      <c r="R41" t="s">
        <v>297</v>
      </c>
      <c r="V41" s="8" t="s">
        <v>298</v>
      </c>
      <c r="W41" s="9"/>
      <c r="X41" s="10">
        <v>1.8</v>
      </c>
      <c r="Y41">
        <v>14.15</v>
      </c>
      <c r="Z41" s="12">
        <f t="shared" ref="Z41:Z43" si="6">X41*Y41</f>
        <v>25.470000000000002</v>
      </c>
    </row>
    <row r="42" spans="1:26">
      <c r="A42" t="s">
        <v>1234</v>
      </c>
      <c r="G42" t="s">
        <v>149</v>
      </c>
      <c r="H42">
        <v>1</v>
      </c>
      <c r="I42" s="12">
        <f>Z402</f>
        <v>8515.8000000000011</v>
      </c>
      <c r="J42" s="182">
        <f t="shared" si="5"/>
        <v>8515.8000000000011</v>
      </c>
      <c r="R42" t="s">
        <v>299</v>
      </c>
      <c r="V42" s="8" t="s">
        <v>149</v>
      </c>
      <c r="W42" s="9"/>
      <c r="X42" s="10">
        <v>0.2</v>
      </c>
      <c r="Y42">
        <v>55</v>
      </c>
      <c r="Z42" s="12">
        <f t="shared" si="6"/>
        <v>11</v>
      </c>
    </row>
    <row r="43" spans="1:26">
      <c r="A43" t="s">
        <v>1235</v>
      </c>
      <c r="G43" t="s">
        <v>149</v>
      </c>
      <c r="H43">
        <v>1</v>
      </c>
      <c r="I43" s="12">
        <f>Z410</f>
        <v>29152.28</v>
      </c>
      <c r="J43" s="182">
        <f t="shared" si="5"/>
        <v>29152.28</v>
      </c>
      <c r="R43" t="s">
        <v>300</v>
      </c>
      <c r="V43" s="8" t="s">
        <v>296</v>
      </c>
      <c r="X43" s="10">
        <v>0.06</v>
      </c>
      <c r="Y43">
        <v>10.93</v>
      </c>
      <c r="Z43" s="12">
        <f t="shared" si="6"/>
        <v>0.65579999999999994</v>
      </c>
    </row>
    <row r="44" spans="1:26">
      <c r="A44" s="173" t="s">
        <v>198</v>
      </c>
      <c r="G44" s="173"/>
      <c r="H44" s="173"/>
      <c r="I44" s="173"/>
      <c r="J44" s="180"/>
      <c r="R44" t="s">
        <v>301</v>
      </c>
      <c r="V44" s="8" t="s">
        <v>296</v>
      </c>
      <c r="X44" s="10">
        <v>7.0999999999999994E-2</v>
      </c>
      <c r="Y44" s="12">
        <v>5.51</v>
      </c>
      <c r="Z44" s="12">
        <f>X44*Y44</f>
        <v>0.39120999999999995</v>
      </c>
    </row>
    <row r="45" spans="1:26">
      <c r="A45" s="175" t="s">
        <v>200</v>
      </c>
      <c r="G45" s="175"/>
      <c r="H45" s="175"/>
      <c r="I45" s="175"/>
      <c r="J45" s="181"/>
      <c r="K45" s="224"/>
      <c r="R45" t="s">
        <v>302</v>
      </c>
      <c r="V45" s="8" t="s">
        <v>203</v>
      </c>
      <c r="X45" s="10">
        <v>0.19</v>
      </c>
      <c r="Y45" s="12">
        <v>70.92</v>
      </c>
      <c r="Z45" s="12">
        <f>X45*Y45</f>
        <v>13.4748</v>
      </c>
    </row>
    <row r="46" spans="1:26">
      <c r="A46" t="s">
        <v>1236</v>
      </c>
      <c r="G46" t="s">
        <v>429</v>
      </c>
      <c r="H46">
        <v>609.6</v>
      </c>
      <c r="I46" s="29">
        <f>Z418</f>
        <v>32.555840000000003</v>
      </c>
      <c r="J46" s="182">
        <f>H46*I46</f>
        <v>19846.040064000004</v>
      </c>
      <c r="R46" t="s">
        <v>303</v>
      </c>
      <c r="V46" s="8" t="s">
        <v>298</v>
      </c>
      <c r="X46" s="10">
        <v>0.53</v>
      </c>
      <c r="Y46">
        <v>27.88</v>
      </c>
      <c r="Z46" s="12">
        <f t="shared" ref="Z46:Z49" si="7">X46*Y46</f>
        <v>14.776400000000001</v>
      </c>
    </row>
    <row r="47" spans="1:26">
      <c r="A47" t="s">
        <v>1237</v>
      </c>
      <c r="G47" t="s">
        <v>149</v>
      </c>
      <c r="H47">
        <v>16</v>
      </c>
      <c r="I47" s="29">
        <f>Z431</f>
        <v>115.47972</v>
      </c>
      <c r="J47" s="182">
        <f>H47*I47</f>
        <v>1847.67552</v>
      </c>
      <c r="R47" t="s">
        <v>304</v>
      </c>
      <c r="V47" s="8" t="s">
        <v>305</v>
      </c>
      <c r="X47" s="10">
        <v>0.2374</v>
      </c>
      <c r="Y47">
        <v>32.200000000000003</v>
      </c>
      <c r="Z47" s="12">
        <f t="shared" si="7"/>
        <v>7.6442800000000011</v>
      </c>
    </row>
    <row r="48" spans="1:26">
      <c r="A48" s="175" t="s">
        <v>207</v>
      </c>
      <c r="G48" s="175"/>
      <c r="H48" s="175"/>
      <c r="I48" s="175"/>
      <c r="J48" s="181"/>
      <c r="R48" t="s">
        <v>306</v>
      </c>
      <c r="V48" s="8" t="s">
        <v>307</v>
      </c>
      <c r="X48" s="10">
        <v>1.0920000000000001</v>
      </c>
      <c r="Y48" s="12">
        <v>24.52</v>
      </c>
      <c r="Z48" s="12">
        <f t="shared" si="7"/>
        <v>26.775840000000002</v>
      </c>
    </row>
    <row r="49" spans="1:26">
      <c r="A49" t="s">
        <v>1238</v>
      </c>
      <c r="G49" t="s">
        <v>154</v>
      </c>
      <c r="H49">
        <v>12</v>
      </c>
      <c r="I49" s="29">
        <f>Z454</f>
        <v>135.964</v>
      </c>
      <c r="J49" s="182">
        <f>H49*I49</f>
        <v>1631.568</v>
      </c>
      <c r="R49" t="s">
        <v>308</v>
      </c>
      <c r="V49" s="8" t="s">
        <v>305</v>
      </c>
      <c r="X49" s="10">
        <v>3</v>
      </c>
      <c r="Y49" s="12">
        <v>5.8</v>
      </c>
      <c r="Z49" s="12">
        <f t="shared" si="7"/>
        <v>17.399999999999999</v>
      </c>
    </row>
    <row r="50" spans="1:26">
      <c r="A50" s="175" t="s">
        <v>211</v>
      </c>
      <c r="G50" s="175"/>
      <c r="H50" s="175"/>
      <c r="I50" s="175"/>
      <c r="J50" s="181"/>
      <c r="V50" s="8"/>
      <c r="X50" s="10"/>
      <c r="Y50" s="12"/>
      <c r="Z50" s="6">
        <f>SUM(Z40:Z49)</f>
        <v>120.88833</v>
      </c>
    </row>
    <row r="51" spans="1:26">
      <c r="A51" t="s">
        <v>1239</v>
      </c>
      <c r="G51" t="s">
        <v>214</v>
      </c>
      <c r="H51">
        <v>6</v>
      </c>
      <c r="I51" s="29">
        <f>Z457</f>
        <v>1915.25</v>
      </c>
      <c r="J51" s="182">
        <f>H51*I51</f>
        <v>11491.5</v>
      </c>
      <c r="L51" s="29"/>
      <c r="R51" s="7" t="s">
        <v>309</v>
      </c>
    </row>
    <row r="52" spans="1:26">
      <c r="A52" s="175" t="s">
        <v>216</v>
      </c>
      <c r="G52" s="175"/>
      <c r="H52" s="175"/>
      <c r="I52" s="175"/>
      <c r="J52" s="181"/>
      <c r="R52" t="s">
        <v>310</v>
      </c>
      <c r="V52" s="8" t="s">
        <v>311</v>
      </c>
      <c r="X52" s="10">
        <v>5</v>
      </c>
      <c r="Y52" s="12">
        <f>Z38</f>
        <v>22.626000000000001</v>
      </c>
      <c r="Z52" s="12">
        <f>X52%*Y52</f>
        <v>1.1313000000000002</v>
      </c>
    </row>
    <row r="53" spans="1:26">
      <c r="A53" s="179" t="s">
        <v>218</v>
      </c>
      <c r="G53" s="179"/>
      <c r="H53" s="179"/>
      <c r="I53" s="179"/>
      <c r="J53" s="183"/>
      <c r="Q53" s="14"/>
      <c r="R53" s="14"/>
      <c r="S53" s="14"/>
      <c r="T53" s="14"/>
      <c r="U53" s="14"/>
      <c r="V53" s="14"/>
      <c r="W53" s="14"/>
      <c r="X53" s="14"/>
      <c r="Y53" s="14"/>
      <c r="Z53" s="16">
        <f>SUM(Z52)</f>
        <v>1.1313000000000002</v>
      </c>
    </row>
    <row r="54" spans="1:26">
      <c r="A54" t="s">
        <v>1240</v>
      </c>
      <c r="G54" t="s">
        <v>149</v>
      </c>
      <c r="H54">
        <v>3</v>
      </c>
      <c r="I54" s="29">
        <f>Z464</f>
        <v>167.04119999999998</v>
      </c>
      <c r="J54" s="182">
        <f>H54*I54</f>
        <v>501.1235999999999</v>
      </c>
    </row>
    <row r="55" spans="1:26">
      <c r="A55" t="s">
        <v>1241</v>
      </c>
      <c r="G55" t="s">
        <v>429</v>
      </c>
      <c r="H55">
        <f>0.75*$N$4</f>
        <v>135</v>
      </c>
      <c r="I55" s="29">
        <f>Z477</f>
        <v>163.19213333333335</v>
      </c>
      <c r="J55" s="182">
        <f>H55*I55</f>
        <v>22030.938000000002</v>
      </c>
      <c r="Q55" s="2" t="s">
        <v>277</v>
      </c>
      <c r="R55" s="2"/>
      <c r="S55" s="2" t="s">
        <v>137</v>
      </c>
      <c r="T55" s="2"/>
      <c r="U55" s="2"/>
      <c r="V55" s="2"/>
      <c r="W55" s="2"/>
      <c r="X55" s="2"/>
      <c r="Y55" s="2"/>
    </row>
    <row r="56" spans="1:26">
      <c r="A56" t="s">
        <v>1242</v>
      </c>
      <c r="G56" t="s">
        <v>429</v>
      </c>
      <c r="H56">
        <f>0.75*$N$4</f>
        <v>135</v>
      </c>
      <c r="I56" s="29">
        <f>Z495</f>
        <v>406.78</v>
      </c>
      <c r="J56" s="182">
        <f>H56*I56</f>
        <v>54915.299999999996</v>
      </c>
      <c r="Q56" s="2" t="s">
        <v>278</v>
      </c>
      <c r="R56" s="2" t="s">
        <v>279</v>
      </c>
      <c r="S56" s="4" t="s">
        <v>280</v>
      </c>
      <c r="T56" s="5">
        <v>35</v>
      </c>
      <c r="U56" s="4" t="s">
        <v>281</v>
      </c>
      <c r="V56" s="5">
        <f>T56</f>
        <v>35</v>
      </c>
      <c r="W56" s="2" t="s">
        <v>282</v>
      </c>
      <c r="Y56" s="4" t="s">
        <v>149</v>
      </c>
      <c r="Z56" s="6">
        <f>Z62+Z74+Z77</f>
        <v>148.03953000000001</v>
      </c>
    </row>
    <row r="57" spans="1:26">
      <c r="A57" s="179" t="s">
        <v>226</v>
      </c>
      <c r="G57" s="179"/>
      <c r="H57" s="179"/>
      <c r="I57" s="179"/>
      <c r="J57" s="183"/>
      <c r="Q57" s="2" t="s">
        <v>283</v>
      </c>
      <c r="R57" s="2" t="s">
        <v>284</v>
      </c>
      <c r="V57" s="4" t="s">
        <v>122</v>
      </c>
      <c r="W57" s="4" t="s">
        <v>285</v>
      </c>
      <c r="X57" s="4" t="s">
        <v>286</v>
      </c>
      <c r="Y57" s="4" t="s">
        <v>287</v>
      </c>
      <c r="Z57" s="4" t="s">
        <v>288</v>
      </c>
    </row>
    <row r="58" spans="1:26">
      <c r="A58" t="s">
        <v>1243</v>
      </c>
      <c r="G58" t="s">
        <v>1226</v>
      </c>
      <c r="H58">
        <f>0.001*N2</f>
        <v>0.8</v>
      </c>
      <c r="I58" s="29">
        <f>Z506</f>
        <v>80.190089999999998</v>
      </c>
      <c r="J58" s="182">
        <f>H58*I58</f>
        <v>64.152072000000004</v>
      </c>
      <c r="R58" s="7" t="s">
        <v>289</v>
      </c>
    </row>
    <row r="59" spans="1:26">
      <c r="A59" t="s">
        <v>1240</v>
      </c>
      <c r="G59" t="s">
        <v>149</v>
      </c>
      <c r="H59">
        <v>15</v>
      </c>
      <c r="I59" s="29">
        <f>Z526</f>
        <v>148.27204878048781</v>
      </c>
      <c r="J59" s="182">
        <f>H59*I59</f>
        <v>2224.0807317073172</v>
      </c>
      <c r="R59" t="s">
        <v>290</v>
      </c>
      <c r="V59" s="8" t="s">
        <v>291</v>
      </c>
      <c r="W59" s="9">
        <v>1</v>
      </c>
      <c r="X59" s="10">
        <f>W59*8/$T$56</f>
        <v>0.22857142857142856</v>
      </c>
      <c r="Y59" s="12">
        <v>28.94</v>
      </c>
      <c r="Z59" s="12">
        <f t="shared" ref="Z59:Z60" si="8">X59*Y59</f>
        <v>6.6148571428571428</v>
      </c>
    </row>
    <row r="60" spans="1:26">
      <c r="A60" t="s">
        <v>1244</v>
      </c>
      <c r="G60" t="s">
        <v>429</v>
      </c>
      <c r="H60">
        <f>2*$N$4</f>
        <v>360</v>
      </c>
      <c r="I60" s="29">
        <f>Z539</f>
        <v>43.208133333333336</v>
      </c>
      <c r="J60" s="182">
        <f>H60*I60</f>
        <v>15554.928000000002</v>
      </c>
      <c r="R60" t="s">
        <v>292</v>
      </c>
      <c r="V60" s="8" t="s">
        <v>291</v>
      </c>
      <c r="W60" s="9">
        <v>1</v>
      </c>
      <c r="X60" s="10">
        <f>W60*8/$T$56</f>
        <v>0.22857142857142856</v>
      </c>
      <c r="Y60" s="12">
        <v>22.66</v>
      </c>
      <c r="Z60" s="12">
        <f t="shared" si="8"/>
        <v>5.1794285714285717</v>
      </c>
    </row>
    <row r="61" spans="1:26">
      <c r="A61" t="s">
        <v>1245</v>
      </c>
      <c r="G61" t="s">
        <v>429</v>
      </c>
      <c r="H61">
        <f>3*$N$4</f>
        <v>540</v>
      </c>
      <c r="I61" s="29">
        <f>Z557</f>
        <v>13.786064</v>
      </c>
      <c r="J61" s="182">
        <f>H61*I61</f>
        <v>7444.4745599999997</v>
      </c>
      <c r="R61" t="s">
        <v>293</v>
      </c>
      <c r="V61" s="8" t="s">
        <v>291</v>
      </c>
      <c r="W61" s="9">
        <v>3</v>
      </c>
      <c r="X61" s="10">
        <f>W61*8/$T$56</f>
        <v>0.68571428571428572</v>
      </c>
      <c r="Y61" s="12">
        <v>20.51</v>
      </c>
      <c r="Z61" s="12">
        <f>X61*Y61</f>
        <v>14.064000000000002</v>
      </c>
    </row>
    <row r="62" spans="1:26">
      <c r="A62" s="179" t="s">
        <v>236</v>
      </c>
      <c r="G62" s="179"/>
      <c r="H62" s="179"/>
      <c r="I62" s="179"/>
      <c r="J62" s="183"/>
      <c r="Z62" s="6">
        <f>SUM(Z59:Z61)</f>
        <v>25.858285714285714</v>
      </c>
    </row>
    <row r="63" spans="1:26">
      <c r="A63" t="s">
        <v>1246</v>
      </c>
      <c r="G63" t="s">
        <v>157</v>
      </c>
      <c r="H63">
        <f>N4</f>
        <v>180</v>
      </c>
      <c r="I63" s="12">
        <f>Z572</f>
        <v>68.271000000000001</v>
      </c>
      <c r="J63" s="182">
        <f>H63*I63</f>
        <v>12288.78</v>
      </c>
      <c r="R63" s="7" t="s">
        <v>294</v>
      </c>
    </row>
    <row r="64" spans="1:26">
      <c r="A64" t="s">
        <v>1245</v>
      </c>
      <c r="G64" t="s">
        <v>429</v>
      </c>
      <c r="H64">
        <f>0.8*$N$4</f>
        <v>144</v>
      </c>
      <c r="I64" s="12">
        <f>Z586</f>
        <v>13.786064</v>
      </c>
      <c r="J64" s="182">
        <f>H64*I64</f>
        <v>1985.1932159999999</v>
      </c>
      <c r="R64" t="s">
        <v>295</v>
      </c>
      <c r="V64" s="8" t="s">
        <v>296</v>
      </c>
      <c r="W64" s="9"/>
      <c r="X64" s="10">
        <v>1.25</v>
      </c>
      <c r="Y64" s="12">
        <v>2.64</v>
      </c>
      <c r="Z64" s="12">
        <f>X64*Y64</f>
        <v>3.3000000000000003</v>
      </c>
    </row>
    <row r="65" spans="1:26">
      <c r="A65" s="175" t="s">
        <v>242</v>
      </c>
      <c r="G65" s="175"/>
      <c r="H65" s="175"/>
      <c r="I65" s="175"/>
      <c r="J65" s="181"/>
      <c r="R65" t="s">
        <v>297</v>
      </c>
      <c r="V65" s="8" t="s">
        <v>298</v>
      </c>
      <c r="W65" s="9"/>
      <c r="X65" s="10">
        <v>1.8</v>
      </c>
      <c r="Y65">
        <v>14.15</v>
      </c>
      <c r="Z65" s="12">
        <f t="shared" ref="Z65:Z67" si="9">X65*Y65</f>
        <v>25.470000000000002</v>
      </c>
    </row>
    <row r="66" spans="1:26">
      <c r="A66" t="s">
        <v>1247</v>
      </c>
      <c r="G66" t="s">
        <v>149</v>
      </c>
      <c r="H66">
        <v>1</v>
      </c>
      <c r="I66" s="12">
        <f>Z601</f>
        <v>402.0068</v>
      </c>
      <c r="J66" s="182">
        <f>H66*I66</f>
        <v>402.0068</v>
      </c>
      <c r="R66" t="s">
        <v>299</v>
      </c>
      <c r="V66" s="8" t="s">
        <v>149</v>
      </c>
      <c r="W66" s="9"/>
      <c r="X66" s="10">
        <v>0.2</v>
      </c>
      <c r="Y66">
        <v>55</v>
      </c>
      <c r="Z66" s="12">
        <f t="shared" si="9"/>
        <v>11</v>
      </c>
    </row>
    <row r="67" spans="1:26">
      <c r="A67" s="175" t="s">
        <v>246</v>
      </c>
      <c r="G67" s="175"/>
      <c r="H67" s="175"/>
      <c r="I67" s="175"/>
      <c r="J67" s="182"/>
      <c r="R67" t="s">
        <v>300</v>
      </c>
      <c r="V67" s="8" t="s">
        <v>296</v>
      </c>
      <c r="X67" s="10">
        <v>0.06</v>
      </c>
      <c r="Y67">
        <v>10.93</v>
      </c>
      <c r="Z67" s="12">
        <f t="shared" si="9"/>
        <v>0.65579999999999994</v>
      </c>
    </row>
    <row r="68" spans="1:26">
      <c r="A68" t="s">
        <v>1248</v>
      </c>
      <c r="G68" t="s">
        <v>1226</v>
      </c>
      <c r="H68" s="12">
        <f>0.02*$N$2</f>
        <v>16</v>
      </c>
      <c r="I68" s="12">
        <f>Z617</f>
        <v>6.9493066666666667</v>
      </c>
      <c r="J68" s="182">
        <f t="shared" ref="J67:J70" si="10">H68*I68</f>
        <v>111.18890666666667</v>
      </c>
      <c r="R68" t="s">
        <v>301</v>
      </c>
      <c r="V68" s="8" t="s">
        <v>296</v>
      </c>
      <c r="X68" s="10">
        <v>7.0999999999999994E-2</v>
      </c>
      <c r="Y68" s="12">
        <v>5.51</v>
      </c>
      <c r="Z68" s="12">
        <f>X68*Y68</f>
        <v>0.39120999999999995</v>
      </c>
    </row>
    <row r="69" spans="1:26">
      <c r="A69" t="s">
        <v>1249</v>
      </c>
      <c r="G69" t="s">
        <v>429</v>
      </c>
      <c r="H69" s="12">
        <f>0.0015*$N$2</f>
        <v>1.2</v>
      </c>
      <c r="I69" s="12">
        <f>Z629</f>
        <v>24.086838</v>
      </c>
      <c r="J69" s="182">
        <f t="shared" si="10"/>
        <v>28.904205599999997</v>
      </c>
      <c r="R69" t="s">
        <v>302</v>
      </c>
      <c r="V69" s="8" t="s">
        <v>203</v>
      </c>
      <c r="X69" s="10">
        <v>0.19</v>
      </c>
      <c r="Y69" s="12">
        <v>70.92</v>
      </c>
      <c r="Z69" s="12">
        <f>X69*Y69</f>
        <v>13.4748</v>
      </c>
    </row>
    <row r="70" spans="1:26">
      <c r="A70" t="s">
        <v>1250</v>
      </c>
      <c r="G70" t="s">
        <v>1226</v>
      </c>
      <c r="H70" s="12">
        <f>0.003*$N$2</f>
        <v>2.4</v>
      </c>
      <c r="I70" s="12">
        <f>Z645</f>
        <v>7.6913600000000013</v>
      </c>
      <c r="J70" s="182">
        <f t="shared" si="10"/>
        <v>18.459264000000001</v>
      </c>
      <c r="R70" t="s">
        <v>303</v>
      </c>
      <c r="V70" s="8" t="s">
        <v>298</v>
      </c>
      <c r="X70" s="10">
        <v>0.53</v>
      </c>
      <c r="Y70">
        <v>27.88</v>
      </c>
      <c r="Z70" s="12">
        <f t="shared" ref="Z70:Z73" si="11">X70*Y70</f>
        <v>14.776400000000001</v>
      </c>
    </row>
    <row r="71" spans="1:26">
      <c r="A71" t="s">
        <v>1251</v>
      </c>
      <c r="G71" t="s">
        <v>1226</v>
      </c>
      <c r="H71" s="12">
        <f>0.004*$N$2</f>
        <v>3.2</v>
      </c>
      <c r="I71" s="12">
        <f>Z659</f>
        <v>8.0326400000000007</v>
      </c>
      <c r="J71" s="182">
        <f>H71*I71</f>
        <v>25.704448000000003</v>
      </c>
      <c r="R71" t="s">
        <v>304</v>
      </c>
      <c r="V71" s="8" t="s">
        <v>305</v>
      </c>
      <c r="X71" s="10">
        <v>0.2374</v>
      </c>
      <c r="Y71">
        <v>32.200000000000003</v>
      </c>
      <c r="Z71" s="12">
        <f t="shared" si="11"/>
        <v>7.6442800000000011</v>
      </c>
    </row>
    <row r="72" spans="1:26">
      <c r="A72" s="173" t="s">
        <v>255</v>
      </c>
      <c r="G72" s="173"/>
      <c r="H72" s="173"/>
      <c r="I72" s="173"/>
      <c r="J72" s="180"/>
      <c r="R72" t="s">
        <v>306</v>
      </c>
      <c r="V72" s="8" t="s">
        <v>307</v>
      </c>
      <c r="X72" s="10">
        <v>1.0920000000000001</v>
      </c>
      <c r="Y72" s="12">
        <v>24.52</v>
      </c>
      <c r="Z72" s="12">
        <f t="shared" si="11"/>
        <v>26.775840000000002</v>
      </c>
    </row>
    <row r="73" spans="1:26">
      <c r="A73" t="s">
        <v>257</v>
      </c>
      <c r="I73" s="10"/>
      <c r="J73" s="182"/>
      <c r="R73" t="s">
        <v>308</v>
      </c>
      <c r="V73" s="8" t="s">
        <v>305</v>
      </c>
      <c r="X73" s="10">
        <v>3</v>
      </c>
      <c r="Y73" s="12">
        <v>5.8</v>
      </c>
      <c r="Z73" s="12">
        <f t="shared" si="11"/>
        <v>17.399999999999999</v>
      </c>
    </row>
    <row r="74" spans="1:26">
      <c r="A74" t="s">
        <v>259</v>
      </c>
      <c r="G74" t="s">
        <v>1226</v>
      </c>
      <c r="H74">
        <f>0.034*$N$3</f>
        <v>15.3</v>
      </c>
      <c r="I74" s="10">
        <v>16.07</v>
      </c>
      <c r="J74" s="182">
        <f t="shared" ref="J74:J83" si="12">H74*I74</f>
        <v>245.87100000000001</v>
      </c>
      <c r="L74" s="2"/>
      <c r="V74" s="8"/>
      <c r="X74" s="10"/>
      <c r="Y74" s="12"/>
      <c r="Z74" s="6">
        <f>SUM(Z64:Z73)</f>
        <v>120.88833</v>
      </c>
    </row>
    <row r="75" spans="1:26">
      <c r="A75" t="s">
        <v>261</v>
      </c>
      <c r="G75" t="s">
        <v>1226</v>
      </c>
      <c r="H75">
        <f>0.052*$N$3</f>
        <v>23.4</v>
      </c>
      <c r="I75" s="10">
        <v>20.09</v>
      </c>
      <c r="J75" s="182">
        <f t="shared" si="12"/>
        <v>470.10599999999999</v>
      </c>
      <c r="L75" s="2"/>
      <c r="R75" s="7" t="s">
        <v>309</v>
      </c>
    </row>
    <row r="76" spans="1:26">
      <c r="A76" t="s">
        <v>263</v>
      </c>
      <c r="G76" t="s">
        <v>1226</v>
      </c>
      <c r="H76">
        <f>0.047*$N$3</f>
        <v>21.15</v>
      </c>
      <c r="I76" s="10">
        <v>20.09</v>
      </c>
      <c r="J76" s="182">
        <f t="shared" si="12"/>
        <v>424.90349999999995</v>
      </c>
      <c r="L76" s="2"/>
      <c r="R76" t="s">
        <v>310</v>
      </c>
      <c r="V76" s="8" t="s">
        <v>311</v>
      </c>
      <c r="X76" s="10">
        <v>5</v>
      </c>
      <c r="Y76" s="12">
        <f>Z62</f>
        <v>25.858285714285714</v>
      </c>
      <c r="Z76" s="12">
        <f>X76%*Y76</f>
        <v>1.2929142857142857</v>
      </c>
    </row>
    <row r="77" spans="1:26">
      <c r="A77" t="s">
        <v>265</v>
      </c>
      <c r="G77" t="s">
        <v>1226</v>
      </c>
      <c r="H77">
        <f>0.001*$N$3</f>
        <v>0.45</v>
      </c>
      <c r="I77" s="10">
        <v>20.09</v>
      </c>
      <c r="J77" s="182">
        <f t="shared" si="12"/>
        <v>9.0404999999999998</v>
      </c>
      <c r="L77" s="2"/>
      <c r="Q77" s="14"/>
      <c r="R77" s="14"/>
      <c r="S77" s="14"/>
      <c r="T77" s="14"/>
      <c r="U77" s="14"/>
      <c r="V77" s="14"/>
      <c r="W77" s="14"/>
      <c r="X77" s="14"/>
      <c r="Y77" s="14"/>
      <c r="Z77" s="16">
        <f>SUM(Z76)</f>
        <v>1.2929142857142857</v>
      </c>
    </row>
    <row r="78" spans="1:26">
      <c r="A78" t="s">
        <v>267</v>
      </c>
      <c r="G78" t="s">
        <v>1226</v>
      </c>
      <c r="H78">
        <f>0.0023*$N$3</f>
        <v>1.0349999999999999</v>
      </c>
      <c r="I78" s="10">
        <v>20.09</v>
      </c>
      <c r="J78" s="182">
        <f t="shared" si="12"/>
        <v>20.793149999999997</v>
      </c>
      <c r="L78" s="2"/>
      <c r="Z78" s="6"/>
    </row>
    <row r="79" spans="1:26">
      <c r="A79" t="s">
        <v>269</v>
      </c>
      <c r="G79" t="s">
        <v>1226</v>
      </c>
      <c r="H79">
        <f>0.0038*$N$3</f>
        <v>1.71</v>
      </c>
      <c r="I79" s="10">
        <v>20.09</v>
      </c>
      <c r="J79" s="182">
        <f t="shared" si="12"/>
        <v>34.353899999999996</v>
      </c>
      <c r="L79" s="2"/>
      <c r="Q79" s="2" t="s">
        <v>277</v>
      </c>
      <c r="R79" s="2"/>
      <c r="S79" s="2" t="s">
        <v>139</v>
      </c>
      <c r="T79" s="2"/>
      <c r="U79" s="2"/>
      <c r="V79" s="2"/>
      <c r="W79" s="2"/>
      <c r="X79" s="2"/>
      <c r="Y79" s="2"/>
    </row>
    <row r="80" spans="1:26">
      <c r="A80" t="s">
        <v>271</v>
      </c>
      <c r="G80" t="s">
        <v>1226</v>
      </c>
      <c r="H80">
        <f>0.037*$N$3</f>
        <v>16.649999999999999</v>
      </c>
      <c r="I80" s="10">
        <v>20.09</v>
      </c>
      <c r="J80" s="182">
        <f t="shared" si="12"/>
        <v>334.49849999999998</v>
      </c>
      <c r="L80" s="2"/>
      <c r="Q80" s="2" t="s">
        <v>278</v>
      </c>
      <c r="R80" s="2" t="s">
        <v>279</v>
      </c>
      <c r="S80" s="4" t="s">
        <v>280</v>
      </c>
      <c r="T80" s="5">
        <v>30</v>
      </c>
      <c r="U80" s="4" t="s">
        <v>281</v>
      </c>
      <c r="V80" s="5">
        <f>T80</f>
        <v>30</v>
      </c>
      <c r="W80" s="2" t="s">
        <v>282</v>
      </c>
      <c r="Y80" s="4" t="s">
        <v>149</v>
      </c>
      <c r="Z80" s="6">
        <f>Z86+Z98+Z101</f>
        <v>152.56473</v>
      </c>
    </row>
    <row r="81" spans="1:26">
      <c r="A81" t="s">
        <v>255</v>
      </c>
      <c r="I81" s="10"/>
      <c r="J81" s="182"/>
      <c r="L81" s="2"/>
      <c r="Q81" s="2" t="s">
        <v>283</v>
      </c>
      <c r="R81" s="2" t="s">
        <v>284</v>
      </c>
      <c r="V81" s="4" t="s">
        <v>122</v>
      </c>
      <c r="W81" s="4" t="s">
        <v>285</v>
      </c>
      <c r="X81" s="4" t="s">
        <v>286</v>
      </c>
      <c r="Y81" s="4" t="s">
        <v>287</v>
      </c>
      <c r="Z81" s="4" t="s">
        <v>288</v>
      </c>
    </row>
    <row r="82" spans="1:26">
      <c r="A82" t="s">
        <v>274</v>
      </c>
      <c r="G82" t="s">
        <v>1226</v>
      </c>
      <c r="H82">
        <f>0.053*$N$3</f>
        <v>23.849999999999998</v>
      </c>
      <c r="I82" s="10">
        <v>54.2</v>
      </c>
      <c r="J82" s="182">
        <f t="shared" si="12"/>
        <v>1292.6699999999998</v>
      </c>
      <c r="L82" s="2"/>
      <c r="R82" s="7" t="s">
        <v>289</v>
      </c>
    </row>
    <row r="83" spans="1:26">
      <c r="A83" t="s">
        <v>276</v>
      </c>
      <c r="G83" t="s">
        <v>429</v>
      </c>
      <c r="H83">
        <f>0.044*$N$3</f>
        <v>19.799999999999997</v>
      </c>
      <c r="I83" s="10">
        <v>40.17</v>
      </c>
      <c r="J83" s="182">
        <f t="shared" si="12"/>
        <v>795.36599999999987</v>
      </c>
      <c r="L83" s="2"/>
      <c r="R83" t="s">
        <v>290</v>
      </c>
      <c r="V83" s="8" t="s">
        <v>291</v>
      </c>
      <c r="W83" s="9">
        <v>1</v>
      </c>
      <c r="X83" s="10">
        <f>W83*8/$T$80</f>
        <v>0.26666666666666666</v>
      </c>
      <c r="Y83" s="12">
        <v>28.94</v>
      </c>
      <c r="Z83" s="12">
        <f t="shared" ref="Z83:Z84" si="13">X83*Y83</f>
        <v>7.7173333333333334</v>
      </c>
    </row>
    <row r="84" spans="1:26">
      <c r="F84" s="10"/>
      <c r="H84" s="12"/>
      <c r="I84" s="12"/>
      <c r="J84" s="182"/>
      <c r="L84" s="2"/>
      <c r="R84" t="s">
        <v>292</v>
      </c>
      <c r="V84" s="8" t="s">
        <v>291</v>
      </c>
      <c r="W84" s="9">
        <v>1</v>
      </c>
      <c r="X84" s="10">
        <f>W84*8/$T$80</f>
        <v>0.26666666666666666</v>
      </c>
      <c r="Y84" s="12">
        <v>22.66</v>
      </c>
      <c r="Z84" s="12">
        <f t="shared" si="13"/>
        <v>6.0426666666666664</v>
      </c>
    </row>
    <row r="85" spans="1:26">
      <c r="F85" s="10"/>
      <c r="H85" s="12"/>
      <c r="I85" s="12"/>
      <c r="J85" s="182"/>
      <c r="L85" s="2"/>
      <c r="R85" t="s">
        <v>293</v>
      </c>
      <c r="V85" s="8" t="s">
        <v>291</v>
      </c>
      <c r="W85" s="9">
        <v>3</v>
      </c>
      <c r="X85" s="10">
        <f>W85*8/$T$80</f>
        <v>0.8</v>
      </c>
      <c r="Y85" s="12">
        <v>20.51</v>
      </c>
      <c r="Z85" s="12">
        <f>X85*Y85</f>
        <v>16.408000000000001</v>
      </c>
    </row>
    <row r="86" spans="1:26">
      <c r="F86" s="10"/>
      <c r="H86" s="12"/>
      <c r="I86" s="12"/>
      <c r="J86" s="182"/>
      <c r="L86" s="2"/>
      <c r="Z86" s="6">
        <f>SUM(Z83:Z85)</f>
        <v>30.167999999999999</v>
      </c>
    </row>
    <row r="87" spans="1:26">
      <c r="F87" s="10"/>
      <c r="H87" s="12"/>
      <c r="I87" s="12"/>
      <c r="J87" s="182"/>
      <c r="L87" s="2"/>
      <c r="R87" s="7" t="s">
        <v>294</v>
      </c>
    </row>
    <row r="88" spans="1:26">
      <c r="F88" s="10"/>
      <c r="H88" s="12"/>
      <c r="I88" s="12"/>
      <c r="J88" s="182"/>
      <c r="L88" s="2"/>
      <c r="R88" t="s">
        <v>295</v>
      </c>
      <c r="V88" s="8" t="s">
        <v>296</v>
      </c>
      <c r="W88" s="9"/>
      <c r="X88" s="10">
        <v>1.25</v>
      </c>
      <c r="Y88" s="12">
        <v>2.64</v>
      </c>
      <c r="Z88" s="12">
        <f>X88*Y88</f>
        <v>3.3000000000000003</v>
      </c>
    </row>
    <row r="89" spans="1:26">
      <c r="F89" s="10"/>
      <c r="H89" s="12"/>
      <c r="I89" s="12"/>
      <c r="J89" s="182"/>
      <c r="L89" s="2"/>
      <c r="R89" t="s">
        <v>297</v>
      </c>
      <c r="V89" s="8" t="s">
        <v>298</v>
      </c>
      <c r="W89" s="9"/>
      <c r="X89" s="10">
        <v>1.8</v>
      </c>
      <c r="Y89">
        <v>14.15</v>
      </c>
      <c r="Z89" s="12">
        <f t="shared" ref="Z89:Z91" si="14">X89*Y89</f>
        <v>25.470000000000002</v>
      </c>
    </row>
    <row r="90" spans="1:26">
      <c r="F90" s="10"/>
      <c r="H90" s="12"/>
      <c r="I90" s="12"/>
      <c r="J90" s="182"/>
      <c r="L90" s="2"/>
      <c r="R90" t="s">
        <v>299</v>
      </c>
      <c r="V90" s="8" t="s">
        <v>149</v>
      </c>
      <c r="W90" s="9"/>
      <c r="X90" s="10">
        <v>0.2</v>
      </c>
      <c r="Y90">
        <v>55</v>
      </c>
      <c r="Z90" s="12">
        <f t="shared" si="14"/>
        <v>11</v>
      </c>
    </row>
    <row r="91" spans="1:26">
      <c r="F91" s="10"/>
      <c r="H91" s="12"/>
      <c r="I91" s="12"/>
      <c r="J91" s="182"/>
      <c r="L91" s="2"/>
      <c r="R91" t="s">
        <v>300</v>
      </c>
      <c r="V91" s="8" t="s">
        <v>296</v>
      </c>
      <c r="X91" s="10">
        <v>0.06</v>
      </c>
      <c r="Y91">
        <v>10.93</v>
      </c>
      <c r="Z91" s="12">
        <f t="shared" si="14"/>
        <v>0.65579999999999994</v>
      </c>
    </row>
    <row r="92" spans="1:26">
      <c r="F92" s="10"/>
      <c r="H92" s="12"/>
      <c r="I92" s="12"/>
      <c r="J92" s="182"/>
      <c r="L92" s="2"/>
      <c r="R92" t="s">
        <v>301</v>
      </c>
      <c r="V92" s="8" t="s">
        <v>296</v>
      </c>
      <c r="X92" s="10">
        <v>7.0999999999999994E-2</v>
      </c>
      <c r="Y92" s="12">
        <v>5.51</v>
      </c>
      <c r="Z92" s="12">
        <f>X92*Y92</f>
        <v>0.39120999999999995</v>
      </c>
    </row>
    <row r="93" spans="1:26">
      <c r="F93" s="10"/>
      <c r="H93" s="12"/>
      <c r="I93" s="12"/>
      <c r="J93" s="182"/>
      <c r="L93" s="2"/>
      <c r="R93" t="s">
        <v>302</v>
      </c>
      <c r="V93" s="8" t="s">
        <v>203</v>
      </c>
      <c r="X93" s="10">
        <v>0.19</v>
      </c>
      <c r="Y93" s="12">
        <v>70.92</v>
      </c>
      <c r="Z93" s="12">
        <f>X93*Y93</f>
        <v>13.4748</v>
      </c>
    </row>
    <row r="94" spans="1:26">
      <c r="F94" s="10"/>
      <c r="H94" s="12"/>
      <c r="I94" s="12"/>
      <c r="J94" s="182"/>
      <c r="L94" s="2"/>
      <c r="R94" t="s">
        <v>303</v>
      </c>
      <c r="V94" s="8" t="s">
        <v>298</v>
      </c>
      <c r="X94" s="10">
        <v>0.53</v>
      </c>
      <c r="Y94">
        <v>27.88</v>
      </c>
      <c r="Z94" s="12">
        <f t="shared" ref="Z94:Z97" si="15">X94*Y94</f>
        <v>14.776400000000001</v>
      </c>
    </row>
    <row r="95" spans="1:26">
      <c r="A95" s="175"/>
      <c r="F95" s="10"/>
      <c r="G95" s="175"/>
      <c r="H95" s="303"/>
      <c r="I95" s="175"/>
      <c r="J95" s="181"/>
      <c r="R95" t="s">
        <v>304</v>
      </c>
      <c r="V95" s="8" t="s">
        <v>305</v>
      </c>
      <c r="X95" s="10">
        <v>0.2374</v>
      </c>
      <c r="Y95">
        <v>32.200000000000003</v>
      </c>
      <c r="Z95" s="12">
        <f t="shared" si="15"/>
        <v>7.6442800000000011</v>
      </c>
    </row>
    <row r="96" spans="1:26">
      <c r="F96" s="10"/>
      <c r="H96" s="12"/>
      <c r="I96" s="12"/>
      <c r="J96" s="182"/>
      <c r="R96" t="s">
        <v>306</v>
      </c>
      <c r="V96" s="8" t="s">
        <v>307</v>
      </c>
      <c r="X96" s="10">
        <v>1.0920000000000001</v>
      </c>
      <c r="Y96" s="12">
        <v>24.52</v>
      </c>
      <c r="Z96" s="12">
        <f t="shared" si="15"/>
        <v>26.775840000000002</v>
      </c>
    </row>
    <row r="97" spans="6:26">
      <c r="F97" s="10"/>
      <c r="H97" s="12"/>
      <c r="I97" s="12"/>
      <c r="J97" s="182"/>
      <c r="R97" t="s">
        <v>308</v>
      </c>
      <c r="V97" s="8" t="s">
        <v>305</v>
      </c>
      <c r="X97" s="10">
        <v>3</v>
      </c>
      <c r="Y97" s="12">
        <v>5.8</v>
      </c>
      <c r="Z97" s="12">
        <f t="shared" si="15"/>
        <v>17.399999999999999</v>
      </c>
    </row>
    <row r="98" spans="6:26">
      <c r="F98" s="10"/>
      <c r="H98" s="12"/>
      <c r="I98" s="12"/>
      <c r="J98" s="182"/>
      <c r="M98" s="2"/>
      <c r="V98" s="8"/>
      <c r="X98" s="10"/>
      <c r="Y98" s="12"/>
      <c r="Z98" s="6">
        <f>SUM(Z88:Z97)</f>
        <v>120.88833</v>
      </c>
    </row>
    <row r="99" spans="6:26">
      <c r="F99" s="10"/>
      <c r="H99" s="12"/>
      <c r="I99" s="12"/>
      <c r="J99" s="182"/>
      <c r="M99" s="2"/>
      <c r="R99" s="7" t="s">
        <v>309</v>
      </c>
    </row>
    <row r="100" spans="6:26">
      <c r="F100" s="10"/>
      <c r="H100" s="12"/>
      <c r="I100" s="12"/>
      <c r="J100" s="182"/>
      <c r="M100" s="2"/>
      <c r="R100" t="s">
        <v>310</v>
      </c>
      <c r="V100" s="8" t="s">
        <v>311</v>
      </c>
      <c r="X100" s="10">
        <v>5</v>
      </c>
      <c r="Y100" s="12">
        <f>Z86</f>
        <v>30.167999999999999</v>
      </c>
      <c r="Z100" s="12">
        <f>X100%*Y100</f>
        <v>1.5084</v>
      </c>
    </row>
    <row r="101" spans="6:26">
      <c r="F101" s="10"/>
      <c r="H101" s="12"/>
      <c r="I101" s="12"/>
      <c r="J101" s="182"/>
      <c r="M101" s="2"/>
      <c r="Q101" s="14"/>
      <c r="R101" s="14"/>
      <c r="S101" s="14"/>
      <c r="T101" s="14"/>
      <c r="U101" s="14"/>
      <c r="V101" s="14"/>
      <c r="W101" s="14"/>
      <c r="X101" s="14"/>
      <c r="Y101" s="14"/>
      <c r="Z101" s="16">
        <f>SUM(Z100)</f>
        <v>1.5084</v>
      </c>
    </row>
    <row r="102" spans="6:26">
      <c r="F102" s="10"/>
      <c r="H102" s="12"/>
      <c r="I102" s="12"/>
      <c r="J102" s="182"/>
      <c r="M102" s="2"/>
    </row>
    <row r="103" spans="6:26">
      <c r="F103" s="10"/>
      <c r="H103" s="12"/>
      <c r="I103" s="12"/>
      <c r="J103" s="182"/>
      <c r="M103" s="2"/>
      <c r="Q103" s="2" t="s">
        <v>277</v>
      </c>
      <c r="R103" s="2"/>
      <c r="S103" s="2" t="s">
        <v>141</v>
      </c>
      <c r="T103" s="2"/>
      <c r="U103" s="2"/>
      <c r="V103" s="2"/>
      <c r="W103" s="2"/>
      <c r="X103" s="2"/>
      <c r="Y103" s="2"/>
    </row>
    <row r="104" spans="6:26">
      <c r="F104" s="10"/>
      <c r="H104" s="12"/>
      <c r="I104" s="12"/>
      <c r="J104" s="182"/>
      <c r="M104" s="2"/>
      <c r="Q104" s="2" t="s">
        <v>278</v>
      </c>
      <c r="R104" s="2" t="s">
        <v>279</v>
      </c>
      <c r="S104" s="4" t="s">
        <v>280</v>
      </c>
      <c r="T104" s="5">
        <v>32</v>
      </c>
      <c r="U104" s="4" t="s">
        <v>281</v>
      </c>
      <c r="V104" s="5">
        <f>T104</f>
        <v>32</v>
      </c>
      <c r="W104" s="2" t="s">
        <v>282</v>
      </c>
      <c r="Y104" s="4" t="s">
        <v>149</v>
      </c>
      <c r="Z104" s="6">
        <f>Z110+Z122+Z125</f>
        <v>206.19276500000001</v>
      </c>
    </row>
    <row r="105" spans="6:26">
      <c r="F105" s="10"/>
      <c r="H105" s="12"/>
      <c r="I105" s="12"/>
      <c r="J105" s="182"/>
      <c r="M105" s="2"/>
      <c r="N105" s="12"/>
      <c r="Q105" s="2" t="s">
        <v>283</v>
      </c>
      <c r="R105" s="2" t="s">
        <v>284</v>
      </c>
      <c r="V105" s="4" t="s">
        <v>122</v>
      </c>
      <c r="W105" s="4" t="s">
        <v>285</v>
      </c>
      <c r="X105" s="4" t="s">
        <v>286</v>
      </c>
      <c r="Y105" s="4" t="s">
        <v>287</v>
      </c>
      <c r="Z105" s="4" t="s">
        <v>288</v>
      </c>
    </row>
    <row r="106" spans="6:26">
      <c r="F106" s="10"/>
      <c r="H106" s="12"/>
      <c r="I106" s="12"/>
      <c r="J106" s="182"/>
      <c r="M106" s="2"/>
      <c r="R106" s="7" t="s">
        <v>289</v>
      </c>
    </row>
    <row r="107" spans="6:26">
      <c r="F107" s="10"/>
      <c r="H107" s="12"/>
      <c r="I107" s="12"/>
      <c r="J107" s="182"/>
      <c r="M107" s="2"/>
      <c r="R107" t="s">
        <v>290</v>
      </c>
      <c r="V107" s="8" t="s">
        <v>291</v>
      </c>
      <c r="W107" s="9">
        <v>1</v>
      </c>
      <c r="X107" s="10">
        <f>W107*8/$T$104</f>
        <v>0.25</v>
      </c>
      <c r="Y107" s="12">
        <v>28.94</v>
      </c>
      <c r="Z107" s="12">
        <f t="shared" ref="Z107:Z108" si="16">X107*Y107</f>
        <v>7.2350000000000003</v>
      </c>
    </row>
    <row r="108" spans="6:26">
      <c r="F108" s="10"/>
      <c r="H108" s="12"/>
      <c r="I108" s="12"/>
      <c r="J108" s="182"/>
      <c r="M108" s="2"/>
      <c r="R108" t="s">
        <v>292</v>
      </c>
      <c r="V108" s="8" t="s">
        <v>291</v>
      </c>
      <c r="W108" s="9">
        <v>1</v>
      </c>
      <c r="X108" s="10">
        <f>W108*8/$T$104</f>
        <v>0.25</v>
      </c>
      <c r="Y108" s="12">
        <v>22.66</v>
      </c>
      <c r="Z108" s="12">
        <f t="shared" si="16"/>
        <v>5.665</v>
      </c>
    </row>
    <row r="109" spans="6:26">
      <c r="F109" s="10"/>
      <c r="H109" s="12"/>
      <c r="I109" s="12"/>
      <c r="J109" s="182"/>
      <c r="M109" s="2"/>
      <c r="R109" t="s">
        <v>293</v>
      </c>
      <c r="V109" s="8" t="s">
        <v>291</v>
      </c>
      <c r="W109" s="9">
        <v>3</v>
      </c>
      <c r="X109" s="10">
        <f>W109*8/$T$104</f>
        <v>0.75</v>
      </c>
      <c r="Y109" s="12">
        <v>20.51</v>
      </c>
      <c r="Z109" s="12">
        <f>X109*Y109</f>
        <v>15.3825</v>
      </c>
    </row>
    <row r="110" spans="6:26">
      <c r="F110" s="10"/>
      <c r="H110" s="12"/>
      <c r="I110" s="12"/>
      <c r="J110" s="182"/>
      <c r="M110" s="2"/>
      <c r="Z110" s="6">
        <f>SUM(Z107:Z109)</f>
        <v>28.282499999999999</v>
      </c>
    </row>
    <row r="111" spans="6:26">
      <c r="F111" s="10"/>
      <c r="I111" s="12"/>
      <c r="J111" s="182"/>
      <c r="M111" s="2"/>
      <c r="R111" s="7" t="s">
        <v>294</v>
      </c>
    </row>
    <row r="112" spans="6:26">
      <c r="M112" s="2"/>
      <c r="R112" t="s">
        <v>295</v>
      </c>
      <c r="V112" s="8" t="s">
        <v>296</v>
      </c>
      <c r="W112" s="9"/>
      <c r="X112" s="10">
        <v>1.25</v>
      </c>
      <c r="Y112" s="12">
        <v>2.64</v>
      </c>
      <c r="Z112" s="12">
        <f>X112*Y112</f>
        <v>3.3000000000000003</v>
      </c>
    </row>
    <row r="113" spans="17:29">
      <c r="R113" t="s">
        <v>297</v>
      </c>
      <c r="V113" s="8" t="s">
        <v>298</v>
      </c>
      <c r="W113" s="9"/>
      <c r="X113" s="10">
        <v>1.8</v>
      </c>
      <c r="Y113">
        <v>14.15</v>
      </c>
      <c r="Z113" s="12">
        <f t="shared" ref="Z113:Z115" si="17">X113*Y113</f>
        <v>25.470000000000002</v>
      </c>
    </row>
    <row r="114" spans="17:29">
      <c r="R114" t="s">
        <v>299</v>
      </c>
      <c r="V114" s="8" t="s">
        <v>149</v>
      </c>
      <c r="W114" s="9"/>
      <c r="X114" s="10">
        <v>0.2</v>
      </c>
      <c r="Y114">
        <v>55</v>
      </c>
      <c r="Z114" s="12">
        <f t="shared" si="17"/>
        <v>11</v>
      </c>
    </row>
    <row r="115" spans="17:29">
      <c r="R115" t="s">
        <v>300</v>
      </c>
      <c r="V115" s="8" t="s">
        <v>296</v>
      </c>
      <c r="X115" s="10">
        <v>0.12</v>
      </c>
      <c r="Y115">
        <v>10.93</v>
      </c>
      <c r="Z115" s="12">
        <f t="shared" si="17"/>
        <v>1.3115999999999999</v>
      </c>
    </row>
    <row r="116" spans="17:29">
      <c r="R116" t="s">
        <v>301</v>
      </c>
      <c r="V116" s="8" t="s">
        <v>296</v>
      </c>
      <c r="X116" s="10">
        <v>0.05</v>
      </c>
      <c r="Y116" s="12">
        <v>5.51</v>
      </c>
      <c r="Z116" s="12">
        <f>X116*Y116</f>
        <v>0.27550000000000002</v>
      </c>
    </row>
    <row r="117" spans="17:29">
      <c r="R117" t="s">
        <v>312</v>
      </c>
      <c r="V117" s="8" t="s">
        <v>149</v>
      </c>
      <c r="X117">
        <v>0.04</v>
      </c>
      <c r="Y117">
        <v>1567.8</v>
      </c>
      <c r="Z117" s="12">
        <f>X117*Y117</f>
        <v>62.711999999999996</v>
      </c>
    </row>
    <row r="118" spans="17:29">
      <c r="R118" t="s">
        <v>302</v>
      </c>
      <c r="V118" s="8" t="s">
        <v>203</v>
      </c>
      <c r="X118" s="10">
        <v>0.19</v>
      </c>
      <c r="Y118" s="12">
        <v>70.92</v>
      </c>
      <c r="Z118" s="12">
        <f>X118*Y118</f>
        <v>13.4748</v>
      </c>
      <c r="AC118" s="10"/>
    </row>
    <row r="119" spans="17:29">
      <c r="R119" t="s">
        <v>303</v>
      </c>
      <c r="V119" s="8" t="s">
        <v>298</v>
      </c>
      <c r="X119" s="10">
        <v>0.53</v>
      </c>
      <c r="Y119">
        <v>27.88</v>
      </c>
      <c r="Z119" s="12">
        <f>X119*Y119</f>
        <v>14.776400000000001</v>
      </c>
    </row>
    <row r="120" spans="17:29">
      <c r="R120" t="s">
        <v>306</v>
      </c>
      <c r="V120" s="8" t="s">
        <v>307</v>
      </c>
      <c r="X120" s="10">
        <v>1.0920000000000001</v>
      </c>
      <c r="Y120" s="12">
        <v>24.52</v>
      </c>
      <c r="Z120" s="12">
        <f t="shared" ref="Z120:Z121" si="18">X120*Y120</f>
        <v>26.775840000000002</v>
      </c>
    </row>
    <row r="121" spans="17:29">
      <c r="R121" t="s">
        <v>308</v>
      </c>
      <c r="V121" s="8" t="s">
        <v>305</v>
      </c>
      <c r="X121" s="10">
        <v>3</v>
      </c>
      <c r="Y121" s="12">
        <v>5.8</v>
      </c>
      <c r="Z121" s="12">
        <f t="shared" si="18"/>
        <v>17.399999999999999</v>
      </c>
    </row>
    <row r="122" spans="17:29">
      <c r="V122" s="8"/>
      <c r="X122" s="10"/>
      <c r="Y122" s="12"/>
      <c r="Z122" s="6">
        <f>SUM(Z112:Z121)</f>
        <v>176.49614</v>
      </c>
    </row>
    <row r="123" spans="17:29">
      <c r="R123" s="7" t="s">
        <v>309</v>
      </c>
    </row>
    <row r="124" spans="17:29">
      <c r="R124" t="s">
        <v>310</v>
      </c>
      <c r="V124" s="8" t="s">
        <v>311</v>
      </c>
      <c r="X124" s="10">
        <v>5</v>
      </c>
      <c r="Y124" s="12">
        <f>Z110</f>
        <v>28.282499999999999</v>
      </c>
      <c r="Z124" s="12">
        <f>X124%*Y124</f>
        <v>1.4141250000000001</v>
      </c>
    </row>
    <row r="125" spans="17:29">
      <c r="Q125" s="14"/>
      <c r="R125" s="14"/>
      <c r="S125" s="14"/>
      <c r="T125" s="14"/>
      <c r="U125" s="14"/>
      <c r="V125" s="14"/>
      <c r="W125" s="14"/>
      <c r="X125" s="14"/>
      <c r="Y125" s="14"/>
      <c r="Z125" s="16">
        <f>SUM(Z124)</f>
        <v>1.4141250000000001</v>
      </c>
    </row>
    <row r="127" spans="17:29">
      <c r="Q127" s="2" t="s">
        <v>277</v>
      </c>
      <c r="R127" s="2"/>
      <c r="S127" s="2" t="s">
        <v>143</v>
      </c>
      <c r="T127" s="2"/>
      <c r="U127" s="2"/>
      <c r="V127" s="2"/>
      <c r="W127" s="2"/>
      <c r="X127" s="2"/>
      <c r="Y127" s="2"/>
    </row>
    <row r="128" spans="17:29">
      <c r="Q128" s="2" t="s">
        <v>278</v>
      </c>
      <c r="R128" s="2" t="s">
        <v>313</v>
      </c>
      <c r="S128" s="4" t="s">
        <v>280</v>
      </c>
      <c r="T128" s="5">
        <v>30</v>
      </c>
      <c r="U128" s="4" t="s">
        <v>281</v>
      </c>
      <c r="V128" s="5">
        <f>T128</f>
        <v>30</v>
      </c>
      <c r="W128" s="2" t="s">
        <v>282</v>
      </c>
      <c r="Y128" s="4" t="s">
        <v>144</v>
      </c>
      <c r="Z128" s="6">
        <f>Z133+Z138+Z141</f>
        <v>44.069546666666668</v>
      </c>
    </row>
    <row r="129" spans="17:26">
      <c r="Q129" s="2" t="s">
        <v>283</v>
      </c>
      <c r="R129" s="2" t="s">
        <v>284</v>
      </c>
      <c r="V129" s="4" t="s">
        <v>122</v>
      </c>
      <c r="W129" s="4" t="s">
        <v>285</v>
      </c>
      <c r="X129" s="4" t="s">
        <v>286</v>
      </c>
      <c r="Y129" s="4" t="s">
        <v>287</v>
      </c>
      <c r="Z129" s="4" t="s">
        <v>288</v>
      </c>
    </row>
    <row r="130" spans="17:26">
      <c r="R130" s="7" t="s">
        <v>289</v>
      </c>
    </row>
    <row r="131" spans="17:26">
      <c r="R131" t="s">
        <v>292</v>
      </c>
      <c r="V131" s="8" t="s">
        <v>291</v>
      </c>
      <c r="W131" s="9">
        <v>1</v>
      </c>
      <c r="X131" s="10">
        <f>W131*8/$T$128</f>
        <v>0.26666666666666666</v>
      </c>
      <c r="Y131" s="12">
        <v>23.6</v>
      </c>
      <c r="Z131" s="12">
        <f>X131*Y131</f>
        <v>6.2933333333333339</v>
      </c>
    </row>
    <row r="132" spans="17:26">
      <c r="R132" t="s">
        <v>293</v>
      </c>
      <c r="V132" s="8" t="s">
        <v>291</v>
      </c>
      <c r="W132" s="9">
        <v>1</v>
      </c>
      <c r="X132" s="10">
        <f>W132*8/$T$128</f>
        <v>0.26666666666666666</v>
      </c>
      <c r="Y132" s="12">
        <v>20.51</v>
      </c>
      <c r="Z132" s="12">
        <f>X132*Y132</f>
        <v>5.469333333333334</v>
      </c>
    </row>
    <row r="133" spans="17:26">
      <c r="Z133" s="6">
        <f>SUM(Z131:Z132)</f>
        <v>11.762666666666668</v>
      </c>
    </row>
    <row r="134" spans="17:26">
      <c r="R134" s="7" t="s">
        <v>294</v>
      </c>
    </row>
    <row r="135" spans="17:26">
      <c r="R135" t="s">
        <v>314</v>
      </c>
      <c r="V135" s="8" t="s">
        <v>315</v>
      </c>
      <c r="W135" s="9"/>
      <c r="X135" s="10">
        <v>1</v>
      </c>
      <c r="Y135" s="12">
        <v>8.5</v>
      </c>
      <c r="Z135" s="12">
        <f>X135*Y135</f>
        <v>8.5</v>
      </c>
    </row>
    <row r="136" spans="17:26">
      <c r="R136" t="s">
        <v>316</v>
      </c>
      <c r="V136" s="8" t="s">
        <v>296</v>
      </c>
      <c r="W136" s="9"/>
      <c r="X136" s="10">
        <v>0.05</v>
      </c>
      <c r="Y136" s="12">
        <v>5.08</v>
      </c>
      <c r="Z136" s="12">
        <f>X136*Y136</f>
        <v>0.254</v>
      </c>
    </row>
    <row r="137" spans="17:26">
      <c r="R137" t="s">
        <v>308</v>
      </c>
      <c r="V137" s="8" t="s">
        <v>305</v>
      </c>
      <c r="X137" s="10">
        <v>4</v>
      </c>
      <c r="Y137" s="12">
        <v>5.8</v>
      </c>
      <c r="Z137" s="12">
        <f>X137*Y137</f>
        <v>23.2</v>
      </c>
    </row>
    <row r="138" spans="17:26">
      <c r="Z138" s="6">
        <f>SUM(Z135:Z137)</f>
        <v>31.954000000000001</v>
      </c>
    </row>
    <row r="139" spans="17:26">
      <c r="R139" s="7" t="s">
        <v>317</v>
      </c>
    </row>
    <row r="140" spans="17:26">
      <c r="R140" t="s">
        <v>310</v>
      </c>
      <c r="V140" s="8" t="s">
        <v>311</v>
      </c>
      <c r="X140" s="10">
        <v>3</v>
      </c>
      <c r="Y140" s="12">
        <f>Z133</f>
        <v>11.762666666666668</v>
      </c>
      <c r="Z140" s="12">
        <f>X140%*Y140</f>
        <v>0.35288000000000003</v>
      </c>
    </row>
    <row r="141" spans="17:26">
      <c r="Q141" s="14"/>
      <c r="R141" s="14"/>
      <c r="S141" s="14"/>
      <c r="T141" s="14"/>
      <c r="U141" s="14"/>
      <c r="V141" s="44"/>
      <c r="W141" s="45"/>
      <c r="X141" s="46"/>
      <c r="Y141" s="106"/>
      <c r="Z141" s="16">
        <f>SUM(Z140)</f>
        <v>0.35288000000000003</v>
      </c>
    </row>
    <row r="143" spans="17:26">
      <c r="Q143" s="2" t="s">
        <v>277</v>
      </c>
      <c r="R143" s="2"/>
      <c r="S143" s="2" t="s">
        <v>146</v>
      </c>
      <c r="T143" s="2"/>
      <c r="U143" s="2"/>
      <c r="V143" s="2"/>
      <c r="W143" s="2"/>
      <c r="X143" s="2"/>
      <c r="Y143" s="2"/>
    </row>
    <row r="144" spans="17:26">
      <c r="Q144" s="2" t="s">
        <v>278</v>
      </c>
      <c r="R144" s="2" t="s">
        <v>279</v>
      </c>
      <c r="S144" s="4" t="s">
        <v>280</v>
      </c>
      <c r="T144" s="5">
        <v>20</v>
      </c>
      <c r="U144" s="4" t="s">
        <v>281</v>
      </c>
      <c r="V144" s="5">
        <f>T144</f>
        <v>20</v>
      </c>
      <c r="W144" s="2" t="s">
        <v>282</v>
      </c>
      <c r="Y144" s="4" t="s">
        <v>149</v>
      </c>
      <c r="Z144" s="6">
        <f>Z149+Z168+Z170</f>
        <v>343.16158999999999</v>
      </c>
    </row>
    <row r="145" spans="17:26">
      <c r="Q145" s="2" t="s">
        <v>283</v>
      </c>
      <c r="R145" s="2" t="s">
        <v>284</v>
      </c>
      <c r="V145" s="4" t="s">
        <v>122</v>
      </c>
      <c r="W145" s="4" t="s">
        <v>285</v>
      </c>
      <c r="X145" s="4" t="s">
        <v>286</v>
      </c>
      <c r="Y145" s="4" t="s">
        <v>287</v>
      </c>
      <c r="Z145" s="4" t="s">
        <v>288</v>
      </c>
    </row>
    <row r="146" spans="17:26">
      <c r="R146" s="7" t="s">
        <v>289</v>
      </c>
    </row>
    <row r="147" spans="17:26">
      <c r="R147" t="s">
        <v>290</v>
      </c>
      <c r="V147" s="8" t="s">
        <v>291</v>
      </c>
      <c r="W147" s="9">
        <v>1</v>
      </c>
      <c r="X147" s="10">
        <f>W147*8/$T$144</f>
        <v>0.4</v>
      </c>
      <c r="Y147" s="12">
        <v>28.94</v>
      </c>
      <c r="Z147" s="12">
        <f t="shared" ref="Z147" si="19">X147*Y147</f>
        <v>11.576000000000001</v>
      </c>
    </row>
    <row r="148" spans="17:26">
      <c r="R148" t="s">
        <v>293</v>
      </c>
      <c r="V148" s="8" t="s">
        <v>291</v>
      </c>
      <c r="W148" s="9">
        <v>2</v>
      </c>
      <c r="X148" s="10">
        <f>W148*8/$T$144</f>
        <v>0.8</v>
      </c>
      <c r="Y148" s="12">
        <v>20.51</v>
      </c>
      <c r="Z148" s="12">
        <f>X148*Y148</f>
        <v>16.408000000000001</v>
      </c>
    </row>
    <row r="149" spans="17:26">
      <c r="Z149" s="6">
        <f>SUM(Z147:Z148)</f>
        <v>27.984000000000002</v>
      </c>
    </row>
    <row r="150" spans="17:26">
      <c r="R150" s="7" t="s">
        <v>294</v>
      </c>
    </row>
    <row r="151" spans="17:26">
      <c r="R151" t="s">
        <v>295</v>
      </c>
      <c r="V151" s="8" t="s">
        <v>296</v>
      </c>
      <c r="W151" s="9"/>
      <c r="X151" s="10">
        <v>1.25</v>
      </c>
      <c r="Y151" s="12">
        <v>2.64</v>
      </c>
      <c r="Z151" s="12">
        <f>X151*Y151</f>
        <v>3.3000000000000003</v>
      </c>
    </row>
    <row r="152" spans="17:26">
      <c r="R152" t="s">
        <v>297</v>
      </c>
      <c r="V152" s="8" t="s">
        <v>298</v>
      </c>
      <c r="W152" s="9"/>
      <c r="X152" s="10">
        <v>0.85</v>
      </c>
      <c r="Y152">
        <v>14.15</v>
      </c>
      <c r="Z152" s="12">
        <f t="shared" ref="Z152:Z154" si="20">X152*Y152</f>
        <v>12.0275</v>
      </c>
    </row>
    <row r="153" spans="17:26">
      <c r="R153" t="s">
        <v>299</v>
      </c>
      <c r="V153" s="8" t="s">
        <v>149</v>
      </c>
      <c r="W153" s="9"/>
      <c r="X153" s="10">
        <v>0.2</v>
      </c>
      <c r="Y153">
        <v>55</v>
      </c>
      <c r="Z153" s="12">
        <f t="shared" si="20"/>
        <v>11</v>
      </c>
    </row>
    <row r="154" spans="17:26">
      <c r="R154" t="s">
        <v>300</v>
      </c>
      <c r="V154" s="8" t="s">
        <v>296</v>
      </c>
      <c r="X154" s="10">
        <v>0.04</v>
      </c>
      <c r="Y154">
        <v>10.93</v>
      </c>
      <c r="Z154" s="12">
        <f t="shared" si="20"/>
        <v>0.43719999999999998</v>
      </c>
    </row>
    <row r="155" spans="17:26">
      <c r="R155" t="s">
        <v>301</v>
      </c>
      <c r="V155" s="8" t="s">
        <v>296</v>
      </c>
      <c r="X155" s="10">
        <v>7.0999999999999994E-2</v>
      </c>
      <c r="Y155" s="12">
        <v>5.51</v>
      </c>
      <c r="Z155" s="12">
        <f>X155*Y155</f>
        <v>0.39120999999999995</v>
      </c>
    </row>
    <row r="156" spans="17:26">
      <c r="R156" t="s">
        <v>302</v>
      </c>
      <c r="V156" s="8" t="s">
        <v>203</v>
      </c>
      <c r="X156" s="10">
        <v>0.19</v>
      </c>
      <c r="Y156" s="12">
        <v>70.92</v>
      </c>
      <c r="Z156" s="12">
        <f>X156*Y156</f>
        <v>13.4748</v>
      </c>
    </row>
    <row r="157" spans="17:26">
      <c r="R157" t="s">
        <v>303</v>
      </c>
      <c r="V157" s="8" t="s">
        <v>298</v>
      </c>
      <c r="X157" s="10">
        <v>0.53</v>
      </c>
      <c r="Y157">
        <v>27.88</v>
      </c>
      <c r="Z157" s="12">
        <f t="shared" ref="Z157:Z160" si="21">X157*Y157</f>
        <v>14.776400000000001</v>
      </c>
    </row>
    <row r="158" spans="17:26">
      <c r="R158" t="s">
        <v>304</v>
      </c>
      <c r="V158" s="8" t="s">
        <v>305</v>
      </c>
      <c r="X158" s="10">
        <v>0.2374</v>
      </c>
      <c r="Y158">
        <v>32.200000000000003</v>
      </c>
      <c r="Z158" s="12">
        <f t="shared" si="21"/>
        <v>7.6442800000000011</v>
      </c>
    </row>
    <row r="159" spans="17:26">
      <c r="R159" t="s">
        <v>306</v>
      </c>
      <c r="V159" s="8" t="s">
        <v>307</v>
      </c>
      <c r="X159" s="10">
        <v>0.5</v>
      </c>
      <c r="Y159" s="12">
        <v>24.52</v>
      </c>
      <c r="Z159" s="12">
        <f t="shared" si="21"/>
        <v>12.26</v>
      </c>
    </row>
    <row r="160" spans="17:26">
      <c r="R160" t="s">
        <v>308</v>
      </c>
      <c r="V160" s="8" t="s">
        <v>305</v>
      </c>
      <c r="X160" s="10">
        <v>3</v>
      </c>
      <c r="Y160" s="12">
        <v>5.8</v>
      </c>
      <c r="Z160" s="12">
        <f t="shared" si="21"/>
        <v>17.399999999999999</v>
      </c>
    </row>
    <row r="161" spans="17:26">
      <c r="R161" t="s">
        <v>318</v>
      </c>
      <c r="V161" s="8" t="s">
        <v>149</v>
      </c>
      <c r="X161" s="10">
        <v>0.69399999999999995</v>
      </c>
      <c r="Y161" s="12">
        <v>120</v>
      </c>
      <c r="Z161" s="12">
        <f t="shared" ref="Z161:Z167" si="22">X161*Y161</f>
        <v>83.28</v>
      </c>
    </row>
    <row r="162" spans="17:26">
      <c r="R162" t="s">
        <v>319</v>
      </c>
      <c r="V162" s="8" t="s">
        <v>144</v>
      </c>
      <c r="X162" s="10">
        <v>1.042</v>
      </c>
      <c r="Y162" s="12">
        <v>25</v>
      </c>
      <c r="Z162" s="12">
        <f t="shared" si="22"/>
        <v>26.05</v>
      </c>
    </row>
    <row r="163" spans="17:26">
      <c r="R163" t="s">
        <v>320</v>
      </c>
      <c r="V163" s="8" t="s">
        <v>149</v>
      </c>
      <c r="X163" s="10">
        <v>0.69399999999999995</v>
      </c>
      <c r="Y163" s="12">
        <v>18</v>
      </c>
      <c r="Z163" s="12">
        <f t="shared" si="22"/>
        <v>12.491999999999999</v>
      </c>
    </row>
    <row r="164" spans="17:26">
      <c r="R164" t="s">
        <v>321</v>
      </c>
      <c r="V164" s="8" t="s">
        <v>149</v>
      </c>
      <c r="X164" s="10">
        <v>0.13900000000000001</v>
      </c>
      <c r="Y164" s="12">
        <v>15</v>
      </c>
      <c r="Z164" s="12">
        <f t="shared" si="22"/>
        <v>2.085</v>
      </c>
    </row>
    <row r="165" spans="17:26">
      <c r="R165" t="s">
        <v>322</v>
      </c>
      <c r="V165" s="8" t="s">
        <v>149</v>
      </c>
      <c r="X165" s="10">
        <v>0.69399999999999995</v>
      </c>
      <c r="Y165" s="12">
        <v>80</v>
      </c>
      <c r="Z165" s="12">
        <f t="shared" si="22"/>
        <v>55.519999999999996</v>
      </c>
    </row>
    <row r="166" spans="17:26">
      <c r="R166" t="s">
        <v>323</v>
      </c>
      <c r="V166" s="8" t="s">
        <v>149</v>
      </c>
      <c r="X166" s="10">
        <v>0.69399999999999995</v>
      </c>
      <c r="Y166" s="12">
        <v>40</v>
      </c>
      <c r="Z166" s="12">
        <f t="shared" si="22"/>
        <v>27.759999999999998</v>
      </c>
    </row>
    <row r="167" spans="17:26">
      <c r="R167" t="s">
        <v>324</v>
      </c>
      <c r="V167" s="8" t="s">
        <v>149</v>
      </c>
      <c r="X167" s="10">
        <v>0.69399999999999995</v>
      </c>
      <c r="Y167" s="12">
        <v>20</v>
      </c>
      <c r="Z167" s="12">
        <f t="shared" si="22"/>
        <v>13.879999999999999</v>
      </c>
    </row>
    <row r="168" spans="17:26">
      <c r="R168" s="7" t="s">
        <v>309</v>
      </c>
      <c r="Z168" s="6">
        <f>SUM(Z151:Z167)</f>
        <v>313.77839</v>
      </c>
    </row>
    <row r="169" spans="17:26">
      <c r="R169" t="s">
        <v>310</v>
      </c>
      <c r="V169" s="8" t="s">
        <v>311</v>
      </c>
      <c r="X169" s="10">
        <v>5</v>
      </c>
      <c r="Y169" s="12">
        <f>Z149</f>
        <v>27.984000000000002</v>
      </c>
      <c r="Z169" s="12">
        <f>X169%*Y169</f>
        <v>1.3992000000000002</v>
      </c>
    </row>
    <row r="170" spans="17:26">
      <c r="Q170" s="14"/>
      <c r="R170" s="14"/>
      <c r="S170" s="14"/>
      <c r="T170" s="14"/>
      <c r="U170" s="14"/>
      <c r="V170" s="14"/>
      <c r="W170" s="14"/>
      <c r="X170" s="14"/>
      <c r="Y170" s="14"/>
      <c r="Z170" s="16">
        <f>SUM(Z169)</f>
        <v>1.3992000000000002</v>
      </c>
    </row>
    <row r="172" spans="17:26">
      <c r="Q172" s="2" t="s">
        <v>277</v>
      </c>
      <c r="R172" s="2"/>
      <c r="S172" s="2" t="s">
        <v>148</v>
      </c>
      <c r="T172" s="2"/>
      <c r="U172" s="2"/>
      <c r="V172" s="2"/>
      <c r="W172" s="2"/>
      <c r="X172" s="2"/>
      <c r="Y172" s="2"/>
    </row>
    <row r="173" spans="17:26">
      <c r="Q173" s="2" t="s">
        <v>278</v>
      </c>
      <c r="R173" s="2" t="s">
        <v>325</v>
      </c>
      <c r="S173" s="4" t="s">
        <v>280</v>
      </c>
      <c r="T173" s="5">
        <v>1</v>
      </c>
      <c r="U173" s="4" t="s">
        <v>281</v>
      </c>
      <c r="V173" s="5">
        <f>T173</f>
        <v>1</v>
      </c>
      <c r="W173" s="2" t="s">
        <v>282</v>
      </c>
      <c r="Y173" s="4" t="s">
        <v>149</v>
      </c>
      <c r="Z173" s="6">
        <f>Z179+Z190+Z193</f>
        <v>1453.7775200000001</v>
      </c>
    </row>
    <row r="174" spans="17:26">
      <c r="Q174" s="2" t="s">
        <v>283</v>
      </c>
      <c r="R174" s="2" t="s">
        <v>284</v>
      </c>
      <c r="V174" s="4" t="s">
        <v>122</v>
      </c>
      <c r="W174" s="4" t="s">
        <v>285</v>
      </c>
      <c r="X174" s="4" t="s">
        <v>286</v>
      </c>
      <c r="Y174" s="4" t="s">
        <v>287</v>
      </c>
      <c r="Z174" s="4" t="s">
        <v>288</v>
      </c>
    </row>
    <row r="175" spans="17:26">
      <c r="R175" s="7" t="s">
        <v>289</v>
      </c>
    </row>
    <row r="176" spans="17:26">
      <c r="R176" t="s">
        <v>290</v>
      </c>
      <c r="V176" s="8" t="s">
        <v>291</v>
      </c>
      <c r="W176" s="9">
        <v>1</v>
      </c>
      <c r="X176" s="10">
        <f>W176*8/$T$173</f>
        <v>8</v>
      </c>
      <c r="Y176" s="12">
        <v>28.94</v>
      </c>
      <c r="Z176" s="12">
        <f t="shared" ref="Z176:Z177" si="23">X176*Y176</f>
        <v>231.52</v>
      </c>
    </row>
    <row r="177" spans="18:26">
      <c r="R177" t="s">
        <v>292</v>
      </c>
      <c r="V177" s="8" t="s">
        <v>291</v>
      </c>
      <c r="W177" s="9">
        <v>0.5</v>
      </c>
      <c r="X177" s="10">
        <f>W177*8/$T$173</f>
        <v>4</v>
      </c>
      <c r="Y177" s="12">
        <v>22.66</v>
      </c>
      <c r="Z177" s="12">
        <f t="shared" si="23"/>
        <v>90.64</v>
      </c>
    </row>
    <row r="178" spans="18:26">
      <c r="R178" t="s">
        <v>293</v>
      </c>
      <c r="V178" s="8" t="s">
        <v>291</v>
      </c>
      <c r="W178" s="9">
        <v>1</v>
      </c>
      <c r="X178" s="10">
        <f>W178*8/$T$173</f>
        <v>8</v>
      </c>
      <c r="Y178" s="12">
        <v>20.51</v>
      </c>
      <c r="Z178" s="12">
        <f>X178*Y178</f>
        <v>164.08</v>
      </c>
    </row>
    <row r="179" spans="18:26">
      <c r="Z179" s="6">
        <f>SUM(Z176:Z178)</f>
        <v>486.24</v>
      </c>
    </row>
    <row r="180" spans="18:26">
      <c r="R180" s="7" t="s">
        <v>294</v>
      </c>
    </row>
    <row r="181" spans="18:26">
      <c r="R181" t="s">
        <v>326</v>
      </c>
      <c r="V181" s="8" t="s">
        <v>149</v>
      </c>
      <c r="W181" s="9"/>
      <c r="X181" s="10">
        <v>1</v>
      </c>
      <c r="Y181" s="12">
        <v>355.93</v>
      </c>
      <c r="Z181" s="12">
        <f>X181*Y181</f>
        <v>355.93</v>
      </c>
    </row>
    <row r="182" spans="18:26">
      <c r="R182" t="s">
        <v>301</v>
      </c>
      <c r="V182" s="8" t="s">
        <v>296</v>
      </c>
      <c r="X182" s="10">
        <v>1.4</v>
      </c>
      <c r="Y182" s="12">
        <v>5.51</v>
      </c>
      <c r="Z182" s="12">
        <f t="shared" ref="Z182:Z189" si="24">X182*Y182</f>
        <v>7.7139999999999995</v>
      </c>
    </row>
    <row r="183" spans="18:26">
      <c r="R183" t="s">
        <v>302</v>
      </c>
      <c r="V183" s="8" t="s">
        <v>203</v>
      </c>
      <c r="X183" s="10">
        <v>0.252</v>
      </c>
      <c r="Y183" s="12">
        <v>70.92</v>
      </c>
      <c r="Z183" s="12">
        <f t="shared" si="24"/>
        <v>17.871839999999999</v>
      </c>
    </row>
    <row r="184" spans="18:26">
      <c r="R184" t="s">
        <v>327</v>
      </c>
      <c r="V184" t="s">
        <v>149</v>
      </c>
      <c r="X184">
        <v>10</v>
      </c>
      <c r="Y184">
        <v>3.9</v>
      </c>
      <c r="Z184" s="12">
        <f>X184*Y184</f>
        <v>39</v>
      </c>
    </row>
    <row r="185" spans="18:26">
      <c r="R185" t="s">
        <v>328</v>
      </c>
      <c r="V185" s="8" t="s">
        <v>203</v>
      </c>
      <c r="X185">
        <v>0.252</v>
      </c>
      <c r="Y185">
        <v>80</v>
      </c>
      <c r="Z185" s="12">
        <f t="shared" si="24"/>
        <v>20.16</v>
      </c>
    </row>
    <row r="186" spans="18:26">
      <c r="R186" t="s">
        <v>329</v>
      </c>
      <c r="V186" t="s">
        <v>330</v>
      </c>
      <c r="X186">
        <v>2</v>
      </c>
      <c r="Y186">
        <v>44.83</v>
      </c>
      <c r="Z186" s="12">
        <f t="shared" si="24"/>
        <v>89.66</v>
      </c>
    </row>
    <row r="187" spans="18:26">
      <c r="R187" t="s">
        <v>303</v>
      </c>
      <c r="V187" s="8" t="s">
        <v>298</v>
      </c>
      <c r="X187" s="10">
        <v>3</v>
      </c>
      <c r="Y187">
        <v>27.88</v>
      </c>
      <c r="Z187" s="12">
        <f t="shared" si="24"/>
        <v>83.64</v>
      </c>
    </row>
    <row r="188" spans="18:26">
      <c r="R188" t="s">
        <v>306</v>
      </c>
      <c r="V188" s="8" t="s">
        <v>307</v>
      </c>
      <c r="X188" s="10">
        <v>2.3340000000000001</v>
      </c>
      <c r="Y188" s="12">
        <v>24.52</v>
      </c>
      <c r="Z188" s="12">
        <f t="shared" si="24"/>
        <v>57.229680000000002</v>
      </c>
    </row>
    <row r="189" spans="18:26">
      <c r="R189" t="s">
        <v>308</v>
      </c>
      <c r="V189" s="8" t="s">
        <v>305</v>
      </c>
      <c r="X189" s="10">
        <v>46.9</v>
      </c>
      <c r="Y189" s="12">
        <v>5.8</v>
      </c>
      <c r="Z189" s="12">
        <f t="shared" si="24"/>
        <v>272.02</v>
      </c>
    </row>
    <row r="190" spans="18:26">
      <c r="V190" s="8"/>
      <c r="X190" s="10"/>
      <c r="Y190" s="12"/>
      <c r="Z190" s="6">
        <f>SUM(Z181:Z189)</f>
        <v>943.22552000000007</v>
      </c>
    </row>
    <row r="191" spans="18:26">
      <c r="R191" s="7" t="s">
        <v>309</v>
      </c>
    </row>
    <row r="192" spans="18:26">
      <c r="R192" t="s">
        <v>310</v>
      </c>
      <c r="V192" s="8" t="s">
        <v>311</v>
      </c>
      <c r="X192" s="10">
        <v>5</v>
      </c>
      <c r="Y192" s="12">
        <f>Z179</f>
        <v>486.24</v>
      </c>
      <c r="Z192" s="12">
        <f>X192%*Y192</f>
        <v>24.312000000000001</v>
      </c>
    </row>
    <row r="193" spans="17:26">
      <c r="Q193" s="14"/>
      <c r="R193" s="14"/>
      <c r="S193" s="14"/>
      <c r="T193" s="14"/>
      <c r="U193" s="14"/>
      <c r="V193" s="14"/>
      <c r="W193" s="14"/>
      <c r="X193" s="14"/>
      <c r="Y193" s="14"/>
      <c r="Z193" s="16">
        <f>SUM(Z192)</f>
        <v>24.312000000000001</v>
      </c>
    </row>
    <row r="195" spans="17:26">
      <c r="Q195" s="2" t="s">
        <v>277</v>
      </c>
      <c r="R195" s="2"/>
      <c r="S195" s="2" t="s">
        <v>1252</v>
      </c>
      <c r="T195" s="2"/>
      <c r="U195" s="2"/>
      <c r="V195" s="2"/>
      <c r="W195" s="2"/>
      <c r="X195" s="2"/>
      <c r="Y195" s="2"/>
    </row>
    <row r="196" spans="17:26">
      <c r="Q196" s="2" t="s">
        <v>278</v>
      </c>
      <c r="R196" s="2" t="s">
        <v>325</v>
      </c>
      <c r="S196" s="4" t="s">
        <v>280</v>
      </c>
      <c r="T196" s="5">
        <v>1</v>
      </c>
      <c r="U196" s="4" t="s">
        <v>281</v>
      </c>
      <c r="V196" s="5">
        <f>T196</f>
        <v>1</v>
      </c>
      <c r="W196" s="2" t="s">
        <v>282</v>
      </c>
      <c r="Y196" s="4" t="s">
        <v>149</v>
      </c>
      <c r="Z196" s="6">
        <f>Z202+Z207+Z210</f>
        <v>2603.6396</v>
      </c>
    </row>
    <row r="197" spans="17:26">
      <c r="Q197" s="2" t="s">
        <v>283</v>
      </c>
      <c r="R197" s="2" t="s">
        <v>284</v>
      </c>
      <c r="V197" s="4" t="s">
        <v>122</v>
      </c>
      <c r="W197" s="4" t="s">
        <v>285</v>
      </c>
      <c r="X197" s="4" t="s">
        <v>286</v>
      </c>
      <c r="Y197" s="4" t="s">
        <v>287</v>
      </c>
      <c r="Z197" s="4" t="s">
        <v>288</v>
      </c>
    </row>
    <row r="198" spans="17:26">
      <c r="R198" s="7" t="s">
        <v>289</v>
      </c>
    </row>
    <row r="199" spans="17:26">
      <c r="R199" t="s">
        <v>290</v>
      </c>
      <c r="V199" s="8" t="s">
        <v>291</v>
      </c>
      <c r="W199" s="9">
        <v>1</v>
      </c>
      <c r="X199" s="10">
        <f>W199*8/$T$196</f>
        <v>8</v>
      </c>
      <c r="Y199" s="12">
        <v>28.94</v>
      </c>
      <c r="Z199" s="12">
        <f t="shared" ref="Z199:Z200" si="25">X199*Y199</f>
        <v>231.52</v>
      </c>
    </row>
    <row r="200" spans="17:26">
      <c r="R200" t="s">
        <v>292</v>
      </c>
      <c r="V200" s="8" t="s">
        <v>291</v>
      </c>
      <c r="W200" s="9">
        <v>2</v>
      </c>
      <c r="X200" s="10">
        <f>W200*8/$T$196</f>
        <v>16</v>
      </c>
      <c r="Y200" s="12">
        <v>22.66</v>
      </c>
      <c r="Z200" s="12">
        <f t="shared" si="25"/>
        <v>362.56</v>
      </c>
    </row>
    <row r="201" spans="17:26">
      <c r="R201" t="s">
        <v>293</v>
      </c>
      <c r="V201" s="8" t="s">
        <v>291</v>
      </c>
      <c r="W201" s="9">
        <v>3</v>
      </c>
      <c r="X201" s="10">
        <f>W201*8/$T$196</f>
        <v>24</v>
      </c>
      <c r="Y201" s="12">
        <v>20.51</v>
      </c>
      <c r="Z201" s="12">
        <f>X201*Y201</f>
        <v>492.24</v>
      </c>
    </row>
    <row r="202" spans="17:26">
      <c r="Z202" s="6">
        <f>SUM(Z199:Z201)</f>
        <v>1086.3200000000002</v>
      </c>
    </row>
    <row r="203" spans="17:26">
      <c r="R203" s="7" t="s">
        <v>294</v>
      </c>
    </row>
    <row r="204" spans="17:26">
      <c r="R204" t="s">
        <v>1253</v>
      </c>
      <c r="V204" s="8" t="s">
        <v>315</v>
      </c>
      <c r="W204" s="9"/>
      <c r="X204" s="10">
        <v>18</v>
      </c>
      <c r="Y204" s="12">
        <v>29.66</v>
      </c>
      <c r="Z204" s="12">
        <f>X204*Y204</f>
        <v>533.88</v>
      </c>
    </row>
    <row r="205" spans="17:26">
      <c r="R205" t="s">
        <v>1254</v>
      </c>
      <c r="V205" s="8" t="s">
        <v>154</v>
      </c>
      <c r="W205" s="9"/>
      <c r="X205" s="10">
        <v>1</v>
      </c>
      <c r="Y205" s="12">
        <v>423.73</v>
      </c>
      <c r="Z205" s="12">
        <f>X205*Y205</f>
        <v>423.73</v>
      </c>
    </row>
    <row r="206" spans="17:26">
      <c r="R206" t="s">
        <v>1255</v>
      </c>
      <c r="V206" s="8" t="s">
        <v>149</v>
      </c>
      <c r="X206" s="10">
        <v>1</v>
      </c>
      <c r="Y206" s="12">
        <v>527.12</v>
      </c>
      <c r="Z206" s="12">
        <f>X206*Y206</f>
        <v>527.12</v>
      </c>
    </row>
    <row r="207" spans="17:26">
      <c r="Z207" s="6">
        <f>SUM(Z204:Z206)</f>
        <v>1484.73</v>
      </c>
    </row>
    <row r="208" spans="17:26">
      <c r="R208" s="7" t="s">
        <v>317</v>
      </c>
    </row>
    <row r="209" spans="17:26">
      <c r="R209" t="s">
        <v>310</v>
      </c>
      <c r="V209" s="8" t="s">
        <v>311</v>
      </c>
      <c r="X209" s="10">
        <v>3</v>
      </c>
      <c r="Y209" s="12">
        <f>Z202</f>
        <v>1086.3200000000002</v>
      </c>
      <c r="Z209" s="12">
        <f>X209%*Y209</f>
        <v>32.589600000000004</v>
      </c>
    </row>
    <row r="210" spans="17:26">
      <c r="Q210" s="14"/>
      <c r="R210" s="14"/>
      <c r="S210" s="14"/>
      <c r="T210" s="14"/>
      <c r="U210" s="14"/>
      <c r="V210" s="44"/>
      <c r="W210" s="45"/>
      <c r="X210" s="46"/>
      <c r="Y210" s="106"/>
      <c r="Z210" s="16">
        <f>SUM(Z209)</f>
        <v>32.589600000000004</v>
      </c>
    </row>
    <row r="212" spans="17:26">
      <c r="Q212" s="2" t="s">
        <v>333</v>
      </c>
      <c r="R212" s="2"/>
      <c r="S212" s="2" t="s">
        <v>1256</v>
      </c>
      <c r="T212" s="2"/>
      <c r="U212" s="2"/>
      <c r="V212" s="2"/>
      <c r="W212" s="2"/>
      <c r="X212" s="2"/>
      <c r="Y212" s="2"/>
    </row>
    <row r="213" spans="17:26">
      <c r="Q213" s="2" t="s">
        <v>278</v>
      </c>
      <c r="R213" s="2" t="s">
        <v>325</v>
      </c>
      <c r="S213" s="4" t="s">
        <v>280</v>
      </c>
      <c r="T213" s="5">
        <v>1</v>
      </c>
      <c r="U213" s="4" t="s">
        <v>281</v>
      </c>
      <c r="V213" s="5">
        <f>T213</f>
        <v>1</v>
      </c>
      <c r="W213" s="2" t="s">
        <v>282</v>
      </c>
      <c r="Y213" s="4" t="s">
        <v>149</v>
      </c>
      <c r="Z213" s="6">
        <f>Z217</f>
        <v>322.02999999999997</v>
      </c>
    </row>
    <row r="214" spans="17:26">
      <c r="Q214" s="2" t="s">
        <v>283</v>
      </c>
      <c r="R214" s="2" t="s">
        <v>284</v>
      </c>
      <c r="V214" s="4" t="s">
        <v>122</v>
      </c>
      <c r="W214" s="4" t="s">
        <v>285</v>
      </c>
      <c r="X214" s="4" t="s">
        <v>286</v>
      </c>
      <c r="Y214" s="4" t="s">
        <v>287</v>
      </c>
      <c r="Z214" s="4" t="s">
        <v>288</v>
      </c>
    </row>
    <row r="215" spans="17:26">
      <c r="R215" s="7" t="s">
        <v>653</v>
      </c>
    </row>
    <row r="216" spans="17:26">
      <c r="R216" s="2" t="s">
        <v>1256</v>
      </c>
      <c r="V216" s="8" t="s">
        <v>154</v>
      </c>
      <c r="W216" s="9"/>
      <c r="X216" s="10">
        <v>1</v>
      </c>
      <c r="Y216" s="12">
        <v>322.02999999999997</v>
      </c>
      <c r="Z216" s="12">
        <f>X216*Y216</f>
        <v>322.02999999999997</v>
      </c>
    </row>
    <row r="217" spans="17:26">
      <c r="Q217" s="14"/>
      <c r="R217" s="14"/>
      <c r="S217" s="14"/>
      <c r="T217" s="14"/>
      <c r="U217" s="14"/>
      <c r="V217" s="14"/>
      <c r="W217" s="14"/>
      <c r="X217" s="14"/>
      <c r="Y217" s="14"/>
      <c r="Z217" s="16">
        <f>SUM(Z216)</f>
        <v>322.02999999999997</v>
      </c>
    </row>
    <row r="219" spans="17:26">
      <c r="Q219" s="2" t="s">
        <v>333</v>
      </c>
      <c r="R219" s="2"/>
      <c r="S219" s="2" t="s">
        <v>1257</v>
      </c>
      <c r="T219" s="2"/>
      <c r="U219" s="2"/>
      <c r="V219" s="2"/>
      <c r="W219" s="2"/>
      <c r="X219" s="2"/>
      <c r="Y219" s="2"/>
    </row>
    <row r="220" spans="17:26">
      <c r="Q220" s="2" t="s">
        <v>278</v>
      </c>
      <c r="R220" s="2" t="s">
        <v>325</v>
      </c>
      <c r="S220" s="4" t="s">
        <v>280</v>
      </c>
      <c r="T220" s="5">
        <v>1</v>
      </c>
      <c r="U220" s="4" t="s">
        <v>281</v>
      </c>
      <c r="V220" s="5">
        <f>T220</f>
        <v>1</v>
      </c>
      <c r="W220" s="2" t="s">
        <v>282</v>
      </c>
      <c r="Y220" s="4" t="s">
        <v>149</v>
      </c>
      <c r="Z220" s="6">
        <f>Z224</f>
        <v>215.25</v>
      </c>
    </row>
    <row r="221" spans="17:26">
      <c r="Q221" s="2" t="s">
        <v>283</v>
      </c>
      <c r="R221" s="2" t="s">
        <v>284</v>
      </c>
      <c r="V221" s="4" t="s">
        <v>122</v>
      </c>
      <c r="W221" s="4" t="s">
        <v>285</v>
      </c>
      <c r="X221" s="4" t="s">
        <v>286</v>
      </c>
      <c r="Y221" s="4" t="s">
        <v>287</v>
      </c>
      <c r="Z221" s="4" t="s">
        <v>288</v>
      </c>
    </row>
    <row r="222" spans="17:26">
      <c r="R222" s="7" t="s">
        <v>653</v>
      </c>
    </row>
    <row r="223" spans="17:26">
      <c r="R223" s="2" t="s">
        <v>1257</v>
      </c>
      <c r="V223" s="8" t="s">
        <v>149</v>
      </c>
      <c r="W223" s="9"/>
      <c r="X223" s="10">
        <v>1</v>
      </c>
      <c r="Y223" s="12">
        <v>215.25</v>
      </c>
      <c r="Z223" s="12">
        <f>X223*Y223</f>
        <v>215.25</v>
      </c>
    </row>
    <row r="224" spans="17:26">
      <c r="Q224" s="14"/>
      <c r="R224" s="14"/>
      <c r="S224" s="14"/>
      <c r="T224" s="14"/>
      <c r="U224" s="14"/>
      <c r="V224" s="14"/>
      <c r="W224" s="14"/>
      <c r="X224" s="14"/>
      <c r="Y224" s="14"/>
      <c r="Z224" s="16">
        <f>SUM(Z223)</f>
        <v>215.25</v>
      </c>
    </row>
    <row r="226" spans="17:26">
      <c r="Q226" s="2" t="s">
        <v>333</v>
      </c>
      <c r="R226" s="2"/>
      <c r="S226" s="2" t="s">
        <v>1258</v>
      </c>
      <c r="T226" s="2"/>
      <c r="U226" s="2"/>
      <c r="V226" s="2"/>
      <c r="W226" s="2"/>
      <c r="X226" s="2"/>
      <c r="Y226" s="2"/>
    </row>
    <row r="227" spans="17:26">
      <c r="Q227" s="2" t="s">
        <v>278</v>
      </c>
      <c r="R227" s="2" t="s">
        <v>331</v>
      </c>
      <c r="S227" s="4" t="s">
        <v>280</v>
      </c>
      <c r="T227" s="5">
        <v>1</v>
      </c>
      <c r="U227" s="4" t="s">
        <v>281</v>
      </c>
      <c r="V227" s="5">
        <f>T227</f>
        <v>1</v>
      </c>
      <c r="W227" s="2" t="s">
        <v>282</v>
      </c>
      <c r="Y227" s="4" t="s">
        <v>154</v>
      </c>
      <c r="Z227" s="6">
        <f>Z231</f>
        <v>254.24</v>
      </c>
    </row>
    <row r="228" spans="17:26">
      <c r="Q228" s="2" t="s">
        <v>283</v>
      </c>
      <c r="R228" s="2" t="s">
        <v>284</v>
      </c>
      <c r="V228" s="4" t="s">
        <v>122</v>
      </c>
      <c r="W228" s="4" t="s">
        <v>285</v>
      </c>
      <c r="X228" s="4" t="s">
        <v>286</v>
      </c>
      <c r="Y228" s="4" t="s">
        <v>287</v>
      </c>
      <c r="Z228" s="4" t="s">
        <v>288</v>
      </c>
    </row>
    <row r="229" spans="17:26">
      <c r="R229" s="7" t="s">
        <v>653</v>
      </c>
    </row>
    <row r="230" spans="17:26">
      <c r="R230" s="2" t="s">
        <v>1258</v>
      </c>
      <c r="V230" s="8" t="s">
        <v>154</v>
      </c>
      <c r="W230" s="9"/>
      <c r="X230" s="10">
        <v>1</v>
      </c>
      <c r="Y230" s="12">
        <v>254.24</v>
      </c>
      <c r="Z230" s="12">
        <f>X230*Y230</f>
        <v>254.24</v>
      </c>
    </row>
    <row r="231" spans="17:26">
      <c r="Q231" s="14"/>
      <c r="R231" s="14"/>
      <c r="S231" s="14"/>
      <c r="T231" s="14"/>
      <c r="U231" s="14"/>
      <c r="V231" s="14"/>
      <c r="W231" s="14"/>
      <c r="X231" s="14"/>
      <c r="Y231" s="14"/>
      <c r="Z231" s="16">
        <f>SUM(Z230)</f>
        <v>254.24</v>
      </c>
    </row>
    <row r="233" spans="17:26">
      <c r="Q233" s="2" t="s">
        <v>333</v>
      </c>
      <c r="R233" s="2"/>
      <c r="S233" s="2" t="s">
        <v>1259</v>
      </c>
      <c r="T233" s="2"/>
      <c r="U233" s="2"/>
      <c r="V233" s="2"/>
      <c r="W233" s="2"/>
      <c r="X233" s="2"/>
      <c r="Y233" s="2"/>
    </row>
    <row r="234" spans="17:26">
      <c r="Q234" s="2" t="s">
        <v>278</v>
      </c>
      <c r="R234" s="2" t="s">
        <v>331</v>
      </c>
      <c r="S234" s="4" t="s">
        <v>280</v>
      </c>
      <c r="T234" s="5">
        <v>1</v>
      </c>
      <c r="U234" s="4" t="s">
        <v>281</v>
      </c>
      <c r="V234" s="5">
        <f>T234</f>
        <v>1</v>
      </c>
      <c r="W234" s="2" t="s">
        <v>282</v>
      </c>
      <c r="Y234" s="4" t="s">
        <v>154</v>
      </c>
      <c r="Z234" s="6">
        <f>Z238</f>
        <v>84.75</v>
      </c>
    </row>
    <row r="235" spans="17:26">
      <c r="Q235" s="2" t="s">
        <v>283</v>
      </c>
      <c r="R235" s="2" t="s">
        <v>284</v>
      </c>
      <c r="V235" s="4" t="s">
        <v>122</v>
      </c>
      <c r="W235" s="4" t="s">
        <v>285</v>
      </c>
      <c r="X235" s="4" t="s">
        <v>286</v>
      </c>
      <c r="Y235" s="4" t="s">
        <v>287</v>
      </c>
      <c r="Z235" s="4" t="s">
        <v>288</v>
      </c>
    </row>
    <row r="236" spans="17:26">
      <c r="R236" s="7" t="s">
        <v>653</v>
      </c>
    </row>
    <row r="237" spans="17:26">
      <c r="R237" s="2" t="s">
        <v>1259</v>
      </c>
      <c r="V237" s="8" t="s">
        <v>154</v>
      </c>
      <c r="W237" s="9"/>
      <c r="X237" s="10">
        <v>1</v>
      </c>
      <c r="Y237" s="12">
        <v>84.75</v>
      </c>
      <c r="Z237" s="12">
        <f>X237*Y237</f>
        <v>84.75</v>
      </c>
    </row>
    <row r="238" spans="17:26">
      <c r="Q238" s="14"/>
      <c r="R238" s="14"/>
      <c r="S238" s="14"/>
      <c r="T238" s="14"/>
      <c r="U238" s="14"/>
      <c r="V238" s="14"/>
      <c r="W238" s="14"/>
      <c r="X238" s="14"/>
      <c r="Y238" s="14"/>
      <c r="Z238" s="16">
        <f>SUM(Z237)</f>
        <v>84.75</v>
      </c>
    </row>
    <row r="240" spans="17:26">
      <c r="Q240" s="2" t="s">
        <v>333</v>
      </c>
      <c r="R240" s="2"/>
      <c r="S240" s="2" t="s">
        <v>1260</v>
      </c>
      <c r="T240" s="2"/>
      <c r="U240" s="2"/>
      <c r="V240" s="2"/>
      <c r="W240" s="2"/>
      <c r="X240" s="2"/>
      <c r="Y240" s="2"/>
    </row>
    <row r="241" spans="17:26">
      <c r="Q241" s="2" t="s">
        <v>278</v>
      </c>
      <c r="R241" s="2" t="s">
        <v>331</v>
      </c>
      <c r="S241" s="4" t="s">
        <v>280</v>
      </c>
      <c r="T241" s="5">
        <v>1</v>
      </c>
      <c r="U241" s="4" t="s">
        <v>281</v>
      </c>
      <c r="V241" s="5">
        <f>T241</f>
        <v>1</v>
      </c>
      <c r="W241" s="2" t="s">
        <v>282</v>
      </c>
      <c r="Y241" s="4" t="s">
        <v>154</v>
      </c>
      <c r="Z241" s="6">
        <f>Z245</f>
        <v>101.69</v>
      </c>
    </row>
    <row r="242" spans="17:26">
      <c r="Q242" s="2" t="s">
        <v>283</v>
      </c>
      <c r="R242" s="2" t="s">
        <v>284</v>
      </c>
      <c r="V242" s="4" t="s">
        <v>122</v>
      </c>
      <c r="W242" s="4" t="s">
        <v>285</v>
      </c>
      <c r="X242" s="4" t="s">
        <v>286</v>
      </c>
      <c r="Y242" s="4" t="s">
        <v>287</v>
      </c>
      <c r="Z242" s="4" t="s">
        <v>288</v>
      </c>
    </row>
    <row r="243" spans="17:26">
      <c r="R243" s="7" t="s">
        <v>653</v>
      </c>
    </row>
    <row r="244" spans="17:26">
      <c r="R244" t="s">
        <v>1260</v>
      </c>
      <c r="V244" s="8" t="s">
        <v>154</v>
      </c>
      <c r="W244" s="9"/>
      <c r="X244" s="10">
        <v>1</v>
      </c>
      <c r="Y244" s="12">
        <v>101.69</v>
      </c>
      <c r="Z244" s="12">
        <f>X244*Y244</f>
        <v>101.69</v>
      </c>
    </row>
    <row r="245" spans="17:26">
      <c r="Q245" s="14"/>
      <c r="R245" s="14"/>
      <c r="S245" s="14"/>
      <c r="T245" s="14"/>
      <c r="U245" s="14"/>
      <c r="V245" s="14"/>
      <c r="W245" s="14"/>
      <c r="X245" s="14"/>
      <c r="Y245" s="14"/>
      <c r="Z245" s="16">
        <f>SUM(Z244)</f>
        <v>101.69</v>
      </c>
    </row>
    <row r="247" spans="17:26">
      <c r="Q247" s="2" t="s">
        <v>333</v>
      </c>
      <c r="R247" s="2"/>
      <c r="S247" s="2" t="s">
        <v>1261</v>
      </c>
      <c r="T247" s="2"/>
      <c r="U247" s="2"/>
      <c r="V247" s="2"/>
      <c r="W247" s="2"/>
      <c r="X247" s="2"/>
      <c r="Y247" s="2"/>
    </row>
    <row r="248" spans="17:26">
      <c r="Q248" s="2" t="s">
        <v>278</v>
      </c>
      <c r="R248" s="2" t="s">
        <v>331</v>
      </c>
      <c r="S248" s="4" t="s">
        <v>280</v>
      </c>
      <c r="T248" s="5">
        <v>1</v>
      </c>
      <c r="U248" s="4" t="s">
        <v>281</v>
      </c>
      <c r="V248" s="5">
        <f>T248</f>
        <v>1</v>
      </c>
      <c r="W248" s="2" t="s">
        <v>282</v>
      </c>
      <c r="Y248" s="4" t="s">
        <v>154</v>
      </c>
      <c r="Z248" s="6">
        <f>Z252</f>
        <v>169.49</v>
      </c>
    </row>
    <row r="249" spans="17:26">
      <c r="Q249" s="2" t="s">
        <v>283</v>
      </c>
      <c r="R249" s="2" t="s">
        <v>284</v>
      </c>
      <c r="V249" s="4" t="s">
        <v>122</v>
      </c>
      <c r="W249" s="4" t="s">
        <v>285</v>
      </c>
      <c r="X249" s="4" t="s">
        <v>286</v>
      </c>
      <c r="Y249" s="4" t="s">
        <v>287</v>
      </c>
      <c r="Z249" s="4" t="s">
        <v>288</v>
      </c>
    </row>
    <row r="250" spans="17:26">
      <c r="R250" s="7" t="s">
        <v>653</v>
      </c>
    </row>
    <row r="251" spans="17:26">
      <c r="R251" t="s">
        <v>1262</v>
      </c>
      <c r="V251" s="8" t="s">
        <v>154</v>
      </c>
      <c r="W251" s="9"/>
      <c r="X251" s="10">
        <v>1</v>
      </c>
      <c r="Y251" s="12">
        <v>169.49</v>
      </c>
      <c r="Z251" s="12">
        <f>X251*Y251</f>
        <v>169.49</v>
      </c>
    </row>
    <row r="252" spans="17:26">
      <c r="Q252" s="14"/>
      <c r="R252" s="14"/>
      <c r="S252" s="14"/>
      <c r="T252" s="14"/>
      <c r="U252" s="14"/>
      <c r="V252" s="14"/>
      <c r="W252" s="14"/>
      <c r="X252" s="14"/>
      <c r="Y252" s="14"/>
      <c r="Z252" s="16">
        <f>SUM(Z251)</f>
        <v>169.49</v>
      </c>
    </row>
    <row r="253" spans="17:26" ht="16.5" customHeight="1"/>
    <row r="254" spans="17:26">
      <c r="Q254" s="2" t="s">
        <v>333</v>
      </c>
      <c r="R254" s="2"/>
      <c r="S254" s="2" t="s">
        <v>1263</v>
      </c>
      <c r="T254" s="2"/>
      <c r="U254" s="2"/>
      <c r="V254" s="2"/>
      <c r="W254" s="2"/>
      <c r="X254" s="2"/>
      <c r="Y254" s="2"/>
    </row>
    <row r="255" spans="17:26">
      <c r="Q255" s="2" t="s">
        <v>278</v>
      </c>
      <c r="R255" s="2" t="s">
        <v>279</v>
      </c>
      <c r="S255" s="4" t="s">
        <v>280</v>
      </c>
      <c r="T255" s="5">
        <v>300</v>
      </c>
      <c r="U255" s="4" t="s">
        <v>281</v>
      </c>
      <c r="V255" s="5">
        <f>T255</f>
        <v>300</v>
      </c>
      <c r="W255" s="2" t="s">
        <v>282</v>
      </c>
      <c r="Y255" s="4" t="s">
        <v>133</v>
      </c>
      <c r="Z255" s="6">
        <f>Z259+Z262</f>
        <v>1.14856</v>
      </c>
    </row>
    <row r="256" spans="17:26">
      <c r="Q256" s="2" t="s">
        <v>283</v>
      </c>
      <c r="R256" s="2" t="s">
        <v>284</v>
      </c>
      <c r="V256" s="4" t="s">
        <v>122</v>
      </c>
      <c r="W256" s="4" t="s">
        <v>285</v>
      </c>
      <c r="X256" s="4" t="s">
        <v>286</v>
      </c>
      <c r="Y256" s="4" t="s">
        <v>287</v>
      </c>
      <c r="Z256" s="4" t="s">
        <v>288</v>
      </c>
    </row>
    <row r="257" spans="17:26">
      <c r="R257" s="7" t="s">
        <v>289</v>
      </c>
    </row>
    <row r="258" spans="17:26">
      <c r="R258" t="s">
        <v>293</v>
      </c>
      <c r="V258" s="8" t="s">
        <v>291</v>
      </c>
      <c r="W258" s="9">
        <v>2</v>
      </c>
      <c r="X258" s="10">
        <f>W258*8/$T$255</f>
        <v>5.3333333333333337E-2</v>
      </c>
      <c r="Y258" s="12">
        <v>20.51</v>
      </c>
      <c r="Z258" s="12">
        <f>X258*Y258</f>
        <v>1.0938666666666668</v>
      </c>
    </row>
    <row r="259" spans="17:26">
      <c r="Z259" s="6">
        <f>SUM(Z258)</f>
        <v>1.0938666666666668</v>
      </c>
    </row>
    <row r="260" spans="17:26">
      <c r="R260" s="7" t="s">
        <v>317</v>
      </c>
    </row>
    <row r="261" spans="17:26">
      <c r="R261" t="s">
        <v>310</v>
      </c>
      <c r="V261" s="8" t="s">
        <v>311</v>
      </c>
      <c r="X261" s="10">
        <v>5</v>
      </c>
      <c r="Y261" s="12">
        <f>Z258</f>
        <v>1.0938666666666668</v>
      </c>
      <c r="Z261" s="12">
        <f>X261%*Y261</f>
        <v>5.4693333333333344E-2</v>
      </c>
    </row>
    <row r="262" spans="17:26">
      <c r="Q262" s="14"/>
      <c r="R262" s="14"/>
      <c r="S262" s="14"/>
      <c r="T262" s="14"/>
      <c r="U262" s="14"/>
      <c r="V262" s="14"/>
      <c r="W262" s="14"/>
      <c r="X262" s="14"/>
      <c r="Y262" s="14"/>
      <c r="Z262" s="16">
        <f>SUM(Z261)</f>
        <v>5.4693333333333344E-2</v>
      </c>
    </row>
    <row r="264" spans="17:26">
      <c r="Q264" s="2" t="s">
        <v>333</v>
      </c>
      <c r="R264" s="2"/>
      <c r="S264" s="2" t="s">
        <v>335</v>
      </c>
      <c r="T264" s="2"/>
      <c r="U264" s="2"/>
      <c r="V264" s="2"/>
      <c r="W264" s="2"/>
      <c r="X264" s="2"/>
      <c r="Y264" s="2"/>
    </row>
    <row r="265" spans="17:26">
      <c r="Q265" s="2" t="s">
        <v>278</v>
      </c>
      <c r="R265" s="2" t="s">
        <v>279</v>
      </c>
      <c r="S265" s="4" t="s">
        <v>280</v>
      </c>
      <c r="T265" s="5">
        <v>450</v>
      </c>
      <c r="U265" s="4" t="s">
        <v>281</v>
      </c>
      <c r="V265" s="5">
        <f>T265</f>
        <v>450</v>
      </c>
      <c r="W265" s="2" t="s">
        <v>282</v>
      </c>
      <c r="Y265" s="4" t="s">
        <v>133</v>
      </c>
      <c r="Z265" s="6">
        <f>Z269+Z273</f>
        <v>1.3594755555555555</v>
      </c>
    </row>
    <row r="266" spans="17:26">
      <c r="Q266" s="2" t="s">
        <v>283</v>
      </c>
      <c r="R266" s="2" t="s">
        <v>284</v>
      </c>
      <c r="V266" s="4" t="s">
        <v>122</v>
      </c>
      <c r="W266" s="4" t="s">
        <v>285</v>
      </c>
      <c r="X266" s="4" t="s">
        <v>286</v>
      </c>
      <c r="Y266" s="4" t="s">
        <v>287</v>
      </c>
      <c r="Z266" s="4" t="s">
        <v>288</v>
      </c>
    </row>
    <row r="267" spans="17:26">
      <c r="R267" s="7" t="s">
        <v>289</v>
      </c>
    </row>
    <row r="268" spans="17:26">
      <c r="R268" t="s">
        <v>293</v>
      </c>
      <c r="V268" s="8" t="s">
        <v>291</v>
      </c>
      <c r="W268" s="9">
        <v>3</v>
      </c>
      <c r="X268" s="10">
        <f>W268*8/$T$265</f>
        <v>5.3333333333333337E-2</v>
      </c>
      <c r="Y268" s="12">
        <v>20.51</v>
      </c>
      <c r="Z268" s="12">
        <f>X268*Y268</f>
        <v>1.0938666666666668</v>
      </c>
    </row>
    <row r="269" spans="17:26">
      <c r="Z269" s="6">
        <f>SUM(Z268)</f>
        <v>1.0938666666666668</v>
      </c>
    </row>
    <row r="270" spans="17:26">
      <c r="R270" s="7" t="s">
        <v>317</v>
      </c>
    </row>
    <row r="271" spans="17:26">
      <c r="R271" t="s">
        <v>336</v>
      </c>
      <c r="V271" s="8" t="s">
        <v>337</v>
      </c>
      <c r="W271" s="9">
        <v>0.1</v>
      </c>
      <c r="X271" s="10">
        <f>W271*8/$T$265</f>
        <v>1.7777777777777779E-3</v>
      </c>
      <c r="Y271" s="12">
        <v>118.64</v>
      </c>
      <c r="Z271" s="12">
        <f>X271*Y271</f>
        <v>0.21091555555555558</v>
      </c>
    </row>
    <row r="272" spans="17:26">
      <c r="R272" t="s">
        <v>310</v>
      </c>
      <c r="V272" s="8" t="s">
        <v>311</v>
      </c>
      <c r="X272" s="10">
        <v>5</v>
      </c>
      <c r="Y272" s="12">
        <f>Z268</f>
        <v>1.0938666666666668</v>
      </c>
      <c r="Z272" s="12">
        <f>X272%*Y272</f>
        <v>5.4693333333333344E-2</v>
      </c>
    </row>
    <row r="273" spans="17:26">
      <c r="Q273" s="14"/>
      <c r="R273" s="14"/>
      <c r="S273" s="14"/>
      <c r="T273" s="14"/>
      <c r="U273" s="14"/>
      <c r="V273" s="14"/>
      <c r="W273" s="14"/>
      <c r="X273" s="14"/>
      <c r="Y273" s="14"/>
      <c r="Z273" s="16">
        <f>SUM(Z271:Z272)</f>
        <v>0.26560888888888889</v>
      </c>
    </row>
    <row r="275" spans="17:26">
      <c r="Q275" s="2" t="s">
        <v>333</v>
      </c>
      <c r="R275" s="2"/>
      <c r="S275" s="2" t="s">
        <v>1264</v>
      </c>
      <c r="T275" s="2"/>
      <c r="U275" s="2"/>
      <c r="V275" s="2"/>
      <c r="W275" s="2"/>
      <c r="X275" s="2"/>
      <c r="Y275" s="2"/>
    </row>
    <row r="276" spans="17:26">
      <c r="Q276" s="2" t="s">
        <v>278</v>
      </c>
      <c r="R276" s="2" t="s">
        <v>331</v>
      </c>
      <c r="S276" s="4" t="s">
        <v>280</v>
      </c>
      <c r="T276" s="5">
        <v>1</v>
      </c>
      <c r="U276" s="4" t="s">
        <v>281</v>
      </c>
      <c r="V276" s="5">
        <f>T276</f>
        <v>1</v>
      </c>
      <c r="W276" s="2" t="s">
        <v>282</v>
      </c>
      <c r="Y276" s="4" t="s">
        <v>154</v>
      </c>
      <c r="Z276" s="6">
        <f>Z280</f>
        <v>43125.47</v>
      </c>
    </row>
    <row r="277" spans="17:26">
      <c r="Q277" s="2" t="s">
        <v>283</v>
      </c>
      <c r="R277" s="2" t="s">
        <v>284</v>
      </c>
      <c r="V277" s="4" t="s">
        <v>122</v>
      </c>
      <c r="W277" s="4" t="s">
        <v>285</v>
      </c>
      <c r="X277" s="4" t="s">
        <v>286</v>
      </c>
      <c r="Y277" s="4" t="s">
        <v>287</v>
      </c>
      <c r="Z277" s="4" t="s">
        <v>288</v>
      </c>
    </row>
    <row r="278" spans="17:26">
      <c r="R278" s="7" t="s">
        <v>653</v>
      </c>
    </row>
    <row r="279" spans="17:26">
      <c r="R279" t="s">
        <v>1264</v>
      </c>
      <c r="V279" s="8" t="s">
        <v>154</v>
      </c>
      <c r="W279" s="9"/>
      <c r="X279" s="10">
        <v>1</v>
      </c>
      <c r="Y279" s="12">
        <v>43125.47</v>
      </c>
      <c r="Z279" s="12">
        <f>X279*Y279</f>
        <v>43125.47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16">
        <f>SUM(Z279)</f>
        <v>43125.47</v>
      </c>
    </row>
    <row r="282" spans="17:26">
      <c r="Q282" s="2" t="s">
        <v>333</v>
      </c>
      <c r="R282" s="2"/>
      <c r="S282" s="2" t="s">
        <v>174</v>
      </c>
      <c r="T282" s="2"/>
      <c r="U282" s="2"/>
      <c r="V282" s="2"/>
      <c r="W282" s="2"/>
      <c r="X282" s="2"/>
      <c r="Y282" s="2"/>
    </row>
    <row r="283" spans="17:26">
      <c r="Q283" s="2" t="s">
        <v>278</v>
      </c>
      <c r="R283" s="2" t="s">
        <v>331</v>
      </c>
      <c r="S283" s="4" t="s">
        <v>280</v>
      </c>
      <c r="T283" s="5">
        <v>1</v>
      </c>
      <c r="U283" s="4" t="s">
        <v>281</v>
      </c>
      <c r="V283" s="5">
        <f>T283</f>
        <v>1</v>
      </c>
      <c r="W283" s="2" t="s">
        <v>282</v>
      </c>
      <c r="Y283" s="4" t="s">
        <v>154</v>
      </c>
      <c r="Z283" s="6">
        <f>Z287+Z293+Z298</f>
        <v>211429.51484666669</v>
      </c>
    </row>
    <row r="284" spans="17:26">
      <c r="Q284" s="2" t="s">
        <v>283</v>
      </c>
      <c r="R284" s="2" t="s">
        <v>284</v>
      </c>
      <c r="V284" s="4" t="s">
        <v>122</v>
      </c>
      <c r="W284" s="4" t="s">
        <v>285</v>
      </c>
      <c r="X284" s="4" t="s">
        <v>286</v>
      </c>
      <c r="Y284" s="4" t="s">
        <v>287</v>
      </c>
      <c r="Z284" s="4" t="s">
        <v>288</v>
      </c>
    </row>
    <row r="285" spans="17:26">
      <c r="R285" s="7" t="s">
        <v>653</v>
      </c>
    </row>
    <row r="286" spans="17:26">
      <c r="R286" t="s">
        <v>174</v>
      </c>
      <c r="V286" s="8" t="s">
        <v>154</v>
      </c>
      <c r="W286" s="9"/>
      <c r="X286" s="10">
        <v>1</v>
      </c>
      <c r="Y286" s="12">
        <v>211429.09</v>
      </c>
      <c r="Z286" s="12">
        <f>X286*Y286</f>
        <v>211429.09</v>
      </c>
    </row>
    <row r="287" spans="17:26">
      <c r="Q287" s="14"/>
      <c r="R287" s="14"/>
      <c r="S287" s="14"/>
      <c r="T287" s="14"/>
      <c r="U287" s="14"/>
      <c r="V287" s="14"/>
      <c r="W287" s="14"/>
      <c r="X287" s="14"/>
      <c r="Y287" s="14"/>
      <c r="Z287" s="16">
        <f>SUM(Z286)</f>
        <v>211429.09</v>
      </c>
    </row>
    <row r="289" spans="17:26">
      <c r="Q289" s="2" t="s">
        <v>333</v>
      </c>
      <c r="R289" s="2"/>
      <c r="S289" s="2" t="s">
        <v>178</v>
      </c>
      <c r="T289" s="2"/>
      <c r="U289" s="2"/>
      <c r="V289" s="2"/>
      <c r="W289" s="2"/>
      <c r="X289" s="2"/>
      <c r="Y289" s="2"/>
    </row>
    <row r="290" spans="17:26">
      <c r="Q290" s="2" t="s">
        <v>278</v>
      </c>
      <c r="R290" s="2" t="s">
        <v>279</v>
      </c>
      <c r="S290" s="4" t="s">
        <v>280</v>
      </c>
      <c r="T290" s="5">
        <v>600</v>
      </c>
      <c r="U290" s="4" t="s">
        <v>281</v>
      </c>
      <c r="V290" s="5">
        <f>T290</f>
        <v>600</v>
      </c>
      <c r="W290" s="2" t="s">
        <v>282</v>
      </c>
      <c r="Y290" s="4" t="s">
        <v>133</v>
      </c>
      <c r="Z290" s="6">
        <f>Z295+Z302+Z307</f>
        <v>3.9762599999999999</v>
      </c>
    </row>
    <row r="291" spans="17:26">
      <c r="Q291" s="2" t="s">
        <v>283</v>
      </c>
      <c r="R291" s="2" t="s">
        <v>284</v>
      </c>
      <c r="V291" s="4" t="s">
        <v>122</v>
      </c>
      <c r="W291" s="4" t="s">
        <v>285</v>
      </c>
      <c r="X291" s="4" t="s">
        <v>286</v>
      </c>
      <c r="Y291" s="4" t="s">
        <v>287</v>
      </c>
      <c r="Z291" s="4" t="s">
        <v>288</v>
      </c>
    </row>
    <row r="292" spans="17:26">
      <c r="R292" s="7" t="s">
        <v>289</v>
      </c>
    </row>
    <row r="293" spans="17:26">
      <c r="R293" t="s">
        <v>290</v>
      </c>
      <c r="V293" s="8" t="s">
        <v>291</v>
      </c>
      <c r="W293" s="9">
        <v>1</v>
      </c>
      <c r="X293" s="10">
        <f>W293*8/$T$290</f>
        <v>1.3333333333333334E-2</v>
      </c>
      <c r="Y293" s="12">
        <v>28.94</v>
      </c>
      <c r="Z293" s="12">
        <f>X293*Y293</f>
        <v>0.38586666666666669</v>
      </c>
    </row>
    <row r="294" spans="17:26">
      <c r="R294" t="s">
        <v>293</v>
      </c>
      <c r="V294" s="8" t="s">
        <v>291</v>
      </c>
      <c r="W294" s="9">
        <v>3</v>
      </c>
      <c r="X294" s="10">
        <f>W294*8/$T$290</f>
        <v>0.04</v>
      </c>
      <c r="Y294" s="12">
        <v>20.51</v>
      </c>
      <c r="Z294" s="12">
        <f>X294*Y294</f>
        <v>0.82040000000000013</v>
      </c>
    </row>
    <row r="295" spans="17:26">
      <c r="Z295" s="6">
        <f>SUM(Z293:Z294)</f>
        <v>1.2062666666666668</v>
      </c>
    </row>
    <row r="296" spans="17:26">
      <c r="R296" s="7" t="s">
        <v>294</v>
      </c>
    </row>
    <row r="297" spans="17:26">
      <c r="R297" t="s">
        <v>301</v>
      </c>
      <c r="V297" s="8" t="s">
        <v>296</v>
      </c>
      <c r="X297" s="10">
        <v>0.01</v>
      </c>
      <c r="Y297" s="12">
        <v>5.51</v>
      </c>
      <c r="Z297" s="12">
        <f>X297*Y297</f>
        <v>5.5099999999999996E-2</v>
      </c>
    </row>
    <row r="298" spans="17:26">
      <c r="R298" t="s">
        <v>338</v>
      </c>
      <c r="V298" s="8" t="s">
        <v>339</v>
      </c>
      <c r="X298" s="10">
        <v>1E-3</v>
      </c>
      <c r="Y298" s="12">
        <v>38.979999999999997</v>
      </c>
      <c r="Z298" s="12">
        <f>X298*Y298</f>
        <v>3.8980000000000001E-2</v>
      </c>
    </row>
    <row r="299" spans="17:26">
      <c r="R299" t="s">
        <v>340</v>
      </c>
      <c r="V299" s="8" t="s">
        <v>307</v>
      </c>
      <c r="X299" s="10">
        <v>0.02</v>
      </c>
      <c r="Y299" s="12">
        <v>11.86</v>
      </c>
      <c r="Z299" s="12">
        <f>X299*Y299</f>
        <v>0.23719999999999999</v>
      </c>
    </row>
    <row r="300" spans="17:26">
      <c r="R300" t="s">
        <v>341</v>
      </c>
      <c r="V300" s="8" t="s">
        <v>144</v>
      </c>
      <c r="X300" s="10">
        <v>0.19</v>
      </c>
      <c r="Y300" s="12">
        <v>10</v>
      </c>
      <c r="Z300" s="12">
        <f>X300*Y300</f>
        <v>1.9</v>
      </c>
    </row>
    <row r="301" spans="17:26">
      <c r="R301" t="s">
        <v>308</v>
      </c>
      <c r="V301" s="8" t="s">
        <v>305</v>
      </c>
      <c r="X301" s="10">
        <v>0.02</v>
      </c>
      <c r="Y301" s="12">
        <v>5.8</v>
      </c>
      <c r="Z301" s="12">
        <f>X301*Y301</f>
        <v>0.11599999999999999</v>
      </c>
    </row>
    <row r="302" spans="17:26">
      <c r="V302" s="8"/>
      <c r="Z302" s="6">
        <f>SUM(Z297:Z301)</f>
        <v>2.34728</v>
      </c>
    </row>
    <row r="303" spans="17:26">
      <c r="R303" s="7" t="s">
        <v>317</v>
      </c>
    </row>
    <row r="304" spans="17:26">
      <c r="R304" t="s">
        <v>310</v>
      </c>
      <c r="V304" s="8" t="s">
        <v>311</v>
      </c>
      <c r="X304" s="10">
        <v>5</v>
      </c>
      <c r="Y304" s="12">
        <f>Z295</f>
        <v>1.2062666666666668</v>
      </c>
      <c r="Z304" s="12">
        <f>X304%*Y304</f>
        <v>6.0313333333333344E-2</v>
      </c>
    </row>
    <row r="305" spans="17:26">
      <c r="R305" t="s">
        <v>342</v>
      </c>
      <c r="V305" s="8" t="s">
        <v>337</v>
      </c>
      <c r="W305" s="9">
        <v>1</v>
      </c>
      <c r="X305" s="10">
        <f>W305*8/$T$310</f>
        <v>1.3333333333333334E-2</v>
      </c>
      <c r="Y305" s="12">
        <v>20</v>
      </c>
      <c r="Z305" s="12">
        <f>X305*Y305</f>
        <v>0.26666666666666666</v>
      </c>
    </row>
    <row r="306" spans="17:26">
      <c r="R306" t="s">
        <v>343</v>
      </c>
      <c r="V306" s="8" t="s">
        <v>337</v>
      </c>
      <c r="W306" s="9">
        <v>1</v>
      </c>
      <c r="X306" s="10">
        <f>W306*8/$T$310</f>
        <v>1.3333333333333334E-2</v>
      </c>
      <c r="Y306" s="12">
        <v>7.18</v>
      </c>
      <c r="Z306" s="12">
        <f>X306*Y306</f>
        <v>9.5733333333333337E-2</v>
      </c>
    </row>
    <row r="307" spans="17:26">
      <c r="Q307" s="14"/>
      <c r="R307" s="14"/>
      <c r="S307" s="14"/>
      <c r="T307" s="14"/>
      <c r="U307" s="14"/>
      <c r="V307" s="14"/>
      <c r="W307" s="14"/>
      <c r="X307" s="14"/>
      <c r="Y307" s="14"/>
      <c r="Z307" s="16">
        <f>SUM(Z304:Z306)</f>
        <v>0.42271333333333333</v>
      </c>
    </row>
    <row r="309" spans="17:26">
      <c r="Q309" s="2" t="s">
        <v>333</v>
      </c>
      <c r="R309" s="2"/>
      <c r="S309" s="2" t="s">
        <v>344</v>
      </c>
      <c r="T309" s="2"/>
      <c r="U309" s="2"/>
      <c r="V309" s="2"/>
      <c r="W309" s="2"/>
      <c r="X309" s="2"/>
      <c r="Y309" s="2"/>
    </row>
    <row r="310" spans="17:26">
      <c r="Q310" s="2" t="s">
        <v>278</v>
      </c>
      <c r="R310" s="2" t="s">
        <v>279</v>
      </c>
      <c r="S310" s="4" t="s">
        <v>280</v>
      </c>
      <c r="T310" s="5">
        <v>600</v>
      </c>
      <c r="U310" s="4" t="s">
        <v>281</v>
      </c>
      <c r="V310" s="5">
        <f>T310</f>
        <v>600</v>
      </c>
      <c r="W310" s="2" t="s">
        <v>282</v>
      </c>
      <c r="Y310" s="4" t="s">
        <v>133</v>
      </c>
      <c r="Z310" s="6">
        <f>Z315+Z321+Z326</f>
        <v>4.26553</v>
      </c>
    </row>
    <row r="311" spans="17:26">
      <c r="Q311" s="2" t="s">
        <v>283</v>
      </c>
      <c r="R311" s="2" t="s">
        <v>284</v>
      </c>
      <c r="V311" s="4" t="s">
        <v>122</v>
      </c>
      <c r="W311" s="4" t="s">
        <v>285</v>
      </c>
      <c r="X311" s="4" t="s">
        <v>286</v>
      </c>
      <c r="Y311" s="4" t="s">
        <v>287</v>
      </c>
      <c r="Z311" s="4" t="s">
        <v>288</v>
      </c>
    </row>
    <row r="312" spans="17:26">
      <c r="R312" s="7" t="s">
        <v>289</v>
      </c>
    </row>
    <row r="313" spans="17:26">
      <c r="R313" t="s">
        <v>290</v>
      </c>
      <c r="V313" s="8" t="s">
        <v>291</v>
      </c>
      <c r="W313" s="9">
        <v>1</v>
      </c>
      <c r="X313" s="10">
        <f>W313*8/$T$310</f>
        <v>1.3333333333333334E-2</v>
      </c>
      <c r="Y313" s="12">
        <v>28.94</v>
      </c>
      <c r="Z313" s="12">
        <f>X313*Y313</f>
        <v>0.38586666666666669</v>
      </c>
    </row>
    <row r="314" spans="17:26">
      <c r="R314" t="s">
        <v>293</v>
      </c>
      <c r="V314" s="8" t="s">
        <v>291</v>
      </c>
      <c r="W314" s="9">
        <v>3</v>
      </c>
      <c r="X314" s="10">
        <f>W314*8/$T$310</f>
        <v>0.04</v>
      </c>
      <c r="Y314" s="12">
        <v>20.51</v>
      </c>
      <c r="Z314" s="12">
        <f>X314*Y314</f>
        <v>0.82040000000000013</v>
      </c>
    </row>
    <row r="315" spans="17:26">
      <c r="Z315" s="6">
        <f>SUM(Z313:Z314)</f>
        <v>1.2062666666666668</v>
      </c>
    </row>
    <row r="316" spans="17:26">
      <c r="R316" s="7" t="s">
        <v>294</v>
      </c>
    </row>
    <row r="317" spans="17:26">
      <c r="R317" t="s">
        <v>301</v>
      </c>
      <c r="V317" s="8" t="s">
        <v>296</v>
      </c>
      <c r="X317" s="10">
        <v>5.0000000000000001E-3</v>
      </c>
      <c r="Y317" s="12">
        <v>5.51</v>
      </c>
      <c r="Z317" s="12">
        <f>X317*Y317</f>
        <v>2.7549999999999998E-2</v>
      </c>
    </row>
    <row r="318" spans="17:26">
      <c r="R318" t="s">
        <v>340</v>
      </c>
      <c r="V318" s="8" t="s">
        <v>307</v>
      </c>
      <c r="X318" s="10">
        <v>0.05</v>
      </c>
      <c r="Y318" s="12">
        <v>11.86</v>
      </c>
      <c r="Z318" s="12">
        <f>X318*Y318</f>
        <v>0.59299999999999997</v>
      </c>
    </row>
    <row r="319" spans="17:26">
      <c r="R319" t="s">
        <v>341</v>
      </c>
      <c r="V319" s="8" t="s">
        <v>144</v>
      </c>
      <c r="X319" s="10">
        <v>0.19</v>
      </c>
      <c r="Y319" s="12">
        <v>10</v>
      </c>
      <c r="Z319" s="12">
        <f>X319*Y319</f>
        <v>1.9</v>
      </c>
    </row>
    <row r="320" spans="17:26">
      <c r="R320" t="s">
        <v>308</v>
      </c>
      <c r="V320" s="8" t="s">
        <v>305</v>
      </c>
      <c r="X320" s="10">
        <v>0.02</v>
      </c>
      <c r="Y320" s="12">
        <v>5.8</v>
      </c>
      <c r="Z320" s="12">
        <f>X320*Y320</f>
        <v>0.11599999999999999</v>
      </c>
    </row>
    <row r="321" spans="17:35">
      <c r="V321" s="8"/>
      <c r="Z321" s="6">
        <f>SUM(Z317:Z320)</f>
        <v>2.6365500000000002</v>
      </c>
    </row>
    <row r="322" spans="17:35">
      <c r="R322" s="7" t="s">
        <v>317</v>
      </c>
    </row>
    <row r="323" spans="17:35">
      <c r="R323" t="s">
        <v>310</v>
      </c>
      <c r="V323" s="8" t="s">
        <v>311</v>
      </c>
      <c r="X323" s="10">
        <v>5</v>
      </c>
      <c r="Y323" s="12">
        <f>Z315</f>
        <v>1.2062666666666668</v>
      </c>
      <c r="Z323" s="12">
        <f>X323%*Y323</f>
        <v>6.0313333333333344E-2</v>
      </c>
    </row>
    <row r="324" spans="17:35">
      <c r="R324" t="s">
        <v>342</v>
      </c>
      <c r="V324" s="8" t="s">
        <v>337</v>
      </c>
      <c r="W324" s="9">
        <v>1</v>
      </c>
      <c r="X324" s="10">
        <f>W324*8/$T$310</f>
        <v>1.3333333333333334E-2</v>
      </c>
      <c r="Y324" s="12">
        <v>20</v>
      </c>
      <c r="Z324" s="12">
        <f>X324*Y324</f>
        <v>0.26666666666666666</v>
      </c>
    </row>
    <row r="325" spans="17:35">
      <c r="R325" t="s">
        <v>343</v>
      </c>
      <c r="V325" s="8" t="s">
        <v>337</v>
      </c>
      <c r="W325" s="9">
        <v>1</v>
      </c>
      <c r="X325" s="10">
        <f>W325*8/$T$310</f>
        <v>1.3333333333333334E-2</v>
      </c>
      <c r="Y325" s="12">
        <v>7.18</v>
      </c>
      <c r="Z325" s="12">
        <f>X325*Y325</f>
        <v>9.5733333333333337E-2</v>
      </c>
    </row>
    <row r="326" spans="17:35">
      <c r="Q326" s="14"/>
      <c r="R326" s="14"/>
      <c r="S326" s="14"/>
      <c r="T326" s="14"/>
      <c r="U326" s="14"/>
      <c r="V326" s="14"/>
      <c r="W326" s="14"/>
      <c r="X326" s="14"/>
      <c r="Y326" s="14"/>
      <c r="Z326" s="16">
        <f>SUM(Z323:Z325)</f>
        <v>0.42271333333333333</v>
      </c>
    </row>
    <row r="328" spans="17:35">
      <c r="Q328" s="2" t="s">
        <v>333</v>
      </c>
      <c r="R328" s="2"/>
      <c r="S328" s="2" t="s">
        <v>1265</v>
      </c>
      <c r="T328" s="2"/>
      <c r="U328" s="2"/>
      <c r="V328" s="2"/>
      <c r="W328" s="2"/>
      <c r="X328" s="2"/>
      <c r="Y328" s="2"/>
    </row>
    <row r="329" spans="17:35">
      <c r="Q329" s="2" t="s">
        <v>278</v>
      </c>
      <c r="R329" s="2" t="s">
        <v>346</v>
      </c>
      <c r="S329" s="4" t="s">
        <v>280</v>
      </c>
      <c r="T329" s="5">
        <v>1</v>
      </c>
      <c r="U329" s="4" t="s">
        <v>281</v>
      </c>
      <c r="V329" s="5">
        <f>T329</f>
        <v>1</v>
      </c>
      <c r="W329" s="2" t="s">
        <v>282</v>
      </c>
      <c r="Y329" s="4" t="s">
        <v>347</v>
      </c>
      <c r="Z329" s="6">
        <f>Z352</f>
        <v>41043.350000000006</v>
      </c>
    </row>
    <row r="330" spans="17:35">
      <c r="Q330" s="2" t="s">
        <v>283</v>
      </c>
      <c r="R330" s="2" t="s">
        <v>284</v>
      </c>
      <c r="V330" s="4" t="s">
        <v>122</v>
      </c>
      <c r="W330" s="4" t="s">
        <v>285</v>
      </c>
      <c r="X330" s="4" t="s">
        <v>286</v>
      </c>
      <c r="Y330" s="4" t="s">
        <v>287</v>
      </c>
      <c r="Z330" s="4" t="s">
        <v>288</v>
      </c>
    </row>
    <row r="331" spans="17:35">
      <c r="R331" s="7" t="s">
        <v>294</v>
      </c>
    </row>
    <row r="332" spans="17:35">
      <c r="R332" t="s">
        <v>348</v>
      </c>
      <c r="V332" s="8" t="s">
        <v>149</v>
      </c>
      <c r="W332" s="9"/>
      <c r="X332" s="10">
        <v>20</v>
      </c>
      <c r="Y332">
        <v>394.07</v>
      </c>
      <c r="Z332" s="12">
        <f>X332*Y332</f>
        <v>7881.4</v>
      </c>
      <c r="AH332" s="29"/>
    </row>
    <row r="333" spans="17:35">
      <c r="R333" t="s">
        <v>349</v>
      </c>
      <c r="V333" s="8" t="s">
        <v>350</v>
      </c>
      <c r="X333" s="10">
        <v>40</v>
      </c>
      <c r="Y333">
        <v>50.76</v>
      </c>
      <c r="Z333" s="12">
        <f>X333*Y333</f>
        <v>2030.3999999999999</v>
      </c>
    </row>
    <row r="334" spans="17:35">
      <c r="R334" t="s">
        <v>351</v>
      </c>
      <c r="V334" s="8" t="s">
        <v>149</v>
      </c>
      <c r="X334" s="10">
        <v>120</v>
      </c>
      <c r="Y334">
        <v>32.200000000000003</v>
      </c>
      <c r="Z334" s="12">
        <f>X334*Y334</f>
        <v>3864.0000000000005</v>
      </c>
    </row>
    <row r="335" spans="17:35">
      <c r="R335" t="s">
        <v>352</v>
      </c>
      <c r="V335" s="8" t="s">
        <v>149</v>
      </c>
      <c r="X335" s="10">
        <v>120</v>
      </c>
      <c r="Y335">
        <v>32.200000000000003</v>
      </c>
      <c r="Z335" s="12">
        <f>X335*Y335</f>
        <v>3864.0000000000005</v>
      </c>
      <c r="AI335" s="29"/>
    </row>
    <row r="336" spans="17:35">
      <c r="R336" t="s">
        <v>353</v>
      </c>
      <c r="V336" s="8" t="s">
        <v>350</v>
      </c>
      <c r="X336" s="10">
        <v>112</v>
      </c>
      <c r="Y336">
        <v>11.86</v>
      </c>
      <c r="Z336" s="12">
        <f>X336*Y336</f>
        <v>1328.32</v>
      </c>
    </row>
    <row r="337" spans="17:34">
      <c r="R337" t="s">
        <v>354</v>
      </c>
      <c r="V337" s="8" t="s">
        <v>350</v>
      </c>
      <c r="X337" s="10">
        <v>40</v>
      </c>
      <c r="Y337">
        <v>11.02</v>
      </c>
      <c r="Z337" s="12">
        <f>X337*Y337</f>
        <v>440.79999999999995</v>
      </c>
    </row>
    <row r="338" spans="17:34">
      <c r="R338" t="s">
        <v>355</v>
      </c>
      <c r="V338" s="8" t="s">
        <v>350</v>
      </c>
      <c r="X338" s="10">
        <v>40</v>
      </c>
      <c r="Y338">
        <v>7.63</v>
      </c>
      <c r="Z338" s="12">
        <f>X338*Y338</f>
        <v>305.2</v>
      </c>
    </row>
    <row r="339" spans="17:34">
      <c r="R339" t="s">
        <v>356</v>
      </c>
      <c r="V339" s="8" t="s">
        <v>350</v>
      </c>
      <c r="X339" s="10">
        <v>40</v>
      </c>
      <c r="Y339">
        <v>14.41</v>
      </c>
      <c r="Z339" s="12">
        <f>X339*Y339</f>
        <v>576.4</v>
      </c>
    </row>
    <row r="340" spans="17:34">
      <c r="R340" t="s">
        <v>357</v>
      </c>
      <c r="V340" s="8" t="s">
        <v>350</v>
      </c>
      <c r="X340" s="10">
        <v>4</v>
      </c>
      <c r="Y340">
        <v>80.510000000000005</v>
      </c>
      <c r="Z340" s="12">
        <f>X340*Y340</f>
        <v>322.04000000000002</v>
      </c>
    </row>
    <row r="341" spans="17:34">
      <c r="R341" t="s">
        <v>358</v>
      </c>
      <c r="V341" s="8" t="s">
        <v>149</v>
      </c>
      <c r="X341" s="10">
        <v>3</v>
      </c>
      <c r="Y341">
        <v>233.9</v>
      </c>
      <c r="Z341" s="12">
        <f>X341*Y341</f>
        <v>701.7</v>
      </c>
    </row>
    <row r="342" spans="17:34">
      <c r="R342" t="s">
        <v>359</v>
      </c>
      <c r="V342" s="8" t="s">
        <v>149</v>
      </c>
      <c r="X342" s="10">
        <v>112</v>
      </c>
      <c r="Y342">
        <v>5.93</v>
      </c>
      <c r="Z342" s="12">
        <f>X342*Y342</f>
        <v>664.16</v>
      </c>
    </row>
    <row r="343" spans="17:34">
      <c r="R343" t="s">
        <v>360</v>
      </c>
      <c r="V343" s="8" t="s">
        <v>149</v>
      </c>
      <c r="X343" s="10">
        <v>2</v>
      </c>
      <c r="Y343">
        <v>21.19</v>
      </c>
      <c r="Z343" s="12">
        <f>X343*Y343</f>
        <v>42.38</v>
      </c>
    </row>
    <row r="344" spans="17:34">
      <c r="R344" t="s">
        <v>361</v>
      </c>
      <c r="V344" s="8" t="s">
        <v>362</v>
      </c>
      <c r="X344" s="10">
        <v>4</v>
      </c>
      <c r="Y344">
        <v>21.19</v>
      </c>
      <c r="Z344" s="12">
        <f>X344*Y344</f>
        <v>84.76</v>
      </c>
    </row>
    <row r="345" spans="17:34">
      <c r="R345" t="s">
        <v>363</v>
      </c>
      <c r="V345" s="8" t="s">
        <v>149</v>
      </c>
      <c r="X345" s="10">
        <v>75</v>
      </c>
      <c r="Y345">
        <v>53.31</v>
      </c>
      <c r="Z345" s="12">
        <f>X345*Y345</f>
        <v>3998.25</v>
      </c>
      <c r="AH345" s="29"/>
    </row>
    <row r="346" spans="17:34">
      <c r="R346" t="s">
        <v>364</v>
      </c>
      <c r="V346" s="8" t="s">
        <v>149</v>
      </c>
      <c r="X346" s="10">
        <v>30</v>
      </c>
      <c r="Y346">
        <v>24.49</v>
      </c>
      <c r="Z346" s="12">
        <f>X346*Y346</f>
        <v>734.69999999999993</v>
      </c>
    </row>
    <row r="347" spans="17:34">
      <c r="R347" t="s">
        <v>365</v>
      </c>
      <c r="V347" s="8" t="s">
        <v>149</v>
      </c>
      <c r="X347" s="10">
        <v>20</v>
      </c>
      <c r="Y347">
        <v>33.81</v>
      </c>
      <c r="Z347" s="12">
        <f>X347*Y347</f>
        <v>676.2</v>
      </c>
    </row>
    <row r="348" spans="17:34">
      <c r="R348" t="s">
        <v>366</v>
      </c>
      <c r="V348" s="8" t="s">
        <v>350</v>
      </c>
      <c r="X348" s="10">
        <v>112</v>
      </c>
      <c r="Y348">
        <v>2.54</v>
      </c>
      <c r="Z348" s="12">
        <f>X348*Y348</f>
        <v>284.48</v>
      </c>
    </row>
    <row r="349" spans="17:34">
      <c r="R349" t="s">
        <v>367</v>
      </c>
      <c r="V349" s="8" t="s">
        <v>149</v>
      </c>
      <c r="X349" s="10">
        <v>40</v>
      </c>
      <c r="Y349">
        <v>22.88</v>
      </c>
      <c r="Z349" s="12">
        <f>X349*Y349</f>
        <v>915.19999999999993</v>
      </c>
    </row>
    <row r="350" spans="17:34">
      <c r="R350" t="s">
        <v>368</v>
      </c>
      <c r="V350" s="8" t="s">
        <v>149</v>
      </c>
      <c r="X350" s="10">
        <v>112</v>
      </c>
      <c r="Y350">
        <v>59.32</v>
      </c>
      <c r="Z350" s="12">
        <f>X350*Y350</f>
        <v>6643.84</v>
      </c>
      <c r="AH350" s="29"/>
    </row>
    <row r="351" spans="17:34">
      <c r="R351" t="s">
        <v>369</v>
      </c>
      <c r="V351" s="8" t="s">
        <v>350</v>
      </c>
      <c r="X351" s="10">
        <v>112</v>
      </c>
      <c r="Y351">
        <v>50.76</v>
      </c>
      <c r="Z351" s="12">
        <f>X351*Y351</f>
        <v>5685.12</v>
      </c>
      <c r="AH351" s="29"/>
    </row>
    <row r="352" spans="17:34">
      <c r="Q352" s="14"/>
      <c r="R352" s="14"/>
      <c r="S352" s="14"/>
      <c r="T352" s="14"/>
      <c r="U352" s="14"/>
      <c r="V352" s="44"/>
      <c r="W352" s="45"/>
      <c r="X352" s="46"/>
      <c r="Y352" s="106"/>
      <c r="Z352" s="16">
        <f>SUM(Z332:Z351)</f>
        <v>41043.350000000006</v>
      </c>
    </row>
    <row r="354" spans="17:26">
      <c r="Q354" s="2" t="s">
        <v>333</v>
      </c>
      <c r="R354" s="2"/>
      <c r="S354" s="2" t="s">
        <v>1266</v>
      </c>
      <c r="T354" s="2"/>
      <c r="U354" s="2"/>
      <c r="V354" s="2"/>
      <c r="W354" s="2"/>
      <c r="X354" s="2"/>
      <c r="Y354" s="2"/>
    </row>
    <row r="355" spans="17:26">
      <c r="Q355" s="2" t="s">
        <v>278</v>
      </c>
      <c r="R355" s="2" t="s">
        <v>346</v>
      </c>
      <c r="S355" s="4" t="s">
        <v>280</v>
      </c>
      <c r="T355" s="5">
        <v>1</v>
      </c>
      <c r="U355" s="4" t="s">
        <v>281</v>
      </c>
      <c r="V355" s="5">
        <f>T355</f>
        <v>1</v>
      </c>
      <c r="W355" s="2" t="s">
        <v>282</v>
      </c>
      <c r="Y355" s="4" t="s">
        <v>347</v>
      </c>
      <c r="Z355" s="6">
        <f>Z364</f>
        <v>3824.87</v>
      </c>
    </row>
    <row r="356" spans="17:26">
      <c r="Q356" s="2" t="s">
        <v>283</v>
      </c>
      <c r="R356" s="2" t="s">
        <v>284</v>
      </c>
      <c r="V356" s="4" t="s">
        <v>122</v>
      </c>
      <c r="W356" s="4" t="s">
        <v>285</v>
      </c>
      <c r="X356" s="4" t="s">
        <v>286</v>
      </c>
      <c r="Y356" s="4" t="s">
        <v>287</v>
      </c>
      <c r="Z356" s="4" t="s">
        <v>288</v>
      </c>
    </row>
    <row r="357" spans="17:26">
      <c r="R357" s="7" t="s">
        <v>294</v>
      </c>
    </row>
    <row r="358" spans="17:26">
      <c r="R358" t="s">
        <v>371</v>
      </c>
      <c r="V358" s="8" t="s">
        <v>372</v>
      </c>
      <c r="W358" s="9"/>
      <c r="X358" s="10">
        <v>16</v>
      </c>
      <c r="Y358">
        <v>51.69</v>
      </c>
      <c r="Z358" s="12">
        <f>X358*Y358</f>
        <v>827.04</v>
      </c>
    </row>
    <row r="359" spans="17:26">
      <c r="R359" t="s">
        <v>373</v>
      </c>
      <c r="V359" s="8" t="s">
        <v>149</v>
      </c>
      <c r="X359" s="10">
        <v>15</v>
      </c>
      <c r="Y359">
        <v>66.53</v>
      </c>
      <c r="Z359" s="12">
        <f>X359*Y359</f>
        <v>997.95</v>
      </c>
    </row>
    <row r="360" spans="17:26">
      <c r="R360" t="s">
        <v>374</v>
      </c>
      <c r="V360" s="8" t="s">
        <v>305</v>
      </c>
      <c r="X360" s="10">
        <v>50</v>
      </c>
      <c r="Y360">
        <v>22.03</v>
      </c>
      <c r="Z360" s="12">
        <f>X360*Y360</f>
        <v>1101.5</v>
      </c>
    </row>
    <row r="361" spans="17:26">
      <c r="R361" t="s">
        <v>375</v>
      </c>
      <c r="V361" s="8" t="s">
        <v>372</v>
      </c>
      <c r="X361" s="10">
        <v>10</v>
      </c>
      <c r="Y361">
        <v>62.71</v>
      </c>
      <c r="Z361" s="12">
        <f>X361*Y361</f>
        <v>627.1</v>
      </c>
    </row>
    <row r="362" spans="17:26">
      <c r="R362" t="s">
        <v>376</v>
      </c>
      <c r="V362" s="8" t="s">
        <v>149</v>
      </c>
      <c r="X362" s="10">
        <v>200</v>
      </c>
      <c r="Y362">
        <v>0.17</v>
      </c>
      <c r="Z362" s="12">
        <f>X362*Y362</f>
        <v>34</v>
      </c>
    </row>
    <row r="363" spans="17:26">
      <c r="R363" t="s">
        <v>377</v>
      </c>
      <c r="V363" s="8" t="s">
        <v>372</v>
      </c>
      <c r="X363" s="10">
        <v>2</v>
      </c>
      <c r="Y363">
        <v>118.64</v>
      </c>
      <c r="Z363" s="12">
        <f>X363*Y363</f>
        <v>237.28</v>
      </c>
    </row>
    <row r="364" spans="17:26">
      <c r="Q364" s="14"/>
      <c r="R364" s="14"/>
      <c r="S364" s="14"/>
      <c r="T364" s="14"/>
      <c r="U364" s="14"/>
      <c r="V364" s="44"/>
      <c r="W364" s="45"/>
      <c r="X364" s="46"/>
      <c r="Y364" s="106"/>
      <c r="Z364" s="16">
        <f>SUM(Z358:Z363)</f>
        <v>3824.87</v>
      </c>
    </row>
    <row r="365" spans="17:26">
      <c r="V365" s="8"/>
      <c r="X365" s="10"/>
      <c r="Z365" s="12"/>
    </row>
    <row r="366" spans="17:26">
      <c r="Q366" s="2" t="s">
        <v>333</v>
      </c>
      <c r="R366" s="2"/>
      <c r="S366" s="2" t="s">
        <v>189</v>
      </c>
      <c r="T366" s="2"/>
      <c r="U366" s="2"/>
      <c r="V366" s="2"/>
      <c r="W366" s="2"/>
      <c r="X366" s="2"/>
      <c r="Y366" s="2"/>
    </row>
    <row r="367" spans="17:26">
      <c r="Q367" s="2" t="s">
        <v>278</v>
      </c>
      <c r="R367" s="2" t="s">
        <v>346</v>
      </c>
      <c r="S367" s="4" t="s">
        <v>280</v>
      </c>
      <c r="T367" s="5">
        <v>1</v>
      </c>
      <c r="U367" s="4" t="s">
        <v>281</v>
      </c>
      <c r="V367" s="5">
        <f>T367</f>
        <v>1</v>
      </c>
      <c r="W367" s="2" t="s">
        <v>282</v>
      </c>
      <c r="Y367" s="4" t="s">
        <v>347</v>
      </c>
      <c r="Z367" s="6">
        <f>Z378</f>
        <v>6076.5</v>
      </c>
    </row>
    <row r="368" spans="17:26">
      <c r="Q368" s="2" t="s">
        <v>283</v>
      </c>
      <c r="R368" s="2" t="s">
        <v>284</v>
      </c>
      <c r="V368" s="4" t="s">
        <v>122</v>
      </c>
      <c r="W368" s="4" t="s">
        <v>285</v>
      </c>
      <c r="X368" s="4" t="s">
        <v>286</v>
      </c>
      <c r="Y368" s="4" t="s">
        <v>287</v>
      </c>
      <c r="Z368" s="4" t="s">
        <v>288</v>
      </c>
    </row>
    <row r="369" spans="17:34">
      <c r="R369" s="7" t="s">
        <v>294</v>
      </c>
    </row>
    <row r="370" spans="17:34">
      <c r="R370" t="s">
        <v>378</v>
      </c>
      <c r="V370" s="8" t="s">
        <v>149</v>
      </c>
      <c r="W370" s="9"/>
      <c r="X370" s="10">
        <v>15</v>
      </c>
      <c r="Y370">
        <v>29.66</v>
      </c>
      <c r="Z370" s="12">
        <f>X370*Y370</f>
        <v>444.9</v>
      </c>
      <c r="AC370" s="2"/>
      <c r="AD370" s="2"/>
      <c r="AE370" s="2"/>
      <c r="AF370" s="2"/>
      <c r="AG370" s="2"/>
      <c r="AH370" s="2"/>
    </row>
    <row r="371" spans="17:34">
      <c r="R371" t="s">
        <v>379</v>
      </c>
      <c r="V371" s="8" t="s">
        <v>149</v>
      </c>
      <c r="X371" s="10">
        <v>15</v>
      </c>
      <c r="Y371">
        <v>21.19</v>
      </c>
      <c r="Z371" s="12">
        <f>X371*Y371</f>
        <v>317.85000000000002</v>
      </c>
    </row>
    <row r="372" spans="17:34">
      <c r="R372" t="s">
        <v>380</v>
      </c>
      <c r="V372" s="8" t="s">
        <v>149</v>
      </c>
      <c r="X372" s="10">
        <v>15</v>
      </c>
      <c r="Y372">
        <v>38.14</v>
      </c>
      <c r="Z372" s="12">
        <f>X372*Y372</f>
        <v>572.1</v>
      </c>
    </row>
    <row r="373" spans="17:34">
      <c r="R373" t="s">
        <v>381</v>
      </c>
      <c r="V373" s="8" t="s">
        <v>149</v>
      </c>
      <c r="X373" s="10">
        <v>4</v>
      </c>
      <c r="Y373">
        <v>38.14</v>
      </c>
      <c r="Z373" s="12">
        <f>X373*Y373</f>
        <v>152.56</v>
      </c>
    </row>
    <row r="374" spans="17:34">
      <c r="R374" t="s">
        <v>382</v>
      </c>
      <c r="V374" s="8" t="s">
        <v>149</v>
      </c>
      <c r="X374" s="10">
        <v>4</v>
      </c>
      <c r="Y374">
        <v>29.66</v>
      </c>
      <c r="Z374" s="12">
        <f>X374*Y374</f>
        <v>118.64</v>
      </c>
    </row>
    <row r="375" spans="17:34">
      <c r="R375" t="s">
        <v>383</v>
      </c>
      <c r="V375" s="8" t="s">
        <v>149</v>
      </c>
      <c r="X375" s="10">
        <v>5</v>
      </c>
      <c r="Y375">
        <v>67.8</v>
      </c>
      <c r="Z375" s="12">
        <f>X375*Y375</f>
        <v>339</v>
      </c>
    </row>
    <row r="376" spans="17:34">
      <c r="R376" t="s">
        <v>384</v>
      </c>
      <c r="V376" s="8" t="s">
        <v>149</v>
      </c>
      <c r="X376" s="10">
        <v>15</v>
      </c>
      <c r="Y376">
        <v>21.19</v>
      </c>
      <c r="Z376" s="12">
        <f>X376*Y376</f>
        <v>317.85000000000002</v>
      </c>
    </row>
    <row r="377" spans="17:34">
      <c r="R377" t="s">
        <v>385</v>
      </c>
      <c r="V377" s="8" t="s">
        <v>149</v>
      </c>
      <c r="X377" s="10">
        <v>15</v>
      </c>
      <c r="Y377">
        <v>254.24</v>
      </c>
      <c r="Z377" s="12">
        <f>X377*Y377</f>
        <v>3813.6000000000004</v>
      </c>
    </row>
    <row r="378" spans="17:34">
      <c r="Q378" s="14"/>
      <c r="R378" s="14"/>
      <c r="S378" s="14"/>
      <c r="T378" s="14"/>
      <c r="U378" s="14"/>
      <c r="V378" s="44"/>
      <c r="W378" s="45"/>
      <c r="X378" s="46"/>
      <c r="Y378" s="106"/>
      <c r="Z378" s="16">
        <f>SUM(Z370:Z377)</f>
        <v>6076.5</v>
      </c>
      <c r="AH378" s="29"/>
    </row>
    <row r="380" spans="17:34">
      <c r="Q380" s="2" t="s">
        <v>333</v>
      </c>
      <c r="R380" s="2"/>
      <c r="S380" s="2" t="s">
        <v>191</v>
      </c>
      <c r="T380" s="2"/>
      <c r="U380" s="2"/>
      <c r="V380" s="2"/>
      <c r="W380" s="2"/>
      <c r="X380" s="2"/>
      <c r="Y380" s="2"/>
    </row>
    <row r="381" spans="17:34">
      <c r="Q381" s="2" t="s">
        <v>278</v>
      </c>
      <c r="R381" s="2" t="s">
        <v>346</v>
      </c>
      <c r="S381" s="4" t="s">
        <v>280</v>
      </c>
      <c r="T381" s="5">
        <v>1</v>
      </c>
      <c r="U381" s="4" t="s">
        <v>281</v>
      </c>
      <c r="V381" s="5">
        <f>T381</f>
        <v>1</v>
      </c>
      <c r="W381" s="2" t="s">
        <v>282</v>
      </c>
      <c r="Y381" s="4" t="s">
        <v>347</v>
      </c>
      <c r="Z381" s="6">
        <f>Z387</f>
        <v>18386.64</v>
      </c>
    </row>
    <row r="382" spans="17:34">
      <c r="Q382" s="2" t="s">
        <v>283</v>
      </c>
      <c r="R382" s="2" t="s">
        <v>284</v>
      </c>
      <c r="V382" s="4" t="s">
        <v>122</v>
      </c>
      <c r="W382" s="4" t="s">
        <v>285</v>
      </c>
      <c r="X382" s="4" t="s">
        <v>286</v>
      </c>
      <c r="Y382" s="4" t="s">
        <v>287</v>
      </c>
      <c r="Z382" s="4" t="s">
        <v>288</v>
      </c>
    </row>
    <row r="383" spans="17:34">
      <c r="R383" s="7" t="s">
        <v>294</v>
      </c>
    </row>
    <row r="384" spans="17:34">
      <c r="R384" t="s">
        <v>386</v>
      </c>
      <c r="V384" s="8" t="s">
        <v>149</v>
      </c>
      <c r="W384" s="9"/>
      <c r="X384" s="10">
        <v>8</v>
      </c>
      <c r="Y384">
        <v>423.73</v>
      </c>
      <c r="Z384" s="12">
        <f>X384*Y384</f>
        <v>3389.84</v>
      </c>
    </row>
    <row r="385" spans="17:33">
      <c r="R385" t="s">
        <v>387</v>
      </c>
      <c r="V385" s="8" t="s">
        <v>149</v>
      </c>
      <c r="X385" s="10">
        <v>112</v>
      </c>
      <c r="Y385">
        <v>127.12</v>
      </c>
      <c r="Z385" s="12">
        <f>X385*Y385</f>
        <v>14237.44</v>
      </c>
    </row>
    <row r="386" spans="17:33">
      <c r="R386" t="s">
        <v>388</v>
      </c>
      <c r="V386" s="8" t="s">
        <v>149</v>
      </c>
      <c r="X386" s="10">
        <v>112</v>
      </c>
      <c r="Y386">
        <v>6.78</v>
      </c>
      <c r="Z386" s="12">
        <f>X386*Y386</f>
        <v>759.36</v>
      </c>
    </row>
    <row r="387" spans="17:33">
      <c r="Q387" s="14"/>
      <c r="R387" s="14"/>
      <c r="S387" s="14"/>
      <c r="T387" s="14"/>
      <c r="U387" s="14"/>
      <c r="V387" s="44"/>
      <c r="W387" s="45"/>
      <c r="X387" s="46"/>
      <c r="Y387" s="106"/>
      <c r="Z387" s="16">
        <f>SUM(Z384:Z386)</f>
        <v>18386.64</v>
      </c>
    </row>
    <row r="388" spans="17:33">
      <c r="V388" s="8"/>
      <c r="X388" s="10"/>
      <c r="Z388" s="12"/>
    </row>
    <row r="389" spans="17:33">
      <c r="Q389" s="2" t="s">
        <v>333</v>
      </c>
      <c r="R389" s="2"/>
      <c r="S389" s="2" t="s">
        <v>389</v>
      </c>
      <c r="T389" s="2"/>
      <c r="U389" s="2"/>
      <c r="V389" s="2"/>
      <c r="W389" s="2"/>
      <c r="X389" s="2"/>
      <c r="Y389" s="2"/>
    </row>
    <row r="390" spans="17:33">
      <c r="Q390" s="2" t="s">
        <v>278</v>
      </c>
      <c r="R390" s="2" t="s">
        <v>346</v>
      </c>
      <c r="S390" s="4" t="s">
        <v>280</v>
      </c>
      <c r="T390" s="5">
        <v>1</v>
      </c>
      <c r="U390" s="4" t="s">
        <v>281</v>
      </c>
      <c r="V390" s="5">
        <f>T390</f>
        <v>1</v>
      </c>
      <c r="W390" s="2" t="s">
        <v>282</v>
      </c>
      <c r="Y390" s="4" t="s">
        <v>347</v>
      </c>
      <c r="Z390" s="6">
        <f>Z399</f>
        <v>1478.8000000000002</v>
      </c>
    </row>
    <row r="391" spans="17:33">
      <c r="Q391" s="2" t="s">
        <v>283</v>
      </c>
      <c r="R391" s="2" t="s">
        <v>284</v>
      </c>
      <c r="V391" s="4" t="s">
        <v>122</v>
      </c>
      <c r="W391" s="4" t="s">
        <v>285</v>
      </c>
      <c r="X391" s="4" t="s">
        <v>286</v>
      </c>
      <c r="Y391" s="4" t="s">
        <v>287</v>
      </c>
      <c r="Z391" s="4" t="s">
        <v>288</v>
      </c>
    </row>
    <row r="392" spans="17:33">
      <c r="R392" s="7" t="s">
        <v>294</v>
      </c>
      <c r="AB392" s="2"/>
      <c r="AC392" s="2"/>
      <c r="AD392" s="2"/>
      <c r="AE392" s="2"/>
      <c r="AF392" s="2"/>
      <c r="AG392" s="2"/>
    </row>
    <row r="393" spans="17:33">
      <c r="R393" t="s">
        <v>390</v>
      </c>
      <c r="V393" s="8" t="s">
        <v>149</v>
      </c>
      <c r="W393" s="9"/>
      <c r="X393" s="10">
        <v>1</v>
      </c>
      <c r="Y393">
        <v>211.86</v>
      </c>
      <c r="Z393" s="12">
        <f>X393*Y393</f>
        <v>211.86</v>
      </c>
    </row>
    <row r="394" spans="17:33">
      <c r="R394" t="s">
        <v>391</v>
      </c>
      <c r="V394" s="8" t="s">
        <v>149</v>
      </c>
      <c r="X394" s="10">
        <v>2</v>
      </c>
      <c r="Y394">
        <v>76.27</v>
      </c>
      <c r="Z394" s="12">
        <f>X394*Y394</f>
        <v>152.54</v>
      </c>
    </row>
    <row r="395" spans="17:33">
      <c r="R395" t="s">
        <v>392</v>
      </c>
      <c r="V395" s="8" t="s">
        <v>149</v>
      </c>
      <c r="X395" s="10">
        <v>1</v>
      </c>
      <c r="Y395">
        <v>593.22</v>
      </c>
      <c r="Z395" s="12">
        <f>X395*Y395</f>
        <v>593.22</v>
      </c>
    </row>
    <row r="396" spans="17:33">
      <c r="R396" t="s">
        <v>393</v>
      </c>
      <c r="V396" s="8" t="s">
        <v>149</v>
      </c>
      <c r="X396" s="10">
        <v>1</v>
      </c>
      <c r="Y396">
        <v>38.14</v>
      </c>
      <c r="Z396" s="12">
        <f>X396*Y396</f>
        <v>38.14</v>
      </c>
    </row>
    <row r="397" spans="17:33">
      <c r="R397" t="s">
        <v>394</v>
      </c>
      <c r="V397" s="8" t="s">
        <v>149</v>
      </c>
      <c r="X397" s="10">
        <v>2</v>
      </c>
      <c r="Y397">
        <v>135.59</v>
      </c>
      <c r="Z397" s="12">
        <f>X397*Y397</f>
        <v>271.18</v>
      </c>
    </row>
    <row r="398" spans="17:33">
      <c r="R398" t="s">
        <v>395</v>
      </c>
      <c r="V398" s="8" t="s">
        <v>149</v>
      </c>
      <c r="X398" s="10">
        <v>1</v>
      </c>
      <c r="Y398">
        <v>211.86</v>
      </c>
      <c r="Z398" s="12">
        <f>X398*Y398</f>
        <v>211.86</v>
      </c>
    </row>
    <row r="399" spans="17:33">
      <c r="Q399" s="14"/>
      <c r="R399" s="14"/>
      <c r="S399" s="14"/>
      <c r="T399" s="14"/>
      <c r="U399" s="14"/>
      <c r="V399" s="44"/>
      <c r="W399" s="45"/>
      <c r="X399" s="46"/>
      <c r="Y399" s="106"/>
      <c r="Z399" s="16">
        <f>SUM(Z393:Z398)</f>
        <v>1478.8000000000002</v>
      </c>
    </row>
    <row r="400" spans="17:33">
      <c r="V400" s="8"/>
      <c r="X400" s="10"/>
      <c r="Z400" s="12"/>
    </row>
    <row r="401" spans="17:34">
      <c r="Q401" s="2" t="s">
        <v>333</v>
      </c>
      <c r="R401" s="2"/>
      <c r="S401" s="2" t="s">
        <v>389</v>
      </c>
      <c r="T401" s="2"/>
      <c r="U401" s="2"/>
      <c r="V401" s="2"/>
      <c r="W401" s="2"/>
      <c r="X401" s="2"/>
      <c r="Y401" s="2"/>
    </row>
    <row r="402" spans="17:34">
      <c r="Q402" s="2" t="s">
        <v>278</v>
      </c>
      <c r="R402" s="2" t="s">
        <v>325</v>
      </c>
      <c r="S402" s="4" t="s">
        <v>280</v>
      </c>
      <c r="T402" s="5">
        <v>1</v>
      </c>
      <c r="U402" s="4" t="s">
        <v>281</v>
      </c>
      <c r="V402" s="5">
        <f>T402</f>
        <v>1</v>
      </c>
      <c r="W402" s="2" t="s">
        <v>282</v>
      </c>
      <c r="Y402" s="4" t="s">
        <v>149</v>
      </c>
      <c r="Z402" s="6">
        <f>Z407</f>
        <v>8515.8000000000011</v>
      </c>
    </row>
    <row r="403" spans="17:34">
      <c r="Q403" s="2" t="s">
        <v>283</v>
      </c>
      <c r="R403" s="2" t="s">
        <v>284</v>
      </c>
      <c r="V403" s="4" t="s">
        <v>122</v>
      </c>
      <c r="W403" s="4" t="s">
        <v>285</v>
      </c>
      <c r="X403" s="4" t="s">
        <v>286</v>
      </c>
      <c r="Y403" s="4" t="s">
        <v>287</v>
      </c>
      <c r="Z403" s="4" t="s">
        <v>288</v>
      </c>
    </row>
    <row r="404" spans="17:34">
      <c r="R404" s="7" t="s">
        <v>294</v>
      </c>
      <c r="AH404" s="29"/>
    </row>
    <row r="405" spans="17:34">
      <c r="R405" t="s">
        <v>397</v>
      </c>
      <c r="V405" s="8" t="s">
        <v>149</v>
      </c>
      <c r="W405" s="9"/>
      <c r="X405" s="10">
        <v>320</v>
      </c>
      <c r="Y405">
        <v>25.42</v>
      </c>
      <c r="Z405" s="12">
        <f>X405*Y405</f>
        <v>8134.4000000000005</v>
      </c>
    </row>
    <row r="406" spans="17:34">
      <c r="R406" t="s">
        <v>398</v>
      </c>
      <c r="V406" s="8" t="s">
        <v>149</v>
      </c>
      <c r="X406" s="10">
        <v>10</v>
      </c>
      <c r="Y406">
        <v>38.14</v>
      </c>
      <c r="Z406" s="12">
        <f>X406*Y406</f>
        <v>381.4</v>
      </c>
    </row>
    <row r="407" spans="17:34">
      <c r="Q407" s="14"/>
      <c r="R407" s="14"/>
      <c r="S407" s="14"/>
      <c r="T407" s="14"/>
      <c r="U407" s="14"/>
      <c r="V407" s="44"/>
      <c r="W407" s="45"/>
      <c r="X407" s="46"/>
      <c r="Y407" s="106"/>
      <c r="Z407" s="16">
        <f>SUM(Z405:Z406)</f>
        <v>8515.8000000000011</v>
      </c>
    </row>
    <row r="408" spans="17:34">
      <c r="V408" s="8"/>
      <c r="X408" s="10"/>
      <c r="Z408" s="12"/>
    </row>
    <row r="409" spans="17:34">
      <c r="Q409" s="2" t="s">
        <v>333</v>
      </c>
      <c r="R409" s="2"/>
      <c r="S409" s="2" t="s">
        <v>197</v>
      </c>
      <c r="T409" s="2"/>
      <c r="U409" s="2"/>
      <c r="V409" s="2"/>
      <c r="W409" s="2"/>
      <c r="X409" s="2"/>
      <c r="Y409" s="2"/>
    </row>
    <row r="410" spans="17:34">
      <c r="Q410" s="2" t="s">
        <v>278</v>
      </c>
      <c r="R410" s="2" t="s">
        <v>325</v>
      </c>
      <c r="S410" s="4" t="s">
        <v>280</v>
      </c>
      <c r="T410" s="5">
        <v>1</v>
      </c>
      <c r="U410" s="4" t="s">
        <v>281</v>
      </c>
      <c r="V410" s="5">
        <f>T410</f>
        <v>1</v>
      </c>
      <c r="W410" s="2" t="s">
        <v>282</v>
      </c>
      <c r="Y410" s="4" t="s">
        <v>149</v>
      </c>
      <c r="Z410" s="6">
        <f>Z415</f>
        <v>29152.28</v>
      </c>
      <c r="AC410" s="2"/>
      <c r="AD410" s="2"/>
      <c r="AE410" s="2"/>
      <c r="AF410" s="2"/>
      <c r="AG410" s="2"/>
      <c r="AH410" s="2"/>
    </row>
    <row r="411" spans="17:34">
      <c r="Q411" s="2" t="s">
        <v>283</v>
      </c>
      <c r="R411" s="2" t="s">
        <v>284</v>
      </c>
      <c r="V411" s="4" t="s">
        <v>122</v>
      </c>
      <c r="W411" s="4" t="s">
        <v>285</v>
      </c>
      <c r="X411" s="4" t="s">
        <v>286</v>
      </c>
      <c r="Y411" s="4" t="s">
        <v>287</v>
      </c>
      <c r="Z411" s="4" t="s">
        <v>288</v>
      </c>
      <c r="AH411" s="29"/>
    </row>
    <row r="412" spans="17:34">
      <c r="R412" s="7" t="s">
        <v>294</v>
      </c>
      <c r="AH412" s="29"/>
    </row>
    <row r="413" spans="17:34">
      <c r="R413" t="s">
        <v>399</v>
      </c>
      <c r="V413" s="8" t="s">
        <v>149</v>
      </c>
      <c r="W413" s="9"/>
      <c r="X413" s="10">
        <v>130</v>
      </c>
      <c r="Y413">
        <v>169.49</v>
      </c>
      <c r="Z413" s="12">
        <f>X413*Y413</f>
        <v>22033.7</v>
      </c>
    </row>
    <row r="414" spans="17:34">
      <c r="R414" t="s">
        <v>399</v>
      </c>
      <c r="V414" s="8" t="s">
        <v>149</v>
      </c>
      <c r="X414" s="10">
        <v>42</v>
      </c>
      <c r="Y414">
        <v>169.49</v>
      </c>
      <c r="Z414" s="12">
        <f>X414*Y414</f>
        <v>7118.58</v>
      </c>
    </row>
    <row r="415" spans="17:34">
      <c r="Q415" s="14"/>
      <c r="R415" s="14"/>
      <c r="S415" s="14"/>
      <c r="T415" s="14"/>
      <c r="U415" s="14"/>
      <c r="V415" s="44"/>
      <c r="W415" s="45"/>
      <c r="X415" s="46"/>
      <c r="Y415" s="106"/>
      <c r="Z415" s="16">
        <f>SUM(Z413:Z414)</f>
        <v>29152.28</v>
      </c>
    </row>
    <row r="417" spans="17:26">
      <c r="Q417" s="2" t="s">
        <v>277</v>
      </c>
      <c r="R417" s="2"/>
      <c r="S417" s="2" t="s">
        <v>400</v>
      </c>
      <c r="T417" s="2"/>
      <c r="U417" s="2"/>
      <c r="V417" s="2"/>
      <c r="W417" s="2"/>
      <c r="X417" s="2"/>
      <c r="Y417" s="2"/>
    </row>
    <row r="418" spans="17:26">
      <c r="Q418" s="2" t="s">
        <v>278</v>
      </c>
      <c r="R418" s="2" t="s">
        <v>279</v>
      </c>
      <c r="S418" s="4" t="s">
        <v>280</v>
      </c>
      <c r="T418" s="5">
        <v>50</v>
      </c>
      <c r="U418" s="4" t="s">
        <v>281</v>
      </c>
      <c r="V418" s="5">
        <f>T418</f>
        <v>50</v>
      </c>
      <c r="W418" s="2" t="s">
        <v>282</v>
      </c>
      <c r="Y418" s="4" t="s">
        <v>133</v>
      </c>
      <c r="Z418" s="6">
        <f>Z423++Z428</f>
        <v>32.555840000000003</v>
      </c>
    </row>
    <row r="419" spans="17:26">
      <c r="Q419" s="2" t="s">
        <v>283</v>
      </c>
      <c r="R419" s="2" t="s">
        <v>284</v>
      </c>
      <c r="V419" s="4" t="s">
        <v>122</v>
      </c>
      <c r="W419" s="4" t="s">
        <v>285</v>
      </c>
      <c r="X419" s="4" t="s">
        <v>286</v>
      </c>
      <c r="Y419" s="4" t="s">
        <v>287</v>
      </c>
      <c r="Z419" s="4" t="s">
        <v>288</v>
      </c>
    </row>
    <row r="420" spans="17:26">
      <c r="R420" s="7" t="s">
        <v>289</v>
      </c>
    </row>
    <row r="421" spans="17:26">
      <c r="R421" t="s">
        <v>292</v>
      </c>
      <c r="V421" s="8" t="s">
        <v>291</v>
      </c>
      <c r="W421" s="9">
        <v>1</v>
      </c>
      <c r="X421" s="10">
        <f>W421*8/$T$418</f>
        <v>0.16</v>
      </c>
      <c r="Y421" s="12">
        <v>22.66</v>
      </c>
      <c r="Z421" s="12">
        <f>X421*Y421</f>
        <v>3.6255999999999999</v>
      </c>
    </row>
    <row r="422" spans="17:26">
      <c r="R422" t="s">
        <v>293</v>
      </c>
      <c r="V422" s="8" t="s">
        <v>291</v>
      </c>
      <c r="W422" s="9">
        <v>2</v>
      </c>
      <c r="X422" s="10">
        <f>W422*8/$T$418</f>
        <v>0.32</v>
      </c>
      <c r="Y422" s="12">
        <v>20.51</v>
      </c>
      <c r="Z422" s="12">
        <f>X422*Y422</f>
        <v>6.563200000000001</v>
      </c>
    </row>
    <row r="423" spans="17:26">
      <c r="Z423" s="6">
        <f>SUM(Z421:Z422)</f>
        <v>10.188800000000001</v>
      </c>
    </row>
    <row r="424" spans="17:26">
      <c r="R424" s="7" t="s">
        <v>317</v>
      </c>
    </row>
    <row r="425" spans="17:26">
      <c r="R425" t="s">
        <v>310</v>
      </c>
      <c r="V425" s="8" t="s">
        <v>311</v>
      </c>
      <c r="X425" s="10">
        <v>5</v>
      </c>
      <c r="Y425" s="12">
        <f>Z423</f>
        <v>10.188800000000001</v>
      </c>
      <c r="Z425" s="12">
        <f>X425%*Y425</f>
        <v>0.50944</v>
      </c>
    </row>
    <row r="426" spans="17:26">
      <c r="R426" t="s">
        <v>401</v>
      </c>
      <c r="V426" s="8" t="s">
        <v>337</v>
      </c>
      <c r="W426" s="9">
        <v>1</v>
      </c>
      <c r="X426" s="10">
        <f>W426*8/$T$418</f>
        <v>0.16</v>
      </c>
      <c r="Y426" s="12">
        <v>85.76</v>
      </c>
      <c r="Z426" s="12">
        <f>X426*Y426</f>
        <v>13.7216</v>
      </c>
    </row>
    <row r="427" spans="17:26">
      <c r="R427" t="s">
        <v>402</v>
      </c>
      <c r="V427" s="8" t="s">
        <v>337</v>
      </c>
      <c r="W427" s="9">
        <v>5</v>
      </c>
      <c r="X427" s="10">
        <f>W427*8/$T$418</f>
        <v>0.8</v>
      </c>
      <c r="Y427" s="12">
        <v>10.17</v>
      </c>
      <c r="Z427" s="12">
        <f>X427*Y427</f>
        <v>8.136000000000001</v>
      </c>
    </row>
    <row r="428" spans="17:26">
      <c r="Q428" s="14"/>
      <c r="R428" s="14"/>
      <c r="S428" s="14"/>
      <c r="T428" s="14"/>
      <c r="U428" s="14"/>
      <c r="V428" s="14"/>
      <c r="W428" s="14"/>
      <c r="X428" s="14"/>
      <c r="Y428" s="14"/>
      <c r="Z428" s="16">
        <f>SUM(Z425:Z427)</f>
        <v>22.367040000000003</v>
      </c>
    </row>
    <row r="430" spans="17:26">
      <c r="Q430" s="2" t="s">
        <v>277</v>
      </c>
      <c r="R430" s="2"/>
      <c r="S430" s="2" t="s">
        <v>403</v>
      </c>
      <c r="T430" s="2"/>
      <c r="U430" s="2"/>
      <c r="V430" s="2"/>
      <c r="W430" s="2"/>
      <c r="X430" s="2"/>
      <c r="Y430" s="2"/>
    </row>
    <row r="431" spans="17:26">
      <c r="Q431" s="2" t="s">
        <v>278</v>
      </c>
      <c r="R431" s="2" t="s">
        <v>325</v>
      </c>
      <c r="S431" s="4" t="s">
        <v>280</v>
      </c>
      <c r="T431" s="5">
        <v>6</v>
      </c>
      <c r="U431" s="4" t="s">
        <v>281</v>
      </c>
      <c r="V431" s="5">
        <f>T431</f>
        <v>6</v>
      </c>
      <c r="W431" s="2" t="s">
        <v>282</v>
      </c>
      <c r="Y431" s="4" t="s">
        <v>149</v>
      </c>
      <c r="Z431" s="6">
        <f>Z436++Z442+Z445</f>
        <v>115.47972</v>
      </c>
    </row>
    <row r="432" spans="17:26">
      <c r="Q432" s="2" t="s">
        <v>283</v>
      </c>
      <c r="R432" s="2" t="s">
        <v>284</v>
      </c>
      <c r="V432" s="4" t="s">
        <v>122</v>
      </c>
      <c r="W432" s="4" t="s">
        <v>285</v>
      </c>
      <c r="X432" s="4" t="s">
        <v>286</v>
      </c>
      <c r="Y432" s="4" t="s">
        <v>287</v>
      </c>
      <c r="Z432" s="4" t="s">
        <v>288</v>
      </c>
    </row>
    <row r="433" spans="17:26">
      <c r="R433" s="7" t="s">
        <v>289</v>
      </c>
    </row>
    <row r="434" spans="17:26">
      <c r="R434" t="s">
        <v>404</v>
      </c>
      <c r="V434" s="8" t="s">
        <v>291</v>
      </c>
      <c r="W434" s="9">
        <v>1</v>
      </c>
      <c r="X434" s="10">
        <f>W434*8/$T$431</f>
        <v>1.3333333333333333</v>
      </c>
      <c r="Y434" s="12">
        <v>28.94</v>
      </c>
      <c r="Z434" s="12">
        <f>X434*Y434</f>
        <v>38.586666666666666</v>
      </c>
    </row>
    <row r="435" spans="17:26">
      <c r="R435" t="s">
        <v>293</v>
      </c>
      <c r="V435" s="8" t="s">
        <v>291</v>
      </c>
      <c r="W435" s="9">
        <v>1</v>
      </c>
      <c r="X435" s="10">
        <f>W435*8/$T$431</f>
        <v>1.3333333333333333</v>
      </c>
      <c r="Y435" s="12">
        <v>20.51</v>
      </c>
      <c r="Z435" s="12">
        <f>X435*Y435</f>
        <v>27.346666666666668</v>
      </c>
    </row>
    <row r="436" spans="17:26">
      <c r="Z436" s="6">
        <f>SUM(Z434:Z435)</f>
        <v>65.933333333333337</v>
      </c>
    </row>
    <row r="437" spans="17:26">
      <c r="R437" s="7" t="s">
        <v>294</v>
      </c>
    </row>
    <row r="438" spans="17:26">
      <c r="R438" t="s">
        <v>405</v>
      </c>
      <c r="V438" s="8" t="s">
        <v>149</v>
      </c>
      <c r="X438" s="10">
        <v>1</v>
      </c>
      <c r="Y438" s="12">
        <v>10.85</v>
      </c>
      <c r="Z438" s="12">
        <f>X438*Y438</f>
        <v>10.85</v>
      </c>
    </row>
    <row r="439" spans="17:26">
      <c r="R439" t="s">
        <v>301</v>
      </c>
      <c r="V439" s="8" t="s">
        <v>296</v>
      </c>
      <c r="W439" s="9"/>
      <c r="X439" s="10">
        <v>1.2E-2</v>
      </c>
      <c r="Y439" s="12">
        <v>5.51</v>
      </c>
      <c r="Z439" s="12">
        <f>X439*Y439</f>
        <v>6.6119999999999998E-2</v>
      </c>
    </row>
    <row r="440" spans="17:26">
      <c r="R440" t="s">
        <v>406</v>
      </c>
      <c r="V440" s="8" t="s">
        <v>203</v>
      </c>
      <c r="W440" s="9"/>
      <c r="X440" s="10">
        <v>0.08</v>
      </c>
      <c r="Y440" s="12">
        <v>70.92</v>
      </c>
      <c r="Z440" s="12">
        <f>X440*Y440</f>
        <v>5.6736000000000004</v>
      </c>
    </row>
    <row r="441" spans="17:26">
      <c r="R441" t="s">
        <v>407</v>
      </c>
      <c r="V441" s="8" t="s">
        <v>149</v>
      </c>
      <c r="X441">
        <v>1</v>
      </c>
      <c r="Y441">
        <v>29.66</v>
      </c>
      <c r="Z441" s="12">
        <f>X441*Y441</f>
        <v>29.66</v>
      </c>
    </row>
    <row r="442" spans="17:26">
      <c r="Z442" s="6">
        <f>SUM(Z438:Z441)</f>
        <v>46.249719999999996</v>
      </c>
    </row>
    <row r="443" spans="17:26">
      <c r="R443" s="7" t="s">
        <v>317</v>
      </c>
    </row>
    <row r="444" spans="17:26">
      <c r="R444" t="s">
        <v>310</v>
      </c>
      <c r="V444" s="8" t="s">
        <v>311</v>
      </c>
      <c r="X444" s="10">
        <v>5</v>
      </c>
      <c r="Y444" s="12">
        <f>Z436</f>
        <v>65.933333333333337</v>
      </c>
      <c r="Z444" s="12">
        <f>X444%*Y444</f>
        <v>3.2966666666666669</v>
      </c>
    </row>
    <row r="445" spans="17:26">
      <c r="Q445" s="14"/>
      <c r="R445" s="14"/>
      <c r="S445" s="14"/>
      <c r="T445" s="14"/>
      <c r="U445" s="14"/>
      <c r="V445" s="14"/>
      <c r="W445" s="14"/>
      <c r="X445" s="14"/>
      <c r="Y445" s="14"/>
      <c r="Z445" s="16">
        <f>SUM(Z444)</f>
        <v>3.2966666666666669</v>
      </c>
    </row>
    <row r="447" spans="17:26">
      <c r="Q447" s="2" t="s">
        <v>333</v>
      </c>
      <c r="R447" s="2"/>
      <c r="S447" s="2" t="s">
        <v>408</v>
      </c>
      <c r="T447" s="2"/>
      <c r="U447" s="2"/>
      <c r="V447" s="2"/>
      <c r="W447" s="2"/>
      <c r="X447" s="2"/>
      <c r="Y447" s="2"/>
    </row>
    <row r="448" spans="17:26">
      <c r="Q448" s="2" t="s">
        <v>278</v>
      </c>
      <c r="R448" s="2" t="s">
        <v>331</v>
      </c>
      <c r="S448" s="4" t="s">
        <v>280</v>
      </c>
      <c r="T448" s="5">
        <v>1</v>
      </c>
      <c r="U448" s="4" t="s">
        <v>281</v>
      </c>
      <c r="V448" s="5">
        <f>T448</f>
        <v>1</v>
      </c>
      <c r="W448" s="2" t="s">
        <v>282</v>
      </c>
      <c r="Y448" s="4" t="s">
        <v>154</v>
      </c>
      <c r="Z448" s="6">
        <f>Z454</f>
        <v>135.964</v>
      </c>
    </row>
    <row r="449" spans="17:34">
      <c r="Q449" s="2" t="s">
        <v>283</v>
      </c>
      <c r="R449" s="2" t="s">
        <v>284</v>
      </c>
      <c r="V449" s="4" t="s">
        <v>122</v>
      </c>
      <c r="W449" s="4" t="s">
        <v>285</v>
      </c>
      <c r="X449" s="4" t="s">
        <v>286</v>
      </c>
      <c r="Y449" s="4" t="s">
        <v>287</v>
      </c>
      <c r="Z449" s="4" t="s">
        <v>288</v>
      </c>
    </row>
    <row r="450" spans="17:34">
      <c r="R450" s="7" t="s">
        <v>294</v>
      </c>
    </row>
    <row r="451" spans="17:34">
      <c r="R451" t="s">
        <v>409</v>
      </c>
      <c r="V451" s="8" t="s">
        <v>149</v>
      </c>
      <c r="W451" s="9"/>
      <c r="X451" s="10">
        <v>80</v>
      </c>
      <c r="Y451">
        <v>0.42</v>
      </c>
      <c r="Z451" s="12">
        <f>X451*Y451</f>
        <v>33.6</v>
      </c>
      <c r="AC451" s="2"/>
      <c r="AD451" s="2"/>
      <c r="AE451" s="2"/>
      <c r="AF451" s="2"/>
      <c r="AG451" s="2"/>
      <c r="AH451" s="2"/>
    </row>
    <row r="452" spans="17:34">
      <c r="R452" t="s">
        <v>410</v>
      </c>
      <c r="V452" s="8" t="s">
        <v>149</v>
      </c>
      <c r="X452" s="10">
        <v>80</v>
      </c>
      <c r="Y452">
        <v>1.1000000000000001</v>
      </c>
      <c r="Z452" s="12">
        <f>X452*Y452</f>
        <v>88</v>
      </c>
    </row>
    <row r="453" spans="17:34">
      <c r="R453" t="s">
        <v>411</v>
      </c>
      <c r="V453" s="8" t="s">
        <v>149</v>
      </c>
      <c r="X453" s="10">
        <v>0.05</v>
      </c>
      <c r="Y453">
        <v>287.27999999999997</v>
      </c>
      <c r="Z453" s="12">
        <f>X453*Y453</f>
        <v>14.363999999999999</v>
      </c>
    </row>
    <row r="454" spans="17:34">
      <c r="Q454" s="14"/>
      <c r="R454" s="14"/>
      <c r="S454" s="14"/>
      <c r="T454" s="14"/>
      <c r="U454" s="14"/>
      <c r="V454" s="44"/>
      <c r="W454" s="45"/>
      <c r="X454" s="46"/>
      <c r="Y454" s="106"/>
      <c r="Z454" s="16">
        <f>SUM(Z451:Z453)</f>
        <v>135.964</v>
      </c>
    </row>
    <row r="456" spans="17:34">
      <c r="Q456" s="2" t="s">
        <v>333</v>
      </c>
      <c r="R456" s="2"/>
      <c r="S456" s="2" t="s">
        <v>412</v>
      </c>
      <c r="T456" s="2"/>
      <c r="U456" s="2"/>
      <c r="V456" s="2"/>
      <c r="W456" s="2"/>
      <c r="X456" s="2"/>
      <c r="Y456" s="2"/>
    </row>
    <row r="457" spans="17:34">
      <c r="Q457" s="2" t="s">
        <v>278</v>
      </c>
      <c r="R457" s="2" t="s">
        <v>413</v>
      </c>
      <c r="S457" s="4" t="s">
        <v>280</v>
      </c>
      <c r="T457" s="5">
        <v>1</v>
      </c>
      <c r="U457" s="4" t="s">
        <v>281</v>
      </c>
      <c r="V457" s="5">
        <f>T457</f>
        <v>1</v>
      </c>
      <c r="W457" s="2" t="s">
        <v>282</v>
      </c>
      <c r="Y457" s="4" t="s">
        <v>214</v>
      </c>
      <c r="Z457" s="6">
        <f>Z461</f>
        <v>1915.25</v>
      </c>
    </row>
    <row r="458" spans="17:34">
      <c r="Q458" s="2" t="s">
        <v>283</v>
      </c>
      <c r="R458" s="2" t="s">
        <v>284</v>
      </c>
      <c r="V458" s="4" t="s">
        <v>122</v>
      </c>
      <c r="W458" s="4" t="s">
        <v>285</v>
      </c>
      <c r="X458" s="4" t="s">
        <v>286</v>
      </c>
      <c r="Y458" s="4" t="s">
        <v>287</v>
      </c>
      <c r="Z458" s="4" t="s">
        <v>288</v>
      </c>
    </row>
    <row r="459" spans="17:34">
      <c r="R459" s="7" t="s">
        <v>294</v>
      </c>
    </row>
    <row r="460" spans="17:34">
      <c r="R460" t="s">
        <v>414</v>
      </c>
      <c r="V460" s="8" t="s">
        <v>149</v>
      </c>
      <c r="W460" s="9"/>
      <c r="X460" s="10">
        <v>1</v>
      </c>
      <c r="Y460">
        <v>1915.25</v>
      </c>
      <c r="Z460" s="12">
        <f>X460*Y460</f>
        <v>1915.25</v>
      </c>
    </row>
    <row r="461" spans="17:34">
      <c r="Q461" s="14"/>
      <c r="R461" s="14"/>
      <c r="S461" s="14"/>
      <c r="T461" s="14"/>
      <c r="U461" s="14"/>
      <c r="V461" s="44"/>
      <c r="W461" s="45"/>
      <c r="X461" s="46"/>
      <c r="Y461" s="106"/>
      <c r="Z461" s="16">
        <f>SUM(Z460)</f>
        <v>1915.25</v>
      </c>
    </row>
    <row r="462" spans="17:34">
      <c r="V462" s="8"/>
      <c r="W462" s="9"/>
      <c r="X462" s="10"/>
      <c r="Y462" s="12"/>
      <c r="Z462" s="6"/>
    </row>
    <row r="463" spans="17:34">
      <c r="Q463" s="2" t="s">
        <v>277</v>
      </c>
      <c r="R463" s="2"/>
      <c r="S463" s="2" t="s">
        <v>220</v>
      </c>
      <c r="T463" s="2"/>
      <c r="U463" s="2"/>
      <c r="V463" s="2"/>
      <c r="W463" s="2"/>
      <c r="X463" s="2"/>
      <c r="Y463" s="2"/>
    </row>
    <row r="464" spans="17:34">
      <c r="Q464" s="2" t="s">
        <v>278</v>
      </c>
      <c r="R464" s="2" t="s">
        <v>325</v>
      </c>
      <c r="S464" s="4" t="s">
        <v>280</v>
      </c>
      <c r="T464" s="5">
        <v>7.5</v>
      </c>
      <c r="U464" s="4" t="s">
        <v>281</v>
      </c>
      <c r="V464" s="5">
        <f>T464</f>
        <v>7.5</v>
      </c>
      <c r="W464" s="2" t="s">
        <v>282</v>
      </c>
      <c r="Y464" s="4" t="s">
        <v>149</v>
      </c>
      <c r="Z464" s="6">
        <f>Z468++Z471+Z474</f>
        <v>167.04119999999998</v>
      </c>
    </row>
    <row r="465" spans="17:30">
      <c r="Q465" s="2" t="s">
        <v>283</v>
      </c>
      <c r="R465" s="2" t="s">
        <v>284</v>
      </c>
      <c r="V465" s="4" t="s">
        <v>122</v>
      </c>
      <c r="W465" s="4" t="s">
        <v>285</v>
      </c>
      <c r="X465" s="4" t="s">
        <v>286</v>
      </c>
      <c r="Y465" s="4" t="s">
        <v>287</v>
      </c>
      <c r="Z465" s="4" t="s">
        <v>288</v>
      </c>
    </row>
    <row r="466" spans="17:30">
      <c r="R466" s="7" t="s">
        <v>289</v>
      </c>
    </row>
    <row r="467" spans="17:30">
      <c r="R467" t="s">
        <v>293</v>
      </c>
      <c r="V467" s="8" t="s">
        <v>291</v>
      </c>
      <c r="W467" s="9">
        <v>1</v>
      </c>
      <c r="X467" s="10">
        <f>W467*8/$T$464</f>
        <v>1.0666666666666667</v>
      </c>
      <c r="Y467" s="12">
        <v>20.51</v>
      </c>
      <c r="Z467" s="12">
        <f>X467*Y467</f>
        <v>21.877333333333336</v>
      </c>
    </row>
    <row r="468" spans="17:30">
      <c r="Z468" s="6">
        <f>SUM(Z467:Z467)</f>
        <v>21.877333333333336</v>
      </c>
    </row>
    <row r="469" spans="17:30">
      <c r="R469" s="7" t="s">
        <v>294</v>
      </c>
      <c r="AD469" s="2"/>
    </row>
    <row r="470" spans="17:30">
      <c r="R470" t="s">
        <v>415</v>
      </c>
      <c r="V470" s="8" t="s">
        <v>149</v>
      </c>
      <c r="X470" s="9">
        <v>1</v>
      </c>
      <c r="Y470" s="10">
        <v>144.07</v>
      </c>
      <c r="Z470" s="12">
        <f>X470*Y470</f>
        <v>144.07</v>
      </c>
    </row>
    <row r="471" spans="17:30">
      <c r="Z471" s="6">
        <f>SUM(Z470:Z470)</f>
        <v>144.07</v>
      </c>
    </row>
    <row r="472" spans="17:30">
      <c r="R472" s="7" t="s">
        <v>317</v>
      </c>
    </row>
    <row r="473" spans="17:30">
      <c r="R473" t="s">
        <v>310</v>
      </c>
      <c r="V473" s="8" t="s">
        <v>311</v>
      </c>
      <c r="X473" s="10">
        <v>5</v>
      </c>
      <c r="Y473" s="12">
        <f>Z468</f>
        <v>21.877333333333336</v>
      </c>
      <c r="Z473" s="12">
        <f>X473%*Y473</f>
        <v>1.0938666666666668</v>
      </c>
    </row>
    <row r="474" spans="17:30">
      <c r="Q474" s="14"/>
      <c r="R474" s="14"/>
      <c r="S474" s="14"/>
      <c r="T474" s="14"/>
      <c r="U474" s="14"/>
      <c r="V474" s="14"/>
      <c r="W474" s="14"/>
      <c r="X474" s="14"/>
      <c r="Y474" s="14"/>
      <c r="Z474" s="16">
        <f>SUM(Z473:Z473)</f>
        <v>1.0938666666666668</v>
      </c>
    </row>
    <row r="476" spans="17:30">
      <c r="Q476" s="2" t="s">
        <v>277</v>
      </c>
      <c r="R476" s="2"/>
      <c r="S476" s="2" t="s">
        <v>222</v>
      </c>
      <c r="T476" s="2"/>
      <c r="U476" s="2"/>
      <c r="V476" s="2"/>
      <c r="W476" s="2"/>
      <c r="X476" s="2"/>
      <c r="Y476" s="2"/>
    </row>
    <row r="477" spans="17:30">
      <c r="Q477" s="2" t="s">
        <v>278</v>
      </c>
      <c r="R477" s="2" t="s">
        <v>416</v>
      </c>
      <c r="S477" s="4" t="s">
        <v>280</v>
      </c>
      <c r="T477" s="5">
        <v>45</v>
      </c>
      <c r="U477" s="4" t="s">
        <v>281</v>
      </c>
      <c r="V477" s="5">
        <f>T477</f>
        <v>45</v>
      </c>
      <c r="W477" s="2" t="s">
        <v>282</v>
      </c>
      <c r="Y477" s="4" t="s">
        <v>203</v>
      </c>
      <c r="Z477" s="6">
        <f>Z481++Z489+Z492</f>
        <v>163.19213333333335</v>
      </c>
    </row>
    <row r="478" spans="17:30">
      <c r="Q478" s="2" t="s">
        <v>283</v>
      </c>
      <c r="R478" s="2" t="s">
        <v>284</v>
      </c>
      <c r="V478" s="4" t="s">
        <v>122</v>
      </c>
      <c r="W478" s="4" t="s">
        <v>285</v>
      </c>
      <c r="X478" s="4" t="s">
        <v>286</v>
      </c>
      <c r="Y478" s="4" t="s">
        <v>287</v>
      </c>
      <c r="Z478" s="4" t="s">
        <v>288</v>
      </c>
    </row>
    <row r="479" spans="17:30">
      <c r="R479" s="7" t="s">
        <v>289</v>
      </c>
    </row>
    <row r="480" spans="17:30">
      <c r="R480" t="s">
        <v>293</v>
      </c>
      <c r="V480" s="8" t="s">
        <v>291</v>
      </c>
      <c r="W480" s="9">
        <v>4</v>
      </c>
      <c r="X480" s="10">
        <f>W480*8/$T$477</f>
        <v>0.71111111111111114</v>
      </c>
      <c r="Y480" s="12">
        <v>20.51</v>
      </c>
      <c r="Z480" s="12">
        <f>X480*Y480</f>
        <v>14.584888888888891</v>
      </c>
    </row>
    <row r="481" spans="17:26">
      <c r="Z481" s="6">
        <f>SUM(Z480:Z480)</f>
        <v>14.584888888888891</v>
      </c>
    </row>
    <row r="482" spans="17:26">
      <c r="R482" s="7" t="s">
        <v>294</v>
      </c>
    </row>
    <row r="483" spans="17:26">
      <c r="R483" t="s">
        <v>417</v>
      </c>
      <c r="V483" s="8" t="s">
        <v>149</v>
      </c>
      <c r="W483" s="9"/>
      <c r="X483" s="10">
        <v>2</v>
      </c>
      <c r="Y483" s="12">
        <v>29.66</v>
      </c>
      <c r="Z483" s="12">
        <f>X483*Y483</f>
        <v>59.32</v>
      </c>
    </row>
    <row r="484" spans="17:26">
      <c r="R484" t="s">
        <v>418</v>
      </c>
      <c r="V484" s="8" t="s">
        <v>419</v>
      </c>
      <c r="W484" s="9"/>
      <c r="X484" s="10">
        <v>5</v>
      </c>
      <c r="Y484" s="12">
        <v>8.9</v>
      </c>
      <c r="Z484" s="12">
        <f>X484*Y484</f>
        <v>44.5</v>
      </c>
    </row>
    <row r="485" spans="17:26">
      <c r="R485" t="s">
        <v>420</v>
      </c>
      <c r="V485" s="8" t="s">
        <v>149</v>
      </c>
      <c r="X485" s="10">
        <v>3</v>
      </c>
      <c r="Y485" s="12">
        <v>3.39</v>
      </c>
      <c r="Z485" s="12">
        <f t="shared" ref="Z485:Z488" si="26">X485*Y485</f>
        <v>10.17</v>
      </c>
    </row>
    <row r="486" spans="17:26">
      <c r="R486" t="s">
        <v>421</v>
      </c>
      <c r="V486" s="8" t="s">
        <v>149</v>
      </c>
      <c r="W486" s="9"/>
      <c r="X486" s="10">
        <v>2</v>
      </c>
      <c r="Y486" s="12">
        <v>8.4700000000000006</v>
      </c>
      <c r="Z486" s="12">
        <f t="shared" si="26"/>
        <v>16.940000000000001</v>
      </c>
    </row>
    <row r="487" spans="17:26">
      <c r="R487" t="s">
        <v>422</v>
      </c>
      <c r="V487" s="8" t="s">
        <v>149</v>
      </c>
      <c r="X487" s="10">
        <v>0.1</v>
      </c>
      <c r="Y487" s="12">
        <v>55.08</v>
      </c>
      <c r="Z487" s="12">
        <f t="shared" si="26"/>
        <v>5.508</v>
      </c>
    </row>
    <row r="488" spans="17:26">
      <c r="R488" t="s">
        <v>423</v>
      </c>
      <c r="V488" s="8" t="s">
        <v>149</v>
      </c>
      <c r="X488" s="10">
        <v>0.5</v>
      </c>
      <c r="Y488" s="12">
        <v>22.88</v>
      </c>
      <c r="Z488" s="12">
        <f t="shared" si="26"/>
        <v>11.44</v>
      </c>
    </row>
    <row r="489" spans="17:26">
      <c r="Z489" s="6">
        <f>SUM(Z483:Z488)</f>
        <v>147.87800000000001</v>
      </c>
    </row>
    <row r="490" spans="17:26">
      <c r="R490" s="7" t="s">
        <v>309</v>
      </c>
    </row>
    <row r="491" spans="17:26">
      <c r="R491" t="s">
        <v>310</v>
      </c>
      <c r="V491" s="8" t="s">
        <v>311</v>
      </c>
      <c r="X491" s="10">
        <v>5</v>
      </c>
      <c r="Y491" s="12">
        <f>Z481</f>
        <v>14.584888888888891</v>
      </c>
      <c r="Z491" s="12">
        <f>X491%*Y491</f>
        <v>0.72924444444444458</v>
      </c>
    </row>
    <row r="492" spans="17:26">
      <c r="Q492" s="14"/>
      <c r="R492" s="14"/>
      <c r="S492" s="14"/>
      <c r="T492" s="14"/>
      <c r="U492" s="14"/>
      <c r="V492" s="14"/>
      <c r="W492" s="14"/>
      <c r="X492" s="14"/>
      <c r="Y492" s="14"/>
      <c r="Z492" s="16">
        <f>SUM(Z491)</f>
        <v>0.72924444444444458</v>
      </c>
    </row>
    <row r="494" spans="17:26">
      <c r="Q494" s="2" t="s">
        <v>333</v>
      </c>
      <c r="R494" s="2"/>
      <c r="S494" s="2" t="s">
        <v>224</v>
      </c>
      <c r="T494" s="2"/>
      <c r="U494" s="2"/>
      <c r="V494" s="2"/>
      <c r="W494" s="2"/>
      <c r="X494" s="2"/>
      <c r="Y494" s="2"/>
    </row>
    <row r="495" spans="17:26">
      <c r="Q495" s="2" t="s">
        <v>278</v>
      </c>
      <c r="R495" s="2" t="s">
        <v>416</v>
      </c>
      <c r="S495" s="4" t="s">
        <v>280</v>
      </c>
      <c r="T495" s="5">
        <v>1</v>
      </c>
      <c r="U495" s="4" t="s">
        <v>281</v>
      </c>
      <c r="V495" s="5">
        <f>T495</f>
        <v>1</v>
      </c>
      <c r="W495" s="2" t="s">
        <v>282</v>
      </c>
      <c r="Y495" s="4" t="s">
        <v>203</v>
      </c>
      <c r="Z495" s="6">
        <f>Z499</f>
        <v>406.78</v>
      </c>
    </row>
    <row r="496" spans="17:26">
      <c r="Q496" s="2" t="s">
        <v>283</v>
      </c>
      <c r="R496" s="2" t="s">
        <v>284</v>
      </c>
      <c r="V496" s="4" t="s">
        <v>122</v>
      </c>
      <c r="W496" s="4" t="s">
        <v>285</v>
      </c>
      <c r="X496" s="4" t="s">
        <v>286</v>
      </c>
      <c r="Y496" s="4" t="s">
        <v>287</v>
      </c>
      <c r="Z496" s="4" t="s">
        <v>288</v>
      </c>
    </row>
    <row r="497" spans="17:26">
      <c r="R497" s="7" t="s">
        <v>294</v>
      </c>
    </row>
    <row r="498" spans="17:26">
      <c r="R498" t="s">
        <v>424</v>
      </c>
      <c r="V498" s="8" t="s">
        <v>425</v>
      </c>
      <c r="W498" s="9"/>
      <c r="X498" s="10">
        <v>1</v>
      </c>
      <c r="Y498">
        <v>406.78</v>
      </c>
      <c r="Z498" s="12">
        <f>X498*Y498</f>
        <v>406.78</v>
      </c>
    </row>
    <row r="499" spans="17:26">
      <c r="Q499" s="14"/>
      <c r="R499" s="14"/>
      <c r="S499" s="14"/>
      <c r="T499" s="14"/>
      <c r="U499" s="14"/>
      <c r="V499" s="44"/>
      <c r="W499" s="45"/>
      <c r="X499" s="46"/>
      <c r="Y499" s="106"/>
      <c r="Z499" s="16">
        <f>SUM(Z498)</f>
        <v>406.78</v>
      </c>
    </row>
    <row r="502" spans="17:26">
      <c r="V502" s="8"/>
      <c r="W502" s="9"/>
      <c r="X502" s="10"/>
      <c r="Y502" s="12"/>
      <c r="Z502" s="6"/>
    </row>
    <row r="503" spans="17:26">
      <c r="V503" s="8"/>
      <c r="W503" s="9"/>
      <c r="X503" s="10"/>
      <c r="Y503" s="12"/>
      <c r="Z503" s="6"/>
    </row>
    <row r="504" spans="17:26">
      <c r="V504" s="8"/>
      <c r="W504" s="9"/>
      <c r="X504" s="10"/>
      <c r="Y504" s="12"/>
      <c r="Z504" s="6"/>
    </row>
    <row r="505" spans="17:26">
      <c r="Q505" s="2" t="s">
        <v>277</v>
      </c>
      <c r="R505" s="2"/>
      <c r="S505" s="2" t="s">
        <v>426</v>
      </c>
      <c r="T505" s="2"/>
      <c r="U505" s="2"/>
      <c r="V505" s="2"/>
      <c r="W505" s="2"/>
      <c r="X505" s="2"/>
      <c r="Y505" s="2"/>
    </row>
    <row r="506" spans="17:26">
      <c r="Q506" s="2" t="s">
        <v>278</v>
      </c>
      <c r="R506" s="2" t="s">
        <v>279</v>
      </c>
      <c r="S506" s="4" t="s">
        <v>280</v>
      </c>
      <c r="T506" s="5">
        <v>30</v>
      </c>
      <c r="U506" s="4" t="s">
        <v>281</v>
      </c>
      <c r="V506" s="5">
        <f>T506</f>
        <v>30</v>
      </c>
      <c r="W506" s="2" t="s">
        <v>282</v>
      </c>
      <c r="Y506" s="4" t="s">
        <v>133</v>
      </c>
      <c r="Z506" s="6">
        <f>Z512++Z520+Z523</f>
        <v>80.190089999999998</v>
      </c>
    </row>
    <row r="507" spans="17:26">
      <c r="Q507" s="2" t="s">
        <v>283</v>
      </c>
      <c r="R507" s="2" t="s">
        <v>284</v>
      </c>
      <c r="V507" s="4" t="s">
        <v>122</v>
      </c>
      <c r="W507" s="4" t="s">
        <v>285</v>
      </c>
      <c r="X507" s="4" t="s">
        <v>286</v>
      </c>
      <c r="Y507" s="4" t="s">
        <v>287</v>
      </c>
      <c r="Z507" s="4" t="s">
        <v>288</v>
      </c>
    </row>
    <row r="508" spans="17:26">
      <c r="R508" s="7" t="s">
        <v>289</v>
      </c>
    </row>
    <row r="509" spans="17:26">
      <c r="R509" t="s">
        <v>290</v>
      </c>
      <c r="V509" s="8" t="s">
        <v>291</v>
      </c>
      <c r="W509" s="9">
        <v>1</v>
      </c>
      <c r="X509" s="10">
        <f>W509*8/$T$506</f>
        <v>0.26666666666666666</v>
      </c>
      <c r="Y509" s="12">
        <v>28.94</v>
      </c>
      <c r="Z509" s="12">
        <f>X509*Y509</f>
        <v>7.7173333333333334</v>
      </c>
    </row>
    <row r="510" spans="17:26">
      <c r="R510" t="s">
        <v>292</v>
      </c>
      <c r="V510" s="8" t="s">
        <v>291</v>
      </c>
      <c r="W510" s="9">
        <v>1</v>
      </c>
      <c r="X510" s="10">
        <f>W510*8/$T$506</f>
        <v>0.26666666666666666</v>
      </c>
      <c r="Y510" s="12">
        <v>22.66</v>
      </c>
      <c r="Z510" s="12">
        <f>X510*Y510</f>
        <v>6.0426666666666664</v>
      </c>
    </row>
    <row r="511" spans="17:26">
      <c r="R511" t="s">
        <v>293</v>
      </c>
      <c r="V511" s="8" t="s">
        <v>291</v>
      </c>
      <c r="W511" s="9">
        <v>3</v>
      </c>
      <c r="X511" s="10">
        <f>W511*8/$T$506</f>
        <v>0.8</v>
      </c>
      <c r="Y511" s="12">
        <v>20.51</v>
      </c>
      <c r="Z511" s="12">
        <f>X511*Y511</f>
        <v>16.408000000000001</v>
      </c>
    </row>
    <row r="512" spans="17:26">
      <c r="Z512" s="6">
        <f>SUM(Z509:Z511)</f>
        <v>30.167999999999999</v>
      </c>
    </row>
    <row r="513" spans="17:26">
      <c r="R513" s="7" t="s">
        <v>294</v>
      </c>
    </row>
    <row r="514" spans="17:26">
      <c r="R514" t="s">
        <v>295</v>
      </c>
      <c r="V514" s="8" t="s">
        <v>296</v>
      </c>
      <c r="X514">
        <v>0.25</v>
      </c>
      <c r="Y514">
        <v>2.64</v>
      </c>
      <c r="Z514" s="12">
        <f>X514*Y514</f>
        <v>0.66</v>
      </c>
    </row>
    <row r="515" spans="17:26">
      <c r="R515" t="s">
        <v>427</v>
      </c>
      <c r="V515" s="8" t="s">
        <v>149</v>
      </c>
      <c r="W515" s="9"/>
      <c r="X515">
        <v>1.05</v>
      </c>
      <c r="Y515">
        <v>25.25</v>
      </c>
      <c r="Z515" s="12">
        <f>X515*Y515</f>
        <v>26.512500000000003</v>
      </c>
    </row>
    <row r="516" spans="17:26">
      <c r="R516" t="s">
        <v>301</v>
      </c>
      <c r="V516" s="8" t="s">
        <v>296</v>
      </c>
      <c r="W516" s="9"/>
      <c r="X516">
        <v>7.0999999999999994E-2</v>
      </c>
      <c r="Y516">
        <v>5.51</v>
      </c>
      <c r="Z516" s="12">
        <f>X516*Y516</f>
        <v>0.39120999999999995</v>
      </c>
    </row>
    <row r="517" spans="17:26">
      <c r="R517" t="s">
        <v>428</v>
      </c>
      <c r="V517" s="8" t="s">
        <v>429</v>
      </c>
      <c r="X517">
        <v>1.9E-2</v>
      </c>
      <c r="Y517">
        <v>70.92</v>
      </c>
      <c r="Z517" s="12">
        <f t="shared" ref="Z517:Z519" si="27">X517*Y517</f>
        <v>1.34748</v>
      </c>
    </row>
    <row r="518" spans="17:26">
      <c r="R518" t="s">
        <v>430</v>
      </c>
      <c r="V518" s="8" t="s">
        <v>431</v>
      </c>
      <c r="X518">
        <v>0.25</v>
      </c>
      <c r="Y518">
        <v>23.31</v>
      </c>
      <c r="Z518" s="12">
        <f t="shared" si="27"/>
        <v>5.8274999999999997</v>
      </c>
    </row>
    <row r="519" spans="17:26">
      <c r="R519" t="s">
        <v>432</v>
      </c>
      <c r="V519" s="8" t="s">
        <v>433</v>
      </c>
      <c r="X519">
        <v>2.5</v>
      </c>
      <c r="Y519">
        <v>5.51</v>
      </c>
      <c r="Z519" s="12">
        <f t="shared" si="27"/>
        <v>13.774999999999999</v>
      </c>
    </row>
    <row r="520" spans="17:26">
      <c r="Z520" s="6">
        <f>SUM(Z514:Z519)</f>
        <v>48.513690000000004</v>
      </c>
    </row>
    <row r="521" spans="17:26">
      <c r="R521" s="7" t="s">
        <v>317</v>
      </c>
    </row>
    <row r="522" spans="17:26">
      <c r="R522" t="s">
        <v>310</v>
      </c>
      <c r="V522" s="8" t="s">
        <v>311</v>
      </c>
      <c r="X522" s="10">
        <v>5</v>
      </c>
      <c r="Y522" s="12">
        <f>Z512</f>
        <v>30.167999999999999</v>
      </c>
      <c r="Z522" s="12">
        <f>X522%*Y522</f>
        <v>1.5084</v>
      </c>
    </row>
    <row r="523" spans="17:26">
      <c r="Q523" s="14"/>
      <c r="R523" s="14"/>
      <c r="S523" s="14"/>
      <c r="T523" s="14"/>
      <c r="U523" s="14"/>
      <c r="V523" s="14"/>
      <c r="W523" s="14"/>
      <c r="X523" s="14"/>
      <c r="Y523" s="14"/>
      <c r="Z523" s="16">
        <f>SUM(Z522)</f>
        <v>1.5084</v>
      </c>
    </row>
    <row r="524" spans="17:26">
      <c r="V524" s="8"/>
      <c r="X524" s="10"/>
      <c r="Z524" s="12"/>
    </row>
    <row r="525" spans="17:26">
      <c r="Q525" s="2" t="s">
        <v>277</v>
      </c>
      <c r="R525" s="2"/>
      <c r="S525" s="2" t="s">
        <v>230</v>
      </c>
      <c r="T525" s="2"/>
      <c r="U525" s="2"/>
      <c r="V525" s="2"/>
      <c r="W525" s="2"/>
      <c r="X525" s="2"/>
      <c r="Y525" s="2"/>
    </row>
    <row r="526" spans="17:26">
      <c r="Q526" s="2" t="s">
        <v>278</v>
      </c>
      <c r="R526" s="2" t="s">
        <v>325</v>
      </c>
      <c r="S526" s="4" t="s">
        <v>280</v>
      </c>
      <c r="T526" s="5">
        <v>41</v>
      </c>
      <c r="U526" s="4" t="s">
        <v>281</v>
      </c>
      <c r="V526" s="5">
        <f>T526</f>
        <v>41</v>
      </c>
      <c r="W526" s="2" t="s">
        <v>282</v>
      </c>
      <c r="Y526" s="4" t="s">
        <v>149</v>
      </c>
      <c r="Z526" s="6">
        <f>Z530++Z533+Z536</f>
        <v>148.27204878048781</v>
      </c>
    </row>
    <row r="527" spans="17:26">
      <c r="Q527" s="2" t="s">
        <v>283</v>
      </c>
      <c r="R527" s="2" t="s">
        <v>284</v>
      </c>
      <c r="V527" s="4" t="s">
        <v>122</v>
      </c>
      <c r="W527" s="4" t="s">
        <v>285</v>
      </c>
      <c r="X527" s="4" t="s">
        <v>286</v>
      </c>
      <c r="Y527" s="4" t="s">
        <v>287</v>
      </c>
      <c r="Z527" s="4" t="s">
        <v>288</v>
      </c>
    </row>
    <row r="528" spans="17:26">
      <c r="R528" s="7" t="s">
        <v>289</v>
      </c>
    </row>
    <row r="529" spans="17:26">
      <c r="R529" t="s">
        <v>293</v>
      </c>
      <c r="V529" s="8" t="s">
        <v>291</v>
      </c>
      <c r="W529" s="9">
        <v>1</v>
      </c>
      <c r="X529" s="10">
        <f>W529*8/$T$526</f>
        <v>0.1951219512195122</v>
      </c>
      <c r="Y529" s="12">
        <v>20.51</v>
      </c>
      <c r="Z529" s="12">
        <f>X529*Y529</f>
        <v>4.0019512195121951</v>
      </c>
    </row>
    <row r="530" spans="17:26">
      <c r="Z530" s="6">
        <f>SUM(Z529:Z529)</f>
        <v>4.0019512195121951</v>
      </c>
    </row>
    <row r="531" spans="17:26">
      <c r="R531" s="7" t="s">
        <v>294</v>
      </c>
    </row>
    <row r="532" spans="17:26">
      <c r="R532" t="s">
        <v>415</v>
      </c>
      <c r="V532" s="8" t="s">
        <v>149</v>
      </c>
      <c r="X532" s="9">
        <v>1</v>
      </c>
      <c r="Y532" s="10">
        <v>144.07</v>
      </c>
      <c r="Z532" s="12">
        <f>X532*Y532</f>
        <v>144.07</v>
      </c>
    </row>
    <row r="533" spans="17:26">
      <c r="Z533" s="6">
        <f>SUM(Z532:Z532)</f>
        <v>144.07</v>
      </c>
    </row>
    <row r="534" spans="17:26">
      <c r="R534" s="7" t="s">
        <v>317</v>
      </c>
    </row>
    <row r="535" spans="17:26">
      <c r="R535" t="s">
        <v>310</v>
      </c>
      <c r="V535" s="8" t="s">
        <v>311</v>
      </c>
      <c r="X535" s="10">
        <v>5</v>
      </c>
      <c r="Y535" s="12">
        <f>Z530</f>
        <v>4.0019512195121951</v>
      </c>
      <c r="Z535" s="12">
        <f>X535%*Y535</f>
        <v>0.20009756097560977</v>
      </c>
    </row>
    <row r="536" spans="17:26">
      <c r="Q536" s="14"/>
      <c r="R536" s="14"/>
      <c r="S536" s="14"/>
      <c r="T536" s="14"/>
      <c r="U536" s="14"/>
      <c r="V536" s="14"/>
      <c r="W536" s="14"/>
      <c r="X536" s="14"/>
      <c r="Y536" s="14"/>
      <c r="Z536" s="16">
        <f>SUM(Z535:Z535)</f>
        <v>0.20009756097560977</v>
      </c>
    </row>
    <row r="538" spans="17:26">
      <c r="Q538" s="2" t="s">
        <v>277</v>
      </c>
      <c r="R538" s="2"/>
      <c r="S538" s="2" t="s">
        <v>232</v>
      </c>
      <c r="T538" s="2"/>
      <c r="U538" s="2"/>
      <c r="V538" s="2"/>
      <c r="W538" s="2"/>
      <c r="X538" s="2"/>
      <c r="Y538" s="2"/>
    </row>
    <row r="539" spans="17:26">
      <c r="Q539" s="2" t="s">
        <v>278</v>
      </c>
      <c r="R539" s="2" t="s">
        <v>416</v>
      </c>
      <c r="S539" s="4" t="s">
        <v>280</v>
      </c>
      <c r="T539" s="5">
        <v>45</v>
      </c>
      <c r="U539" s="4" t="s">
        <v>281</v>
      </c>
      <c r="V539" s="5">
        <f>T539</f>
        <v>45</v>
      </c>
      <c r="W539" s="2" t="s">
        <v>282</v>
      </c>
      <c r="Y539" s="4" t="s">
        <v>203</v>
      </c>
      <c r="Z539" s="6">
        <f>Z545++Z551+Z554</f>
        <v>43.208133333333336</v>
      </c>
    </row>
    <row r="540" spans="17:26">
      <c r="Q540" s="2" t="s">
        <v>283</v>
      </c>
      <c r="R540" s="2" t="s">
        <v>284</v>
      </c>
      <c r="V540" s="4" t="s">
        <v>122</v>
      </c>
      <c r="W540" s="4" t="s">
        <v>285</v>
      </c>
      <c r="X540" s="4" t="s">
        <v>286</v>
      </c>
      <c r="Y540" s="4" t="s">
        <v>287</v>
      </c>
      <c r="Z540" s="4" t="s">
        <v>288</v>
      </c>
    </row>
    <row r="541" spans="17:26">
      <c r="R541" s="7" t="s">
        <v>289</v>
      </c>
    </row>
    <row r="542" spans="17:26">
      <c r="R542" t="s">
        <v>290</v>
      </c>
      <c r="V542" s="8" t="s">
        <v>291</v>
      </c>
      <c r="W542" s="9">
        <v>1</v>
      </c>
      <c r="X542" s="10">
        <f>W542*8/$T$539</f>
        <v>0.17777777777777778</v>
      </c>
      <c r="Y542" s="12">
        <v>28.94</v>
      </c>
      <c r="Z542" s="12">
        <f>X542*Y542</f>
        <v>5.1448888888888895</v>
      </c>
    </row>
    <row r="543" spans="17:26">
      <c r="R543" t="s">
        <v>292</v>
      </c>
      <c r="V543" s="8" t="s">
        <v>291</v>
      </c>
      <c r="W543" s="9">
        <v>1</v>
      </c>
      <c r="X543" s="10">
        <f>W543*8/$T$539</f>
        <v>0.17777777777777778</v>
      </c>
      <c r="Y543" s="12">
        <v>22.66</v>
      </c>
      <c r="Z543" s="12">
        <f>X543*Y543</f>
        <v>4.0284444444444443</v>
      </c>
    </row>
    <row r="544" spans="17:26">
      <c r="R544" t="s">
        <v>293</v>
      </c>
      <c r="V544" s="8" t="s">
        <v>291</v>
      </c>
      <c r="W544" s="9">
        <v>4</v>
      </c>
      <c r="X544" s="10">
        <f>W544*8/$T$539</f>
        <v>0.71111111111111114</v>
      </c>
      <c r="Y544" s="12">
        <v>20.51</v>
      </c>
      <c r="Z544" s="12">
        <f>X544*Y544</f>
        <v>14.584888888888891</v>
      </c>
    </row>
    <row r="545" spans="17:34">
      <c r="Z545" s="6">
        <f>SUM(Z542:Z544)</f>
        <v>23.758222222222223</v>
      </c>
      <c r="AC545" s="2"/>
    </row>
    <row r="546" spans="17:34">
      <c r="R546" s="7" t="s">
        <v>294</v>
      </c>
    </row>
    <row r="547" spans="17:34">
      <c r="R547" t="s">
        <v>434</v>
      </c>
      <c r="V547" s="8" t="s">
        <v>419</v>
      </c>
      <c r="W547" s="9"/>
      <c r="X547">
        <v>0.1</v>
      </c>
      <c r="Y547">
        <v>0.42</v>
      </c>
      <c r="Z547" s="12">
        <f>X547*Y547</f>
        <v>4.2000000000000003E-2</v>
      </c>
    </row>
    <row r="548" spans="17:34">
      <c r="R548" t="s">
        <v>435</v>
      </c>
      <c r="V548" s="8" t="s">
        <v>149</v>
      </c>
      <c r="W548" s="9"/>
      <c r="X548">
        <v>0.5</v>
      </c>
      <c r="Y548">
        <v>10.17</v>
      </c>
      <c r="Z548" s="12">
        <f>X548*Y548</f>
        <v>5.085</v>
      </c>
    </row>
    <row r="549" spans="17:34">
      <c r="R549" t="s">
        <v>356</v>
      </c>
      <c r="V549" s="8" t="s">
        <v>350</v>
      </c>
      <c r="W549" s="9"/>
      <c r="X549">
        <v>0.5</v>
      </c>
      <c r="Y549">
        <v>14.41</v>
      </c>
      <c r="Z549" s="12">
        <f>X549*Y549</f>
        <v>7.2050000000000001</v>
      </c>
    </row>
    <row r="550" spans="17:34">
      <c r="R550" t="s">
        <v>436</v>
      </c>
      <c r="V550" s="8" t="s">
        <v>149</v>
      </c>
      <c r="X550">
        <v>0.5</v>
      </c>
      <c r="Y550">
        <v>11.86</v>
      </c>
      <c r="Z550" s="12">
        <f>X550*Y550</f>
        <v>5.93</v>
      </c>
      <c r="AC550" s="2"/>
    </row>
    <row r="551" spans="17:34">
      <c r="V551" s="8"/>
      <c r="X551" s="10"/>
      <c r="Y551" s="12"/>
      <c r="Z551" s="6">
        <f>SUM(Z547:Z550)</f>
        <v>18.262</v>
      </c>
    </row>
    <row r="552" spans="17:34">
      <c r="R552" s="7" t="s">
        <v>309</v>
      </c>
    </row>
    <row r="553" spans="17:34">
      <c r="R553" t="s">
        <v>310</v>
      </c>
      <c r="V553" s="8" t="s">
        <v>311</v>
      </c>
      <c r="X553" s="10">
        <v>5</v>
      </c>
      <c r="Y553" s="12">
        <f>Z545</f>
        <v>23.758222222222223</v>
      </c>
      <c r="Z553" s="12">
        <f>X553%*Y553</f>
        <v>1.1879111111111111</v>
      </c>
    </row>
    <row r="554" spans="17:34">
      <c r="Q554" s="14"/>
      <c r="R554" s="14"/>
      <c r="S554" s="14"/>
      <c r="T554" s="14"/>
      <c r="U554" s="14"/>
      <c r="V554" s="14"/>
      <c r="W554" s="14"/>
      <c r="X554" s="14"/>
      <c r="Y554" s="14"/>
      <c r="Z554" s="16">
        <f>SUM(Z553)</f>
        <v>1.1879111111111111</v>
      </c>
    </row>
    <row r="555" spans="17:34">
      <c r="V555" s="8"/>
      <c r="X555" s="10"/>
      <c r="Y555" s="12"/>
      <c r="Z555" s="12"/>
    </row>
    <row r="556" spans="17:34">
      <c r="Q556" s="2" t="s">
        <v>277</v>
      </c>
      <c r="R556" s="2"/>
      <c r="S556" s="2" t="s">
        <v>234</v>
      </c>
      <c r="T556" s="2"/>
      <c r="U556" s="2"/>
      <c r="V556" s="2"/>
      <c r="W556" s="2"/>
      <c r="X556" s="2"/>
      <c r="Y556" s="2"/>
    </row>
    <row r="557" spans="17:34">
      <c r="Q557" s="2" t="s">
        <v>278</v>
      </c>
      <c r="R557" s="2" t="s">
        <v>416</v>
      </c>
      <c r="S557" s="4" t="s">
        <v>280</v>
      </c>
      <c r="T557" s="5">
        <v>250</v>
      </c>
      <c r="U557" s="4" t="s">
        <v>281</v>
      </c>
      <c r="V557" s="5">
        <f>T557</f>
        <v>250</v>
      </c>
      <c r="W557" s="2" t="s">
        <v>282</v>
      </c>
      <c r="Y557" s="4" t="s">
        <v>203</v>
      </c>
      <c r="Z557" s="6">
        <f>Z562++Z565+Z569</f>
        <v>13.786064</v>
      </c>
    </row>
    <row r="558" spans="17:34">
      <c r="Q558" s="2" t="s">
        <v>283</v>
      </c>
      <c r="R558" s="2" t="s">
        <v>284</v>
      </c>
      <c r="V558" s="4" t="s">
        <v>122</v>
      </c>
      <c r="W558" s="4" t="s">
        <v>285</v>
      </c>
      <c r="X558" s="4" t="s">
        <v>286</v>
      </c>
      <c r="Y558" s="4" t="s">
        <v>287</v>
      </c>
      <c r="Z558" s="4" t="s">
        <v>288</v>
      </c>
      <c r="AC558" s="2"/>
      <c r="AD558" s="2"/>
      <c r="AE558" s="2"/>
      <c r="AF558" s="2"/>
      <c r="AG558" s="2"/>
      <c r="AH558" s="2"/>
    </row>
    <row r="559" spans="17:34">
      <c r="R559" s="7" t="s">
        <v>289</v>
      </c>
      <c r="AC559" s="2"/>
    </row>
    <row r="560" spans="17:34">
      <c r="R560" t="s">
        <v>437</v>
      </c>
      <c r="V560" s="8" t="s">
        <v>291</v>
      </c>
      <c r="W560" s="9">
        <v>2</v>
      </c>
      <c r="X560" s="10">
        <f>W560*8/$T$557</f>
        <v>6.4000000000000001E-2</v>
      </c>
      <c r="Y560" s="12">
        <v>28.94</v>
      </c>
      <c r="Z560" s="12">
        <f>X560*Y560</f>
        <v>1.85216</v>
      </c>
    </row>
    <row r="561" spans="17:29">
      <c r="R561" t="s">
        <v>293</v>
      </c>
      <c r="V561" s="8" t="s">
        <v>291</v>
      </c>
      <c r="W561" s="9">
        <v>1</v>
      </c>
      <c r="X561" s="10">
        <f>W561*8/$T$557</f>
        <v>3.2000000000000001E-2</v>
      </c>
      <c r="Y561" s="12">
        <v>20.51</v>
      </c>
      <c r="Z561" s="12">
        <f>X561*Y561</f>
        <v>0.65632000000000001</v>
      </c>
    </row>
    <row r="562" spans="17:29">
      <c r="Z562" s="6">
        <f>SUM(Z560:Z561)</f>
        <v>2.50848</v>
      </c>
      <c r="AC562" s="2"/>
    </row>
    <row r="563" spans="17:29">
      <c r="R563" s="7" t="s">
        <v>294</v>
      </c>
    </row>
    <row r="564" spans="17:29">
      <c r="R564" t="s">
        <v>438</v>
      </c>
      <c r="V564" s="8" t="s">
        <v>439</v>
      </c>
      <c r="W564" s="9"/>
      <c r="X564" s="10">
        <v>0.24</v>
      </c>
      <c r="Y564">
        <v>14.83</v>
      </c>
      <c r="Z564" s="12">
        <f>X564*Y564</f>
        <v>3.5591999999999997</v>
      </c>
      <c r="AC564" s="2"/>
    </row>
    <row r="565" spans="17:29">
      <c r="V565" s="8"/>
      <c r="X565" s="10"/>
      <c r="Y565" s="12"/>
      <c r="Z565" s="6">
        <f>SUM(Z564)</f>
        <v>3.5591999999999997</v>
      </c>
    </row>
    <row r="566" spans="17:29">
      <c r="R566" s="7" t="s">
        <v>309</v>
      </c>
    </row>
    <row r="567" spans="17:29">
      <c r="R567" t="s">
        <v>310</v>
      </c>
      <c r="V567" s="8" t="s">
        <v>311</v>
      </c>
      <c r="X567" s="10">
        <v>5</v>
      </c>
      <c r="Y567" s="12">
        <f>Z562</f>
        <v>2.50848</v>
      </c>
      <c r="Z567" s="12">
        <f>X567%*Y567</f>
        <v>0.12542400000000001</v>
      </c>
    </row>
    <row r="568" spans="17:29">
      <c r="R568" t="s">
        <v>440</v>
      </c>
      <c r="V568" s="8" t="s">
        <v>337</v>
      </c>
      <c r="W568" s="9">
        <v>2</v>
      </c>
      <c r="X568" s="10">
        <f>W568*8/$T$557</f>
        <v>6.4000000000000001E-2</v>
      </c>
      <c r="Y568" s="12">
        <v>118.64</v>
      </c>
      <c r="Z568" s="12">
        <f>X568*Y568</f>
        <v>7.5929600000000006</v>
      </c>
    </row>
    <row r="569" spans="17:29">
      <c r="Q569" s="14"/>
      <c r="R569" s="14"/>
      <c r="S569" s="14"/>
      <c r="T569" s="14"/>
      <c r="U569" s="14"/>
      <c r="V569" s="14"/>
      <c r="W569" s="14"/>
      <c r="X569" s="14"/>
      <c r="Y569" s="14"/>
      <c r="Z569" s="16">
        <f>SUM(Z567:Z568)</f>
        <v>7.7183840000000004</v>
      </c>
    </row>
    <row r="571" spans="17:29">
      <c r="Q571" s="2" t="s">
        <v>277</v>
      </c>
      <c r="R571" s="2"/>
      <c r="S571" s="2" t="s">
        <v>238</v>
      </c>
      <c r="T571" s="2"/>
      <c r="U571" s="2"/>
      <c r="V571" s="2"/>
      <c r="W571" s="2"/>
      <c r="X571" s="2"/>
      <c r="Y571" s="2"/>
    </row>
    <row r="572" spans="17:29">
      <c r="Q572" s="2" t="s">
        <v>278</v>
      </c>
      <c r="R572" s="2" t="s">
        <v>332</v>
      </c>
      <c r="S572" s="4" t="s">
        <v>280</v>
      </c>
      <c r="T572" s="5">
        <v>1</v>
      </c>
      <c r="U572" s="4" t="s">
        <v>281</v>
      </c>
      <c r="V572" s="5">
        <f>T572</f>
        <v>1</v>
      </c>
      <c r="W572" s="2" t="s">
        <v>282</v>
      </c>
      <c r="Y572" s="4" t="s">
        <v>157</v>
      </c>
      <c r="Z572" s="6">
        <f>Z577++Z580+Z583</f>
        <v>68.271000000000001</v>
      </c>
    </row>
    <row r="573" spans="17:29">
      <c r="Q573" s="2" t="s">
        <v>283</v>
      </c>
      <c r="R573" s="2" t="s">
        <v>284</v>
      </c>
      <c r="V573" s="4" t="s">
        <v>122</v>
      </c>
      <c r="W573" s="4" t="s">
        <v>285</v>
      </c>
      <c r="X573" s="4" t="s">
        <v>286</v>
      </c>
      <c r="Y573" s="4" t="s">
        <v>287</v>
      </c>
      <c r="Z573" s="4" t="s">
        <v>288</v>
      </c>
    </row>
    <row r="574" spans="17:29">
      <c r="R574" s="7" t="s">
        <v>289</v>
      </c>
    </row>
    <row r="575" spans="17:29">
      <c r="V575" s="8"/>
      <c r="W575" s="9"/>
      <c r="X575" s="10"/>
      <c r="Y575" s="12"/>
      <c r="Z575" s="12"/>
    </row>
    <row r="576" spans="17:29">
      <c r="R576" t="s">
        <v>293</v>
      </c>
      <c r="V576" s="8" t="s">
        <v>291</v>
      </c>
      <c r="W576" s="9">
        <v>0.25</v>
      </c>
      <c r="X576" s="10">
        <f>W576*8/$T$572</f>
        <v>2</v>
      </c>
      <c r="Y576" s="12">
        <v>20.51</v>
      </c>
      <c r="Z576" s="12">
        <f>X576*Y576</f>
        <v>41.02</v>
      </c>
    </row>
    <row r="577" spans="17:26">
      <c r="Z577" s="6">
        <f>SUM(Z576)</f>
        <v>41.02</v>
      </c>
    </row>
    <row r="578" spans="17:26">
      <c r="R578" s="7" t="s">
        <v>294</v>
      </c>
    </row>
    <row r="579" spans="17:26">
      <c r="R579" t="s">
        <v>441</v>
      </c>
      <c r="V579" s="8" t="s">
        <v>149</v>
      </c>
      <c r="W579" s="9"/>
      <c r="X579" s="10">
        <v>10</v>
      </c>
      <c r="Y579">
        <v>2.52</v>
      </c>
      <c r="Z579" s="12">
        <f>X579*Y579</f>
        <v>25.2</v>
      </c>
    </row>
    <row r="580" spans="17:26">
      <c r="V580" s="8"/>
      <c r="X580" s="10"/>
      <c r="Y580" s="12"/>
      <c r="Z580" s="6">
        <f>SUM(Z579)</f>
        <v>25.2</v>
      </c>
    </row>
    <row r="581" spans="17:26">
      <c r="R581" s="7" t="s">
        <v>309</v>
      </c>
    </row>
    <row r="582" spans="17:26">
      <c r="R582" t="s">
        <v>310</v>
      </c>
      <c r="V582" s="8" t="s">
        <v>311</v>
      </c>
      <c r="X582" s="10">
        <v>5</v>
      </c>
      <c r="Y582" s="12">
        <f>Z577</f>
        <v>41.02</v>
      </c>
      <c r="Z582" s="12">
        <f>X582%*Y582</f>
        <v>2.0510000000000002</v>
      </c>
    </row>
    <row r="583" spans="17:26">
      <c r="Q583" s="14"/>
      <c r="R583" s="14"/>
      <c r="S583" s="14"/>
      <c r="T583" s="14"/>
      <c r="U583" s="14"/>
      <c r="V583" s="14"/>
      <c r="W583" s="14"/>
      <c r="X583" s="14"/>
      <c r="Y583" s="14"/>
      <c r="Z583" s="16">
        <f>SUM(Z582)</f>
        <v>2.0510000000000002</v>
      </c>
    </row>
    <row r="585" spans="17:26">
      <c r="Q585" s="2" t="s">
        <v>277</v>
      </c>
      <c r="R585" s="2"/>
      <c r="S585" s="2" t="s">
        <v>240</v>
      </c>
      <c r="T585" s="2"/>
      <c r="U585" s="2"/>
      <c r="V585" s="2"/>
      <c r="W585" s="2"/>
      <c r="X585" s="2"/>
      <c r="Y585" s="2"/>
    </row>
    <row r="586" spans="17:26">
      <c r="Q586" s="2" t="s">
        <v>278</v>
      </c>
      <c r="R586" s="2" t="s">
        <v>416</v>
      </c>
      <c r="S586" s="4" t="s">
        <v>280</v>
      </c>
      <c r="T586" s="5">
        <v>250</v>
      </c>
      <c r="U586" s="4" t="s">
        <v>281</v>
      </c>
      <c r="V586" s="5">
        <f>T586</f>
        <v>250</v>
      </c>
      <c r="W586" s="2" t="s">
        <v>282</v>
      </c>
      <c r="Y586" s="4" t="s">
        <v>203</v>
      </c>
      <c r="Z586" s="6">
        <f>Z591++Z594+Z598</f>
        <v>13.786064</v>
      </c>
    </row>
    <row r="587" spans="17:26">
      <c r="Q587" s="2" t="s">
        <v>283</v>
      </c>
      <c r="R587" s="2" t="s">
        <v>284</v>
      </c>
      <c r="V587" s="4" t="s">
        <v>122</v>
      </c>
      <c r="W587" s="4" t="s">
        <v>285</v>
      </c>
      <c r="X587" s="4" t="s">
        <v>286</v>
      </c>
      <c r="Y587" s="4" t="s">
        <v>287</v>
      </c>
      <c r="Z587" s="4" t="s">
        <v>288</v>
      </c>
    </row>
    <row r="588" spans="17:26">
      <c r="R588" s="7" t="s">
        <v>289</v>
      </c>
    </row>
    <row r="589" spans="17:26">
      <c r="R589" t="s">
        <v>437</v>
      </c>
      <c r="V589" s="8" t="s">
        <v>291</v>
      </c>
      <c r="W589" s="9">
        <v>2</v>
      </c>
      <c r="X589" s="10">
        <f>W589*8/$T$586</f>
        <v>6.4000000000000001E-2</v>
      </c>
      <c r="Y589" s="12">
        <v>28.94</v>
      </c>
      <c r="Z589" s="12">
        <f>X589*Y589</f>
        <v>1.85216</v>
      </c>
    </row>
    <row r="590" spans="17:26">
      <c r="R590" t="s">
        <v>293</v>
      </c>
      <c r="V590" s="8" t="s">
        <v>291</v>
      </c>
      <c r="W590" s="9">
        <v>1</v>
      </c>
      <c r="X590" s="10">
        <f>W590*8/$T$586</f>
        <v>3.2000000000000001E-2</v>
      </c>
      <c r="Y590" s="12">
        <v>20.51</v>
      </c>
      <c r="Z590" s="12">
        <f>X590*Y590</f>
        <v>0.65632000000000001</v>
      </c>
    </row>
    <row r="591" spans="17:26">
      <c r="Z591" s="6">
        <f>SUM(Z589:Z590)</f>
        <v>2.50848</v>
      </c>
    </row>
    <row r="592" spans="17:26">
      <c r="R592" s="7" t="s">
        <v>294</v>
      </c>
    </row>
    <row r="593" spans="17:31">
      <c r="R593" t="s">
        <v>438</v>
      </c>
      <c r="V593" s="8" t="s">
        <v>439</v>
      </c>
      <c r="W593" s="9"/>
      <c r="X593" s="10">
        <v>0.24</v>
      </c>
      <c r="Y593">
        <v>14.83</v>
      </c>
      <c r="Z593" s="12">
        <f>X593*Y593</f>
        <v>3.5591999999999997</v>
      </c>
    </row>
    <row r="594" spans="17:31">
      <c r="V594" s="8"/>
      <c r="X594" s="10"/>
      <c r="Y594" s="12"/>
      <c r="Z594" s="6">
        <f>SUM(Z593)</f>
        <v>3.5591999999999997</v>
      </c>
    </row>
    <row r="595" spans="17:31">
      <c r="R595" s="7" t="s">
        <v>309</v>
      </c>
    </row>
    <row r="596" spans="17:31">
      <c r="R596" t="s">
        <v>310</v>
      </c>
      <c r="V596" s="8" t="s">
        <v>311</v>
      </c>
      <c r="X596" s="10">
        <v>5</v>
      </c>
      <c r="Y596" s="12">
        <f>Z591</f>
        <v>2.50848</v>
      </c>
      <c r="Z596" s="12">
        <f>X596%*Y596</f>
        <v>0.12542400000000001</v>
      </c>
    </row>
    <row r="597" spans="17:31">
      <c r="R597" t="s">
        <v>440</v>
      </c>
      <c r="V597" s="8" t="s">
        <v>337</v>
      </c>
      <c r="W597" s="9">
        <v>2</v>
      </c>
      <c r="X597" s="10">
        <f>W597*8/$T$557</f>
        <v>6.4000000000000001E-2</v>
      </c>
      <c r="Y597" s="12">
        <v>118.64</v>
      </c>
      <c r="Z597" s="12">
        <f>X597*Y597</f>
        <v>7.5929600000000006</v>
      </c>
    </row>
    <row r="598" spans="17:31">
      <c r="Q598" s="14"/>
      <c r="R598" s="14"/>
      <c r="S598" s="14"/>
      <c r="T598" s="14"/>
      <c r="U598" s="14"/>
      <c r="V598" s="14"/>
      <c r="W598" s="14"/>
      <c r="X598" s="14"/>
      <c r="Y598" s="14"/>
      <c r="Z598" s="16">
        <f>SUM(Z596:Z597)</f>
        <v>7.7183840000000004</v>
      </c>
    </row>
    <row r="600" spans="17:31">
      <c r="Q600" s="2" t="s">
        <v>277</v>
      </c>
      <c r="R600" s="2"/>
      <c r="S600" s="2" t="s">
        <v>244</v>
      </c>
      <c r="T600" s="2"/>
      <c r="U600" s="2"/>
      <c r="V600" s="2"/>
      <c r="W600" s="2"/>
      <c r="X600" s="2"/>
      <c r="Y600" s="2"/>
    </row>
    <row r="601" spans="17:31">
      <c r="Q601" s="2" t="s">
        <v>278</v>
      </c>
      <c r="R601" s="2" t="s">
        <v>325</v>
      </c>
      <c r="S601" s="4" t="s">
        <v>280</v>
      </c>
      <c r="T601" s="5">
        <v>5</v>
      </c>
      <c r="U601" s="4" t="s">
        <v>281</v>
      </c>
      <c r="V601" s="5">
        <f>T601</f>
        <v>5</v>
      </c>
      <c r="W601" s="2" t="s">
        <v>282</v>
      </c>
      <c r="Y601" s="4" t="s">
        <v>149</v>
      </c>
      <c r="Z601" s="6">
        <f>Z605++Z611+Z614</f>
        <v>402.0068</v>
      </c>
    </row>
    <row r="602" spans="17:31">
      <c r="Q602" s="2" t="s">
        <v>283</v>
      </c>
      <c r="R602" s="2" t="s">
        <v>284</v>
      </c>
      <c r="V602" s="4" t="s">
        <v>122</v>
      </c>
      <c r="W602" s="4" t="s">
        <v>285</v>
      </c>
      <c r="X602" s="4" t="s">
        <v>286</v>
      </c>
      <c r="Y602" s="4" t="s">
        <v>287</v>
      </c>
      <c r="Z602" s="4" t="s">
        <v>288</v>
      </c>
    </row>
    <row r="603" spans="17:31">
      <c r="R603" s="7" t="s">
        <v>289</v>
      </c>
    </row>
    <row r="604" spans="17:31">
      <c r="R604" t="s">
        <v>293</v>
      </c>
      <c r="V604" s="8" t="s">
        <v>291</v>
      </c>
      <c r="W604" s="9">
        <v>1</v>
      </c>
      <c r="X604" s="10">
        <f>W604*8/$T$601</f>
        <v>1.6</v>
      </c>
      <c r="Y604" s="12">
        <v>20.51</v>
      </c>
      <c r="Z604" s="12">
        <f>X604*Y604</f>
        <v>32.816000000000003</v>
      </c>
    </row>
    <row r="605" spans="17:31">
      <c r="Z605" s="6">
        <f>SUM(Z604:Z604)</f>
        <v>32.816000000000003</v>
      </c>
    </row>
    <row r="606" spans="17:31">
      <c r="R606" s="7" t="s">
        <v>294</v>
      </c>
    </row>
    <row r="607" spans="17:31">
      <c r="R607" t="s">
        <v>442</v>
      </c>
      <c r="V607" s="8" t="s">
        <v>419</v>
      </c>
      <c r="X607" s="10">
        <v>2</v>
      </c>
      <c r="Y607" s="12">
        <v>8.2200000000000006</v>
      </c>
      <c r="Z607" s="12">
        <f>X607*Y607</f>
        <v>16.440000000000001</v>
      </c>
      <c r="AE607" s="184"/>
    </row>
    <row r="608" spans="17:31">
      <c r="R608" t="s">
        <v>443</v>
      </c>
      <c r="V608" s="8" t="s">
        <v>149</v>
      </c>
      <c r="W608" s="9"/>
      <c r="X608" s="10">
        <v>1</v>
      </c>
      <c r="Y608" s="12">
        <v>216.34</v>
      </c>
      <c r="Z608" s="12">
        <f>X608*Y608</f>
        <v>216.34</v>
      </c>
      <c r="AE608" s="184"/>
    </row>
    <row r="609" spans="17:31">
      <c r="R609" t="s">
        <v>444</v>
      </c>
      <c r="V609" s="8" t="s">
        <v>149</v>
      </c>
      <c r="X609" s="10">
        <v>25</v>
      </c>
      <c r="Y609" s="12">
        <v>1.8</v>
      </c>
      <c r="Z609" s="12">
        <f>X609*Y609</f>
        <v>45</v>
      </c>
      <c r="AE609" s="184"/>
    </row>
    <row r="610" spans="17:31">
      <c r="R610" t="s">
        <v>445</v>
      </c>
      <c r="V610" s="8" t="s">
        <v>372</v>
      </c>
      <c r="X610" s="10">
        <v>0.5</v>
      </c>
      <c r="Y610" s="12">
        <v>179.54</v>
      </c>
      <c r="Z610" s="12">
        <f>X610*Y610</f>
        <v>89.77</v>
      </c>
      <c r="AE610" s="184"/>
    </row>
    <row r="611" spans="17:31">
      <c r="V611" s="8"/>
      <c r="X611" s="10"/>
      <c r="Y611" s="12"/>
      <c r="Z611" s="6">
        <f>SUM(Z607:Z610)</f>
        <v>367.54999999999995</v>
      </c>
    </row>
    <row r="612" spans="17:31">
      <c r="R612" s="7" t="s">
        <v>309</v>
      </c>
    </row>
    <row r="613" spans="17:31">
      <c r="R613" t="s">
        <v>310</v>
      </c>
      <c r="V613" s="8" t="s">
        <v>311</v>
      </c>
      <c r="X613" s="10">
        <v>5</v>
      </c>
      <c r="Y613" s="12">
        <f>Z605</f>
        <v>32.816000000000003</v>
      </c>
      <c r="Z613" s="12">
        <f>X613%*Y613</f>
        <v>1.6408000000000003</v>
      </c>
    </row>
    <row r="614" spans="17:31">
      <c r="Q614" s="14"/>
      <c r="R614" s="14"/>
      <c r="S614" s="14"/>
      <c r="T614" s="14"/>
      <c r="U614" s="14"/>
      <c r="V614" s="14"/>
      <c r="W614" s="14"/>
      <c r="X614" s="14"/>
      <c r="Y614" s="14"/>
      <c r="Z614" s="16">
        <f>SUM(Z613:Z613)</f>
        <v>1.6408000000000003</v>
      </c>
    </row>
    <row r="616" spans="17:31">
      <c r="Q616" s="2" t="s">
        <v>277</v>
      </c>
      <c r="R616" s="2"/>
      <c r="S616" s="2" t="s">
        <v>1267</v>
      </c>
      <c r="T616" s="2"/>
      <c r="U616" s="2"/>
      <c r="V616" s="2"/>
      <c r="W616" s="2"/>
      <c r="X616" s="2"/>
      <c r="Y616" s="2"/>
    </row>
    <row r="617" spans="17:31">
      <c r="Q617" s="2" t="s">
        <v>278</v>
      </c>
      <c r="R617" s="2" t="s">
        <v>279</v>
      </c>
      <c r="S617" s="4" t="s">
        <v>280</v>
      </c>
      <c r="T617" s="5">
        <v>150</v>
      </c>
      <c r="U617" s="4" t="s">
        <v>281</v>
      </c>
      <c r="V617" s="5">
        <f>T617</f>
        <v>150</v>
      </c>
      <c r="W617" s="2" t="s">
        <v>282</v>
      </c>
      <c r="Y617" s="4" t="s">
        <v>133</v>
      </c>
      <c r="Z617" s="6">
        <f>Z622+Z626</f>
        <v>6.9493066666666667</v>
      </c>
    </row>
    <row r="618" spans="17:31">
      <c r="Q618" s="2" t="s">
        <v>283</v>
      </c>
      <c r="R618" s="2" t="s">
        <v>284</v>
      </c>
      <c r="V618" s="4" t="s">
        <v>122</v>
      </c>
      <c r="W618" s="4" t="s">
        <v>285</v>
      </c>
      <c r="X618" s="4" t="s">
        <v>286</v>
      </c>
      <c r="Y618" s="4" t="s">
        <v>287</v>
      </c>
      <c r="Z618" s="4" t="s">
        <v>288</v>
      </c>
    </row>
    <row r="619" spans="17:31">
      <c r="R619" s="7" t="s">
        <v>289</v>
      </c>
    </row>
    <row r="620" spans="17:31">
      <c r="R620" t="s">
        <v>437</v>
      </c>
      <c r="V620" s="8" t="s">
        <v>291</v>
      </c>
      <c r="W620" s="9">
        <v>0.5</v>
      </c>
      <c r="X620" s="10">
        <f>W620*8/$T$617</f>
        <v>2.6666666666666668E-2</v>
      </c>
      <c r="Y620" s="12">
        <v>28.94</v>
      </c>
      <c r="Z620" s="12">
        <f>X620*Y620</f>
        <v>0.77173333333333338</v>
      </c>
    </row>
    <row r="621" spans="17:31">
      <c r="R621" t="s">
        <v>293</v>
      </c>
      <c r="V621" s="8" t="s">
        <v>291</v>
      </c>
      <c r="W621" s="9">
        <v>2</v>
      </c>
      <c r="X621" s="10">
        <f>W621*8/$T$617</f>
        <v>0.10666666666666667</v>
      </c>
      <c r="Y621" s="12">
        <v>20.51</v>
      </c>
      <c r="Z621" s="12">
        <f>X621*Y621</f>
        <v>2.1877333333333335</v>
      </c>
    </row>
    <row r="622" spans="17:31">
      <c r="Z622" s="6">
        <f>SUM(Z620:Z621)</f>
        <v>2.9594666666666667</v>
      </c>
    </row>
    <row r="623" spans="17:31">
      <c r="R623" s="7" t="s">
        <v>309</v>
      </c>
    </row>
    <row r="624" spans="17:31">
      <c r="R624" t="s">
        <v>310</v>
      </c>
      <c r="V624" s="8" t="s">
        <v>311</v>
      </c>
      <c r="X624" s="10">
        <v>5</v>
      </c>
      <c r="Y624" s="12">
        <f>Z622</f>
        <v>2.9594666666666667</v>
      </c>
      <c r="Z624" s="12">
        <f>X624%*Y624</f>
        <v>0.14797333333333335</v>
      </c>
    </row>
    <row r="625" spans="17:26">
      <c r="R625" t="s">
        <v>446</v>
      </c>
      <c r="V625" s="8" t="s">
        <v>337</v>
      </c>
      <c r="W625" s="9">
        <v>0.5</v>
      </c>
      <c r="X625" s="10">
        <f>W625*8/$T$617</f>
        <v>2.6666666666666668E-2</v>
      </c>
      <c r="Y625" s="12">
        <v>144.07</v>
      </c>
      <c r="Z625" s="12">
        <f>X625*Y625</f>
        <v>3.8418666666666668</v>
      </c>
    </row>
    <row r="626" spans="17:26">
      <c r="Q626" s="14"/>
      <c r="R626" s="14"/>
      <c r="S626" s="14"/>
      <c r="T626" s="14"/>
      <c r="U626" s="14"/>
      <c r="V626" s="14"/>
      <c r="W626" s="14"/>
      <c r="X626" s="14"/>
      <c r="Y626" s="14"/>
      <c r="Z626" s="16">
        <f>SUM(Z624:Z625)</f>
        <v>3.9898400000000001</v>
      </c>
    </row>
    <row r="628" spans="17:26">
      <c r="Q628" s="2" t="s">
        <v>277</v>
      </c>
      <c r="R628" s="2"/>
      <c r="S628" s="2" t="s">
        <v>250</v>
      </c>
      <c r="T628" s="2"/>
      <c r="U628" s="2"/>
      <c r="V628" s="2"/>
      <c r="W628" s="2"/>
      <c r="X628" s="2"/>
      <c r="Y628" s="2"/>
    </row>
    <row r="629" spans="17:26">
      <c r="Q629" s="2" t="s">
        <v>278</v>
      </c>
      <c r="R629" s="2" t="s">
        <v>416</v>
      </c>
      <c r="S629" s="4" t="s">
        <v>280</v>
      </c>
      <c r="T629" s="5">
        <v>250</v>
      </c>
      <c r="U629" s="4" t="s">
        <v>281</v>
      </c>
      <c r="V629" s="5">
        <f>T629</f>
        <v>250</v>
      </c>
      <c r="W629" s="2" t="s">
        <v>282</v>
      </c>
      <c r="Y629" s="4" t="s">
        <v>203</v>
      </c>
      <c r="Z629" s="6">
        <f>Z634++Z637+Z642</f>
        <v>24.086838</v>
      </c>
    </row>
    <row r="630" spans="17:26">
      <c r="Q630" s="2" t="s">
        <v>283</v>
      </c>
      <c r="R630" s="2" t="s">
        <v>284</v>
      </c>
      <c r="V630" s="4" t="s">
        <v>122</v>
      </c>
      <c r="W630" s="4" t="s">
        <v>285</v>
      </c>
      <c r="X630" s="4" t="s">
        <v>286</v>
      </c>
      <c r="Y630" s="4" t="s">
        <v>287</v>
      </c>
      <c r="Z630" s="4" t="s">
        <v>288</v>
      </c>
    </row>
    <row r="631" spans="17:26">
      <c r="R631" s="7" t="s">
        <v>289</v>
      </c>
    </row>
    <row r="632" spans="17:26">
      <c r="R632" t="s">
        <v>437</v>
      </c>
      <c r="V632" s="8" t="s">
        <v>291</v>
      </c>
      <c r="W632" s="9">
        <v>3</v>
      </c>
      <c r="X632" s="10">
        <f>W632*8/$T$629</f>
        <v>9.6000000000000002E-2</v>
      </c>
      <c r="Y632" s="12">
        <v>28.94</v>
      </c>
      <c r="Z632" s="12">
        <f>X632*Y632</f>
        <v>2.7782400000000003</v>
      </c>
    </row>
    <row r="633" spans="17:26">
      <c r="R633" t="s">
        <v>293</v>
      </c>
      <c r="V633" s="8" t="s">
        <v>291</v>
      </c>
      <c r="W633" s="9">
        <v>1</v>
      </c>
      <c r="X633" s="10">
        <f>W633*8/$T$629</f>
        <v>3.2000000000000001E-2</v>
      </c>
      <c r="Y633" s="12">
        <v>20.51</v>
      </c>
      <c r="Z633" s="12">
        <f>X633*Y633</f>
        <v>0.65632000000000001</v>
      </c>
    </row>
    <row r="634" spans="17:26">
      <c r="Z634" s="6">
        <f>SUM(Z632:Z633)</f>
        <v>3.4345600000000003</v>
      </c>
    </row>
    <row r="635" spans="17:26">
      <c r="R635" s="7" t="s">
        <v>294</v>
      </c>
    </row>
    <row r="636" spans="17:26">
      <c r="R636" t="s">
        <v>438</v>
      </c>
      <c r="V636" s="8" t="s">
        <v>439</v>
      </c>
      <c r="W636" s="9"/>
      <c r="X636" s="10">
        <v>0.35699999999999998</v>
      </c>
      <c r="Y636">
        <v>14.83</v>
      </c>
      <c r="Z636" s="12">
        <f>X636*Y636</f>
        <v>5.2943099999999994</v>
      </c>
    </row>
    <row r="637" spans="17:26">
      <c r="V637" s="8"/>
      <c r="X637" s="10"/>
      <c r="Y637" s="12"/>
      <c r="Z637" s="6">
        <f>SUM(Z636)</f>
        <v>5.2943099999999994</v>
      </c>
    </row>
    <row r="638" spans="17:26">
      <c r="R638" s="7" t="s">
        <v>309</v>
      </c>
    </row>
    <row r="639" spans="17:26">
      <c r="R639" t="s">
        <v>310</v>
      </c>
      <c r="V639" s="8" t="s">
        <v>311</v>
      </c>
      <c r="X639" s="10">
        <v>5</v>
      </c>
      <c r="Y639" s="12">
        <f>Z634</f>
        <v>3.4345600000000003</v>
      </c>
      <c r="Z639" s="12">
        <f>X639%*Y639</f>
        <v>0.17172800000000002</v>
      </c>
    </row>
    <row r="640" spans="17:26">
      <c r="R640" t="s">
        <v>440</v>
      </c>
      <c r="V640" s="8" t="s">
        <v>337</v>
      </c>
      <c r="W640" s="9">
        <v>2</v>
      </c>
      <c r="X640" s="10">
        <f>W640*8/$T$629</f>
        <v>6.4000000000000001E-2</v>
      </c>
      <c r="Y640" s="12">
        <v>118.64</v>
      </c>
      <c r="Z640" s="12">
        <f>X640*Y640</f>
        <v>7.5929600000000006</v>
      </c>
    </row>
    <row r="641" spans="17:31">
      <c r="R641" t="s">
        <v>447</v>
      </c>
      <c r="V641" s="8" t="s">
        <v>337</v>
      </c>
      <c r="W641" s="9">
        <v>1</v>
      </c>
      <c r="X641" s="10">
        <f>W641*8/$T$629</f>
        <v>3.2000000000000001E-2</v>
      </c>
      <c r="Y641" s="12">
        <v>237.29</v>
      </c>
      <c r="Z641" s="12">
        <f>X641*Y641</f>
        <v>7.59328</v>
      </c>
    </row>
    <row r="642" spans="17:31">
      <c r="Q642" s="14"/>
      <c r="R642" s="14"/>
      <c r="S642" s="14"/>
      <c r="T642" s="14"/>
      <c r="U642" s="14"/>
      <c r="V642" s="14"/>
      <c r="W642" s="14"/>
      <c r="X642" s="14"/>
      <c r="Y642" s="14"/>
      <c r="Z642" s="16">
        <f>SUM(Z639:Z641)</f>
        <v>15.357968</v>
      </c>
    </row>
    <row r="644" spans="17:31">
      <c r="Q644" s="2" t="s">
        <v>277</v>
      </c>
      <c r="R644" s="2"/>
      <c r="S644" s="2" t="s">
        <v>252</v>
      </c>
      <c r="T644" s="2"/>
      <c r="U644" s="2"/>
      <c r="V644" s="2"/>
      <c r="W644" s="2"/>
      <c r="X644" s="2"/>
      <c r="Y644" s="2"/>
    </row>
    <row r="645" spans="17:31">
      <c r="Q645" s="2" t="s">
        <v>278</v>
      </c>
      <c r="R645" s="2" t="s">
        <v>279</v>
      </c>
      <c r="S645" s="4" t="s">
        <v>280</v>
      </c>
      <c r="T645" s="5">
        <v>50</v>
      </c>
      <c r="U645" s="4" t="s">
        <v>281</v>
      </c>
      <c r="V645" s="5">
        <f>T645</f>
        <v>50</v>
      </c>
      <c r="W645" s="2" t="s">
        <v>282</v>
      </c>
      <c r="Y645" s="4" t="s">
        <v>133</v>
      </c>
      <c r="Z645" s="6">
        <f>Z649+Z653+Z656</f>
        <v>7.6913600000000013</v>
      </c>
    </row>
    <row r="646" spans="17:31">
      <c r="Q646" s="2" t="s">
        <v>283</v>
      </c>
      <c r="R646" s="2" t="s">
        <v>284</v>
      </c>
      <c r="V646" s="4" t="s">
        <v>122</v>
      </c>
      <c r="W646" s="4" t="s">
        <v>285</v>
      </c>
      <c r="X646" s="4" t="s">
        <v>286</v>
      </c>
      <c r="Y646" s="4" t="s">
        <v>287</v>
      </c>
      <c r="Z646" s="4" t="s">
        <v>288</v>
      </c>
    </row>
    <row r="647" spans="17:31">
      <c r="R647" s="7" t="s">
        <v>289</v>
      </c>
    </row>
    <row r="648" spans="17:31">
      <c r="R648" t="s">
        <v>293</v>
      </c>
      <c r="V648" s="8" t="s">
        <v>291</v>
      </c>
      <c r="W648" s="9">
        <v>2</v>
      </c>
      <c r="X648" s="10">
        <f>W648*8/$T$645</f>
        <v>0.32</v>
      </c>
      <c r="Y648" s="12">
        <v>20.51</v>
      </c>
      <c r="Z648" s="12">
        <f>X648*Y648</f>
        <v>6.563200000000001</v>
      </c>
    </row>
    <row r="649" spans="17:31">
      <c r="Z649" s="6">
        <f>SUM(Z648:Z648)</f>
        <v>6.563200000000001</v>
      </c>
    </row>
    <row r="650" spans="17:31">
      <c r="R650" s="7" t="s">
        <v>294</v>
      </c>
    </row>
    <row r="651" spans="17:31">
      <c r="R651" t="s">
        <v>448</v>
      </c>
      <c r="V651" s="8" t="s">
        <v>296</v>
      </c>
      <c r="X651" s="10">
        <v>0.5</v>
      </c>
      <c r="Y651">
        <v>0.38</v>
      </c>
      <c r="Z651" s="12">
        <f>X651*Y651</f>
        <v>0.19</v>
      </c>
    </row>
    <row r="652" spans="17:31">
      <c r="R652" t="s">
        <v>449</v>
      </c>
      <c r="V652" s="8" t="s">
        <v>296</v>
      </c>
      <c r="W652" s="9"/>
      <c r="X652" s="10">
        <v>0.5</v>
      </c>
      <c r="Y652">
        <v>1.22</v>
      </c>
      <c r="Z652" s="12">
        <f>X652*Y652</f>
        <v>0.61</v>
      </c>
      <c r="AE652" s="184"/>
    </row>
    <row r="653" spans="17:31">
      <c r="V653" s="8"/>
      <c r="X653" s="10"/>
      <c r="Y653" s="12"/>
      <c r="Z653" s="6">
        <f>SUM(Z651:Z652)</f>
        <v>0.8</v>
      </c>
      <c r="AE653" s="184"/>
    </row>
    <row r="654" spans="17:31">
      <c r="R654" s="7" t="s">
        <v>309</v>
      </c>
    </row>
    <row r="655" spans="17:31">
      <c r="R655" t="s">
        <v>310</v>
      </c>
      <c r="V655" s="8" t="s">
        <v>311</v>
      </c>
      <c r="X655" s="10">
        <v>5</v>
      </c>
      <c r="Y655" s="12">
        <f>Z649</f>
        <v>6.563200000000001</v>
      </c>
      <c r="Z655" s="12">
        <f>X655%*Y655</f>
        <v>0.32816000000000006</v>
      </c>
    </row>
    <row r="656" spans="17:31">
      <c r="Q656" s="14"/>
      <c r="R656" s="14"/>
      <c r="S656" s="14"/>
      <c r="T656" s="14"/>
      <c r="U656" s="14"/>
      <c r="V656" s="14"/>
      <c r="W656" s="14"/>
      <c r="X656" s="14"/>
      <c r="Y656" s="14"/>
      <c r="Z656" s="16">
        <f>SUM(Z655)</f>
        <v>0.32816000000000006</v>
      </c>
    </row>
    <row r="657" spans="17:26">
      <c r="V657" s="8"/>
      <c r="W657" s="9"/>
      <c r="X657" s="10"/>
      <c r="Y657" s="12"/>
      <c r="Z657" s="12"/>
    </row>
    <row r="658" spans="17:26">
      <c r="Q658" s="2" t="s">
        <v>277</v>
      </c>
      <c r="R658" s="2"/>
      <c r="S658" s="2" t="s">
        <v>450</v>
      </c>
      <c r="T658" s="2"/>
      <c r="U658" s="2"/>
      <c r="V658" s="2"/>
      <c r="W658" s="2"/>
      <c r="X658" s="2"/>
      <c r="Y658" s="2"/>
    </row>
    <row r="659" spans="17:26">
      <c r="Q659" s="2" t="s">
        <v>278</v>
      </c>
      <c r="R659" s="2" t="s">
        <v>279</v>
      </c>
      <c r="S659" s="4" t="s">
        <v>280</v>
      </c>
      <c r="T659" s="5">
        <v>100</v>
      </c>
      <c r="U659" s="4" t="s">
        <v>281</v>
      </c>
      <c r="V659" s="5">
        <f>T659</f>
        <v>100</v>
      </c>
      <c r="W659" s="2" t="s">
        <v>282</v>
      </c>
      <c r="Y659" s="4" t="s">
        <v>133</v>
      </c>
      <c r="Z659" s="6">
        <f>Z664+Z667+Z671</f>
        <v>8.0326400000000007</v>
      </c>
    </row>
    <row r="660" spans="17:26" ht="14.25" customHeight="1">
      <c r="Q660" s="2" t="s">
        <v>283</v>
      </c>
      <c r="R660" s="2" t="s">
        <v>284</v>
      </c>
      <c r="V660" s="4" t="s">
        <v>122</v>
      </c>
      <c r="W660" s="4" t="s">
        <v>285</v>
      </c>
      <c r="X660" s="4" t="s">
        <v>286</v>
      </c>
      <c r="Y660" s="4" t="s">
        <v>287</v>
      </c>
      <c r="Z660" s="4" t="s">
        <v>288</v>
      </c>
    </row>
    <row r="661" spans="17:26">
      <c r="R661" s="7" t="s">
        <v>289</v>
      </c>
    </row>
    <row r="662" spans="17:26">
      <c r="R662" t="s">
        <v>404</v>
      </c>
      <c r="V662" s="8" t="s">
        <v>291</v>
      </c>
      <c r="W662" s="9">
        <v>1</v>
      </c>
      <c r="X662" s="10">
        <f>W662*8/$T$659</f>
        <v>0.08</v>
      </c>
      <c r="Y662" s="12">
        <v>28.94</v>
      </c>
      <c r="Z662" s="12">
        <f>X662*Y662</f>
        <v>2.3152000000000004</v>
      </c>
    </row>
    <row r="663" spans="17:26">
      <c r="R663" t="s">
        <v>293</v>
      </c>
      <c r="V663" s="8" t="s">
        <v>291</v>
      </c>
      <c r="W663" s="9">
        <v>2</v>
      </c>
      <c r="X663" s="10">
        <f>W663*8/$T$659</f>
        <v>0.16</v>
      </c>
      <c r="Y663" s="12">
        <v>20.51</v>
      </c>
      <c r="Z663" s="12">
        <f>X663*Y663</f>
        <v>3.2816000000000005</v>
      </c>
    </row>
    <row r="664" spans="17:26">
      <c r="Z664" s="6">
        <f>SUM(Z662:Z663)</f>
        <v>5.5968000000000009</v>
      </c>
    </row>
    <row r="665" spans="17:26">
      <c r="R665" s="7" t="s">
        <v>294</v>
      </c>
    </row>
    <row r="666" spans="17:26">
      <c r="R666" t="s">
        <v>451</v>
      </c>
      <c r="V666" s="8" t="s">
        <v>439</v>
      </c>
      <c r="X666" s="10">
        <v>0.08</v>
      </c>
      <c r="Y666">
        <v>14.24</v>
      </c>
      <c r="Z666" s="12">
        <f>X666*Y666</f>
        <v>1.1392</v>
      </c>
    </row>
    <row r="667" spans="17:26">
      <c r="V667" s="8"/>
      <c r="X667" s="10"/>
      <c r="Y667" s="12"/>
      <c r="Z667" s="6">
        <f>SUM(Z666:Z666)</f>
        <v>1.1392</v>
      </c>
    </row>
    <row r="668" spans="17:26">
      <c r="R668" s="7" t="s">
        <v>309</v>
      </c>
    </row>
    <row r="669" spans="17:26">
      <c r="R669" t="s">
        <v>310</v>
      </c>
      <c r="V669" s="8" t="s">
        <v>311</v>
      </c>
      <c r="X669" s="10">
        <v>5</v>
      </c>
      <c r="Y669" s="12">
        <f>Z664</f>
        <v>5.5968000000000009</v>
      </c>
      <c r="Z669" s="12">
        <f>X669%*Y669</f>
        <v>0.27984000000000003</v>
      </c>
    </row>
    <row r="670" spans="17:26">
      <c r="R670" t="s">
        <v>452</v>
      </c>
      <c r="V670" s="8" t="s">
        <v>337</v>
      </c>
      <c r="W670" s="9">
        <v>1</v>
      </c>
      <c r="X670" s="10">
        <f>W670*8/$T$659</f>
        <v>0.08</v>
      </c>
      <c r="Y670" s="12">
        <v>12.71</v>
      </c>
      <c r="Z670" s="12">
        <f>X670*Y670</f>
        <v>1.0168000000000001</v>
      </c>
    </row>
    <row r="671" spans="17:26">
      <c r="Q671" s="14"/>
      <c r="R671" s="14"/>
      <c r="S671" s="14"/>
      <c r="T671" s="14"/>
      <c r="U671" s="14"/>
      <c r="V671" s="14"/>
      <c r="W671" s="14"/>
      <c r="X671" s="14"/>
      <c r="Y671" s="14"/>
      <c r="Z671" s="16">
        <f>SUM(Z669:Z670)</f>
        <v>1.2966400000000002</v>
      </c>
    </row>
    <row r="673" spans="17:26">
      <c r="Q673" s="2" t="s">
        <v>333</v>
      </c>
      <c r="R673" s="2"/>
      <c r="S673" s="2" t="s">
        <v>1268</v>
      </c>
      <c r="T673" s="2"/>
      <c r="U673" s="2"/>
      <c r="V673" s="2"/>
      <c r="W673" s="2"/>
      <c r="X673" s="2"/>
      <c r="Y673" s="2"/>
    </row>
    <row r="674" spans="17:26">
      <c r="Q674" s="2" t="s">
        <v>278</v>
      </c>
      <c r="R674" s="2" t="s">
        <v>279</v>
      </c>
      <c r="S674" s="4" t="s">
        <v>280</v>
      </c>
      <c r="T674" s="5">
        <v>90</v>
      </c>
      <c r="U674" s="4" t="s">
        <v>281</v>
      </c>
      <c r="V674" s="5">
        <f>T674</f>
        <v>90</v>
      </c>
      <c r="W674" s="2" t="s">
        <v>282</v>
      </c>
      <c r="Y674" s="4" t="s">
        <v>133</v>
      </c>
      <c r="Z674" s="6">
        <f>Z679+Z682</f>
        <v>4.615333333333334</v>
      </c>
    </row>
    <row r="675" spans="17:26">
      <c r="Q675" s="2" t="s">
        <v>283</v>
      </c>
      <c r="R675" s="2" t="s">
        <v>284</v>
      </c>
      <c r="V675" s="4" t="s">
        <v>122</v>
      </c>
      <c r="W675" s="4" t="s">
        <v>285</v>
      </c>
      <c r="X675" s="4" t="s">
        <v>286</v>
      </c>
      <c r="Y675" s="4" t="s">
        <v>287</v>
      </c>
      <c r="Z675" s="4" t="s">
        <v>288</v>
      </c>
    </row>
    <row r="676" spans="17:26">
      <c r="R676" s="7" t="s">
        <v>289</v>
      </c>
    </row>
    <row r="677" spans="17:26">
      <c r="R677" t="s">
        <v>290</v>
      </c>
      <c r="V677" s="8" t="s">
        <v>291</v>
      </c>
      <c r="W677" s="9">
        <v>1</v>
      </c>
      <c r="X677" s="10">
        <f>W677*8/$T$674</f>
        <v>8.8888888888888892E-2</v>
      </c>
      <c r="Y677" s="12">
        <v>28.94</v>
      </c>
      <c r="Z677" s="12">
        <f>X677*Y677</f>
        <v>2.5724444444444448</v>
      </c>
    </row>
    <row r="678" spans="17:26">
      <c r="R678" t="s">
        <v>293</v>
      </c>
      <c r="V678" s="8" t="s">
        <v>291</v>
      </c>
      <c r="W678" s="9">
        <v>1</v>
      </c>
      <c r="X678" s="10">
        <f>W678*8/$T$674</f>
        <v>8.8888888888888892E-2</v>
      </c>
      <c r="Y678" s="12">
        <v>20.51</v>
      </c>
      <c r="Z678" s="12">
        <f>X678*Y678</f>
        <v>1.8231111111111113</v>
      </c>
    </row>
    <row r="679" spans="17:26">
      <c r="Z679" s="6">
        <f>SUM(Z677:Z678)</f>
        <v>4.3955555555555561</v>
      </c>
    </row>
    <row r="680" spans="17:26">
      <c r="R680" s="7" t="s">
        <v>317</v>
      </c>
    </row>
    <row r="681" spans="17:26">
      <c r="R681" t="s">
        <v>310</v>
      </c>
      <c r="V681" s="8" t="s">
        <v>311</v>
      </c>
      <c r="X681" s="10">
        <v>5</v>
      </c>
      <c r="Y681" s="12">
        <f>Z679</f>
        <v>4.3955555555555561</v>
      </c>
      <c r="Z681" s="12">
        <f>X681%*Y681</f>
        <v>0.21977777777777782</v>
      </c>
    </row>
    <row r="682" spans="17:26">
      <c r="Q682" s="14"/>
      <c r="R682" s="14"/>
      <c r="S682" s="14"/>
      <c r="T682" s="14"/>
      <c r="U682" s="14"/>
      <c r="V682" s="14"/>
      <c r="W682" s="14"/>
      <c r="X682" s="14"/>
      <c r="Y682" s="14"/>
      <c r="Z682" s="16">
        <f>SUM(Z681:Z681)</f>
        <v>0.21977777777777782</v>
      </c>
    </row>
    <row r="684" spans="17:26">
      <c r="Q684" s="2" t="s">
        <v>333</v>
      </c>
      <c r="R684" s="2"/>
      <c r="S684" s="2" t="s">
        <v>1269</v>
      </c>
      <c r="T684" s="2"/>
      <c r="U684" s="2"/>
      <c r="V684" s="2"/>
      <c r="W684" s="2"/>
      <c r="X684" s="2"/>
      <c r="Y684" s="2"/>
    </row>
    <row r="685" spans="17:26">
      <c r="Q685" s="2" t="s">
        <v>278</v>
      </c>
      <c r="R685" s="2" t="s">
        <v>279</v>
      </c>
      <c r="S685" s="4" t="s">
        <v>280</v>
      </c>
      <c r="T685" s="5">
        <v>90</v>
      </c>
      <c r="U685" s="4" t="s">
        <v>281</v>
      </c>
      <c r="V685" s="5">
        <f>T685</f>
        <v>90</v>
      </c>
      <c r="W685" s="2" t="s">
        <v>282</v>
      </c>
      <c r="Y685" s="4" t="s">
        <v>133</v>
      </c>
      <c r="Z685" s="6">
        <f>Z690+Z693</f>
        <v>4.615333333333334</v>
      </c>
    </row>
    <row r="686" spans="17:26">
      <c r="Q686" s="2" t="s">
        <v>283</v>
      </c>
      <c r="R686" s="2" t="s">
        <v>284</v>
      </c>
      <c r="V686" s="4" t="s">
        <v>122</v>
      </c>
      <c r="W686" s="4" t="s">
        <v>285</v>
      </c>
      <c r="X686" s="4" t="s">
        <v>286</v>
      </c>
      <c r="Y686" s="4" t="s">
        <v>287</v>
      </c>
      <c r="Z686" s="4" t="s">
        <v>288</v>
      </c>
    </row>
    <row r="687" spans="17:26">
      <c r="R687" s="7" t="s">
        <v>289</v>
      </c>
    </row>
    <row r="688" spans="17:26">
      <c r="R688" t="s">
        <v>290</v>
      </c>
      <c r="V688" s="8" t="s">
        <v>291</v>
      </c>
      <c r="W688" s="9">
        <v>1</v>
      </c>
      <c r="X688" s="10">
        <f>W688*8/$T$685</f>
        <v>8.8888888888888892E-2</v>
      </c>
      <c r="Y688" s="12">
        <v>28.94</v>
      </c>
      <c r="Z688" s="12">
        <f>X688*Y688</f>
        <v>2.5724444444444448</v>
      </c>
    </row>
    <row r="689" spans="17:26">
      <c r="R689" t="s">
        <v>293</v>
      </c>
      <c r="V689" s="8" t="s">
        <v>291</v>
      </c>
      <c r="W689" s="9">
        <v>1</v>
      </c>
      <c r="X689" s="10">
        <f>W689*8/$T$685</f>
        <v>8.8888888888888892E-2</v>
      </c>
      <c r="Y689" s="12">
        <v>20.51</v>
      </c>
      <c r="Z689" s="12">
        <f>X689*Y689</f>
        <v>1.8231111111111113</v>
      </c>
    </row>
    <row r="690" spans="17:26">
      <c r="Z690" s="6">
        <f>SUM(Z688:Z689)</f>
        <v>4.3955555555555561</v>
      </c>
    </row>
    <row r="691" spans="17:26">
      <c r="R691" s="7" t="s">
        <v>317</v>
      </c>
    </row>
    <row r="692" spans="17:26">
      <c r="R692" t="s">
        <v>310</v>
      </c>
      <c r="V692" s="8" t="s">
        <v>311</v>
      </c>
      <c r="X692" s="10">
        <v>5</v>
      </c>
      <c r="Y692" s="12">
        <f>Z690</f>
        <v>4.3955555555555561</v>
      </c>
      <c r="Z692" s="12">
        <f>X692%*Y692</f>
        <v>0.21977777777777782</v>
      </c>
    </row>
    <row r="693" spans="17:26">
      <c r="Q693" s="14"/>
      <c r="R693" s="14"/>
      <c r="S693" s="14"/>
      <c r="T693" s="14"/>
      <c r="U693" s="14"/>
      <c r="V693" s="14"/>
      <c r="W693" s="14"/>
      <c r="X693" s="14"/>
      <c r="Y693" s="14"/>
      <c r="Z693" s="16">
        <f>SUM(Z692:Z692)</f>
        <v>0.21977777777777782</v>
      </c>
    </row>
    <row r="695" spans="17:26">
      <c r="Q695" s="2" t="s">
        <v>333</v>
      </c>
      <c r="R695" s="2"/>
      <c r="S695" s="2" t="s">
        <v>1270</v>
      </c>
      <c r="T695" s="2"/>
      <c r="U695" s="2"/>
      <c r="V695" s="2"/>
      <c r="W695" s="2"/>
      <c r="X695" s="2"/>
      <c r="Y695" s="2"/>
    </row>
    <row r="696" spans="17:26">
      <c r="Q696" s="2" t="s">
        <v>278</v>
      </c>
      <c r="R696" s="2" t="s">
        <v>279</v>
      </c>
      <c r="S696" s="4" t="s">
        <v>280</v>
      </c>
      <c r="T696" s="5">
        <v>70</v>
      </c>
      <c r="U696" s="4" t="s">
        <v>281</v>
      </c>
      <c r="V696" s="5">
        <f>T696</f>
        <v>70</v>
      </c>
      <c r="W696" s="2" t="s">
        <v>282</v>
      </c>
      <c r="Y696" s="4" t="s">
        <v>133</v>
      </c>
      <c r="Z696" s="6">
        <f>Z702+Z705</f>
        <v>7.4226000000000001</v>
      </c>
    </row>
    <row r="697" spans="17:26">
      <c r="Q697" s="2" t="s">
        <v>283</v>
      </c>
      <c r="R697" s="2" t="s">
        <v>284</v>
      </c>
      <c r="V697" s="4" t="s">
        <v>122</v>
      </c>
      <c r="W697" s="4" t="s">
        <v>285</v>
      </c>
      <c r="X697" s="4" t="s">
        <v>286</v>
      </c>
      <c r="Y697" s="4" t="s">
        <v>287</v>
      </c>
      <c r="Z697" s="4" t="s">
        <v>288</v>
      </c>
    </row>
    <row r="698" spans="17:26">
      <c r="R698" s="7" t="s">
        <v>289</v>
      </c>
    </row>
    <row r="699" spans="17:26">
      <c r="R699" t="s">
        <v>290</v>
      </c>
      <c r="V699" s="8" t="s">
        <v>291</v>
      </c>
      <c r="W699" s="9">
        <v>1</v>
      </c>
      <c r="X699" s="10">
        <f>W699*8/$T$696</f>
        <v>0.11428571428571428</v>
      </c>
      <c r="Y699" s="12">
        <v>28.94</v>
      </c>
      <c r="Z699" s="12">
        <f>X699*Y699</f>
        <v>3.3074285714285714</v>
      </c>
    </row>
    <row r="700" spans="17:26">
      <c r="R700" t="s">
        <v>292</v>
      </c>
      <c r="V700" s="8" t="s">
        <v>291</v>
      </c>
      <c r="W700" s="9">
        <v>1</v>
      </c>
      <c r="X700" s="10">
        <f t="shared" ref="X700:X701" si="28">W700*8/$T$696</f>
        <v>0.11428571428571428</v>
      </c>
      <c r="Y700" s="12">
        <v>22.66</v>
      </c>
      <c r="Z700" s="12">
        <f>X700*Y700</f>
        <v>2.5897142857142859</v>
      </c>
    </row>
    <row r="701" spans="17:26">
      <c r="R701" t="s">
        <v>293</v>
      </c>
      <c r="V701" s="8" t="s">
        <v>291</v>
      </c>
      <c r="W701" s="9">
        <v>0.5</v>
      </c>
      <c r="X701" s="10">
        <f t="shared" si="28"/>
        <v>5.7142857142857141E-2</v>
      </c>
      <c r="Y701" s="12">
        <v>20.51</v>
      </c>
      <c r="Z701" s="12">
        <f>X701*Y701</f>
        <v>1.1720000000000002</v>
      </c>
    </row>
    <row r="702" spans="17:26">
      <c r="Z702" s="6">
        <f>SUM(Z699:Z701)</f>
        <v>7.0691428571428574</v>
      </c>
    </row>
    <row r="703" spans="17:26">
      <c r="R703" s="7" t="s">
        <v>317</v>
      </c>
    </row>
    <row r="704" spans="17:26">
      <c r="R704" t="s">
        <v>310</v>
      </c>
      <c r="V704" s="8" t="s">
        <v>311</v>
      </c>
      <c r="X704" s="10">
        <v>5</v>
      </c>
      <c r="Y704" s="12">
        <f>Z702</f>
        <v>7.0691428571428574</v>
      </c>
      <c r="Z704" s="12">
        <f>X704%*Y704</f>
        <v>0.35345714285714291</v>
      </c>
    </row>
    <row r="705" spans="17:26">
      <c r="Q705" s="14"/>
      <c r="R705" s="14"/>
      <c r="S705" s="14"/>
      <c r="T705" s="14"/>
      <c r="U705" s="14"/>
      <c r="V705" s="14"/>
      <c r="W705" s="14"/>
      <c r="X705" s="14"/>
      <c r="Y705" s="14"/>
      <c r="Z705" s="16">
        <f>SUM(Z704:Z704)</f>
        <v>0.35345714285714291</v>
      </c>
    </row>
    <row r="707" spans="17:26">
      <c r="Q707" s="2" t="s">
        <v>333</v>
      </c>
      <c r="R707" s="2"/>
      <c r="S707" s="2" t="s">
        <v>1271</v>
      </c>
      <c r="T707" s="2"/>
      <c r="U707" s="2"/>
      <c r="V707" s="2"/>
      <c r="W707" s="2"/>
      <c r="X707" s="2"/>
      <c r="Y707" s="2"/>
    </row>
    <row r="708" spans="17:26">
      <c r="Q708" s="2" t="s">
        <v>278</v>
      </c>
      <c r="R708" s="2" t="s">
        <v>279</v>
      </c>
      <c r="S708" s="4" t="s">
        <v>280</v>
      </c>
      <c r="T708" s="5">
        <v>65</v>
      </c>
      <c r="U708" s="4" t="s">
        <v>281</v>
      </c>
      <c r="V708" s="5">
        <f>T708</f>
        <v>65</v>
      </c>
      <c r="W708" s="2" t="s">
        <v>282</v>
      </c>
      <c r="Y708" s="4" t="s">
        <v>133</v>
      </c>
      <c r="Z708" s="6">
        <f>Z713+Z717</f>
        <v>9.5443692307692309</v>
      </c>
    </row>
    <row r="709" spans="17:26">
      <c r="Q709" s="2" t="s">
        <v>283</v>
      </c>
      <c r="R709" s="2" t="s">
        <v>284</v>
      </c>
      <c r="V709" s="4" t="s">
        <v>122</v>
      </c>
      <c r="W709" s="4" t="s">
        <v>285</v>
      </c>
      <c r="X709" s="4" t="s">
        <v>286</v>
      </c>
      <c r="Y709" s="4" t="s">
        <v>287</v>
      </c>
      <c r="Z709" s="4" t="s">
        <v>288</v>
      </c>
    </row>
    <row r="710" spans="17:26">
      <c r="R710" s="7" t="s">
        <v>289</v>
      </c>
    </row>
    <row r="711" spans="17:26">
      <c r="R711" t="s">
        <v>290</v>
      </c>
      <c r="V711" s="8" t="s">
        <v>291</v>
      </c>
      <c r="W711" s="9">
        <v>1</v>
      </c>
      <c r="X711" s="10">
        <f>W711*8/$T$708</f>
        <v>0.12307692307692308</v>
      </c>
      <c r="Y711" s="12">
        <v>28.94</v>
      </c>
      <c r="Z711" s="12">
        <f>X711*Y711</f>
        <v>3.5618461538461541</v>
      </c>
    </row>
    <row r="712" spans="17:26">
      <c r="R712" t="s">
        <v>293</v>
      </c>
      <c r="V712" s="8" t="s">
        <v>291</v>
      </c>
      <c r="W712" s="9">
        <v>2</v>
      </c>
      <c r="X712" s="10">
        <f>W712*8/$T$708</f>
        <v>0.24615384615384617</v>
      </c>
      <c r="Y712" s="12">
        <v>20.51</v>
      </c>
      <c r="Z712" s="12">
        <f>X712*Y712</f>
        <v>5.0486153846153856</v>
      </c>
    </row>
    <row r="713" spans="17:26">
      <c r="Z713" s="6">
        <f>SUM(Z711:Z712)</f>
        <v>8.6104615384615393</v>
      </c>
    </row>
    <row r="714" spans="17:26">
      <c r="R714" s="7" t="s">
        <v>317</v>
      </c>
    </row>
    <row r="715" spans="17:26">
      <c r="R715" t="s">
        <v>310</v>
      </c>
      <c r="V715" s="8" t="s">
        <v>311</v>
      </c>
      <c r="X715" s="10">
        <v>5</v>
      </c>
      <c r="Y715" s="12">
        <f>Z713</f>
        <v>8.6104615384615393</v>
      </c>
      <c r="Z715" s="12">
        <f>X715%*Y715</f>
        <v>0.43052307692307701</v>
      </c>
    </row>
    <row r="716" spans="17:26">
      <c r="R716" t="s">
        <v>1272</v>
      </c>
      <c r="V716" s="8" t="s">
        <v>337</v>
      </c>
      <c r="W716" s="9">
        <v>1</v>
      </c>
      <c r="X716" s="10">
        <f>W716*8/$T$708</f>
        <v>0.12307692307692308</v>
      </c>
      <c r="Y716" s="12">
        <v>4.09</v>
      </c>
      <c r="Z716" s="12">
        <f>X716*Y716</f>
        <v>0.50338461538461543</v>
      </c>
    </row>
    <row r="717" spans="17:26">
      <c r="Q717" s="14"/>
      <c r="R717" s="14"/>
      <c r="S717" s="14"/>
      <c r="T717" s="14"/>
      <c r="U717" s="14"/>
      <c r="V717" s="14"/>
      <c r="W717" s="14"/>
      <c r="X717" s="14"/>
      <c r="Y717" s="14"/>
      <c r="Z717" s="16">
        <f>SUM(Z715:Z716)</f>
        <v>0.93390769230769244</v>
      </c>
    </row>
    <row r="719" spans="17:26">
      <c r="Q719" s="2" t="s">
        <v>333</v>
      </c>
      <c r="R719" s="2"/>
      <c r="S719" s="2" t="s">
        <v>1273</v>
      </c>
      <c r="T719" s="2"/>
      <c r="U719" s="2"/>
      <c r="V719" s="2"/>
      <c r="W719" s="2"/>
      <c r="X719" s="2"/>
      <c r="Y719" s="2"/>
    </row>
    <row r="720" spans="17:26">
      <c r="Q720" s="2" t="s">
        <v>278</v>
      </c>
      <c r="R720" s="2" t="s">
        <v>325</v>
      </c>
      <c r="S720" s="4" t="s">
        <v>280</v>
      </c>
      <c r="T720" s="5">
        <v>15</v>
      </c>
      <c r="U720" s="4" t="s">
        <v>281</v>
      </c>
      <c r="V720" s="5">
        <f>T720</f>
        <v>15</v>
      </c>
      <c r="W720" s="2" t="s">
        <v>282</v>
      </c>
      <c r="Y720" s="4" t="s">
        <v>149</v>
      </c>
      <c r="Z720" s="6">
        <f>Z725+Z728</f>
        <v>27.692</v>
      </c>
    </row>
    <row r="721" spans="17:26">
      <c r="Q721" s="2" t="s">
        <v>283</v>
      </c>
      <c r="R721" s="2" t="s">
        <v>284</v>
      </c>
      <c r="V721" s="4" t="s">
        <v>122</v>
      </c>
      <c r="W721" s="4" t="s">
        <v>285</v>
      </c>
      <c r="X721" s="4" t="s">
        <v>286</v>
      </c>
      <c r="Y721" s="4" t="s">
        <v>287</v>
      </c>
      <c r="Z721" s="4" t="s">
        <v>288</v>
      </c>
    </row>
    <row r="722" spans="17:26">
      <c r="R722" s="7" t="s">
        <v>289</v>
      </c>
    </row>
    <row r="723" spans="17:26">
      <c r="R723" t="s">
        <v>290</v>
      </c>
      <c r="V723" s="8" t="s">
        <v>291</v>
      </c>
      <c r="W723" s="9">
        <v>1</v>
      </c>
      <c r="X723" s="10">
        <f>W723*8/$T$720</f>
        <v>0.53333333333333333</v>
      </c>
      <c r="Y723" s="12">
        <v>28.94</v>
      </c>
      <c r="Z723" s="12">
        <f>X723*Y723</f>
        <v>15.434666666666667</v>
      </c>
    </row>
    <row r="724" spans="17:26">
      <c r="R724" t="s">
        <v>293</v>
      </c>
      <c r="V724" s="8" t="s">
        <v>291</v>
      </c>
      <c r="W724" s="9">
        <v>1</v>
      </c>
      <c r="X724" s="10">
        <f>W724*8/$T$720</f>
        <v>0.53333333333333333</v>
      </c>
      <c r="Y724" s="12">
        <v>20.51</v>
      </c>
      <c r="Z724" s="12">
        <f>X724*Y724</f>
        <v>10.938666666666668</v>
      </c>
    </row>
    <row r="725" spans="17:26">
      <c r="Z725" s="6">
        <f>SUM(Z723:Z724)</f>
        <v>26.373333333333335</v>
      </c>
    </row>
    <row r="726" spans="17:26">
      <c r="R726" s="7" t="s">
        <v>317</v>
      </c>
    </row>
    <row r="727" spans="17:26">
      <c r="R727" t="s">
        <v>310</v>
      </c>
      <c r="V727" s="8" t="s">
        <v>311</v>
      </c>
      <c r="X727" s="10">
        <v>5</v>
      </c>
      <c r="Y727" s="12">
        <f>Z725</f>
        <v>26.373333333333335</v>
      </c>
      <c r="Z727" s="12">
        <f>X727%*Y727</f>
        <v>1.3186666666666669</v>
      </c>
    </row>
    <row r="728" spans="17:26">
      <c r="Q728" s="14"/>
      <c r="R728" s="14"/>
      <c r="S728" s="14"/>
      <c r="T728" s="14"/>
      <c r="U728" s="14"/>
      <c r="V728" s="14"/>
      <c r="W728" s="14"/>
      <c r="X728" s="14"/>
      <c r="Y728" s="14"/>
      <c r="Z728" s="16">
        <f>SUM(Z727:Z727)</f>
        <v>1.3186666666666669</v>
      </c>
    </row>
    <row r="730" spans="17:26">
      <c r="Q730" s="2" t="s">
        <v>333</v>
      </c>
      <c r="R730" s="2"/>
      <c r="S730" s="2" t="s">
        <v>1274</v>
      </c>
      <c r="T730" s="2"/>
      <c r="U730" s="2"/>
      <c r="V730" s="2"/>
      <c r="W730" s="2"/>
      <c r="X730" s="2"/>
      <c r="Y730" s="2"/>
    </row>
    <row r="731" spans="17:26">
      <c r="Q731" s="2" t="s">
        <v>278</v>
      </c>
      <c r="R731" s="2" t="s">
        <v>325</v>
      </c>
      <c r="S731" s="4" t="s">
        <v>280</v>
      </c>
      <c r="T731" s="5">
        <v>15</v>
      </c>
      <c r="U731" s="4" t="s">
        <v>281</v>
      </c>
      <c r="V731" s="5">
        <f>T731</f>
        <v>15</v>
      </c>
      <c r="W731" s="2" t="s">
        <v>282</v>
      </c>
      <c r="Y731" s="4" t="s">
        <v>149</v>
      </c>
      <c r="Z731" s="6">
        <f>Z736+Z739</f>
        <v>27.692</v>
      </c>
    </row>
    <row r="732" spans="17:26">
      <c r="Q732" s="2" t="s">
        <v>283</v>
      </c>
      <c r="R732" s="2" t="s">
        <v>284</v>
      </c>
      <c r="V732" s="4" t="s">
        <v>122</v>
      </c>
      <c r="W732" s="4" t="s">
        <v>285</v>
      </c>
      <c r="X732" s="4" t="s">
        <v>286</v>
      </c>
      <c r="Y732" s="4" t="s">
        <v>287</v>
      </c>
      <c r="Z732" s="4" t="s">
        <v>288</v>
      </c>
    </row>
    <row r="733" spans="17:26">
      <c r="R733" s="7" t="s">
        <v>289</v>
      </c>
    </row>
    <row r="734" spans="17:26">
      <c r="R734" t="s">
        <v>290</v>
      </c>
      <c r="V734" s="8" t="s">
        <v>291</v>
      </c>
      <c r="W734" s="9">
        <v>1</v>
      </c>
      <c r="X734" s="10">
        <f>W734*8/$T$731</f>
        <v>0.53333333333333333</v>
      </c>
      <c r="Y734" s="12">
        <v>28.94</v>
      </c>
      <c r="Z734" s="12">
        <f>X734*Y734</f>
        <v>15.434666666666667</v>
      </c>
    </row>
    <row r="735" spans="17:26">
      <c r="R735" t="s">
        <v>293</v>
      </c>
      <c r="V735" s="8" t="s">
        <v>291</v>
      </c>
      <c r="W735" s="9">
        <v>1</v>
      </c>
      <c r="X735" s="10">
        <f>W735*8/$T$731</f>
        <v>0.53333333333333333</v>
      </c>
      <c r="Y735" s="12">
        <v>20.51</v>
      </c>
      <c r="Z735" s="12">
        <f>X735*Y735</f>
        <v>10.938666666666668</v>
      </c>
    </row>
    <row r="736" spans="17:26">
      <c r="Z736" s="6">
        <f>SUM(Z734:Z735)</f>
        <v>26.373333333333335</v>
      </c>
    </row>
    <row r="737" spans="17:26">
      <c r="R737" s="7" t="s">
        <v>317</v>
      </c>
    </row>
    <row r="738" spans="17:26">
      <c r="R738" t="s">
        <v>310</v>
      </c>
      <c r="V738" s="8" t="s">
        <v>311</v>
      </c>
      <c r="X738" s="10">
        <v>5</v>
      </c>
      <c r="Y738" s="12">
        <f>Z736</f>
        <v>26.373333333333335</v>
      </c>
      <c r="Z738" s="12">
        <f>X738%*Y738</f>
        <v>1.3186666666666669</v>
      </c>
    </row>
    <row r="739" spans="17:26">
      <c r="Q739" s="14"/>
      <c r="R739" s="14"/>
      <c r="S739" s="14"/>
      <c r="T739" s="14"/>
      <c r="U739" s="14"/>
      <c r="V739" s="14"/>
      <c r="W739" s="14"/>
      <c r="X739" s="14"/>
      <c r="Y739" s="14"/>
      <c r="Z739" s="16">
        <f>SUM(Z738:Z738)</f>
        <v>1.3186666666666669</v>
      </c>
    </row>
    <row r="741" spans="17:26">
      <c r="Q741" s="2" t="s">
        <v>333</v>
      </c>
      <c r="R741" s="2"/>
      <c r="S741" s="2" t="s">
        <v>1275</v>
      </c>
      <c r="T741" s="2"/>
      <c r="U741" s="2"/>
      <c r="V741" s="2"/>
      <c r="W741" s="2"/>
      <c r="X741" s="2"/>
      <c r="Y741" s="2"/>
    </row>
    <row r="742" spans="17:26">
      <c r="Q742" s="2" t="s">
        <v>278</v>
      </c>
      <c r="R742" s="2" t="s">
        <v>279</v>
      </c>
      <c r="S742" s="4" t="s">
        <v>280</v>
      </c>
      <c r="T742" s="5">
        <v>90</v>
      </c>
      <c r="U742" s="4" t="s">
        <v>281</v>
      </c>
      <c r="V742" s="5">
        <f>T742</f>
        <v>90</v>
      </c>
      <c r="W742" s="2" t="s">
        <v>282</v>
      </c>
      <c r="Y742" s="4" t="s">
        <v>133</v>
      </c>
      <c r="Z742" s="6">
        <f>Z747+Z751</f>
        <v>4.9788888888888891</v>
      </c>
    </row>
    <row r="743" spans="17:26">
      <c r="Q743" s="2" t="s">
        <v>283</v>
      </c>
      <c r="R743" s="2" t="s">
        <v>284</v>
      </c>
      <c r="V743" s="4" t="s">
        <v>122</v>
      </c>
      <c r="W743" s="4" t="s">
        <v>285</v>
      </c>
      <c r="X743" s="4" t="s">
        <v>286</v>
      </c>
      <c r="Y743" s="4" t="s">
        <v>287</v>
      </c>
      <c r="Z743" s="4" t="s">
        <v>288</v>
      </c>
    </row>
    <row r="744" spans="17:26">
      <c r="R744" s="7" t="s">
        <v>289</v>
      </c>
    </row>
    <row r="745" spans="17:26">
      <c r="R745" t="s">
        <v>290</v>
      </c>
      <c r="V745" s="8" t="s">
        <v>291</v>
      </c>
      <c r="W745" s="9">
        <v>1</v>
      </c>
      <c r="X745" s="10">
        <f>W745*8/$T$742</f>
        <v>8.8888888888888892E-2</v>
      </c>
      <c r="Y745" s="12">
        <v>28.94</v>
      </c>
      <c r="Z745" s="12">
        <f>X745*Y745</f>
        <v>2.5724444444444448</v>
      </c>
    </row>
    <row r="746" spans="17:26">
      <c r="R746" t="s">
        <v>293</v>
      </c>
      <c r="V746" s="8" t="s">
        <v>291</v>
      </c>
      <c r="W746" s="9">
        <v>1</v>
      </c>
      <c r="X746" s="10">
        <f>W746*8/$T$742</f>
        <v>8.8888888888888892E-2</v>
      </c>
      <c r="Y746" s="12">
        <v>20.51</v>
      </c>
      <c r="Z746" s="12">
        <f>X746*Y746</f>
        <v>1.8231111111111113</v>
      </c>
    </row>
    <row r="747" spans="17:26">
      <c r="Z747" s="6">
        <f>SUM(Z745:Z746)</f>
        <v>4.3955555555555561</v>
      </c>
    </row>
    <row r="748" spans="17:26">
      <c r="R748" s="7" t="s">
        <v>317</v>
      </c>
    </row>
    <row r="749" spans="17:26">
      <c r="R749" t="s">
        <v>310</v>
      </c>
      <c r="V749" s="8" t="s">
        <v>311</v>
      </c>
      <c r="X749" s="10">
        <v>5</v>
      </c>
      <c r="Y749" s="12">
        <f>Z747</f>
        <v>4.3955555555555561</v>
      </c>
      <c r="Z749" s="12">
        <f>X749%*Y749</f>
        <v>0.21977777777777782</v>
      </c>
    </row>
    <row r="750" spans="17:26">
      <c r="R750" t="s">
        <v>1272</v>
      </c>
      <c r="V750" s="8" t="s">
        <v>337</v>
      </c>
      <c r="W750" s="9">
        <v>1</v>
      </c>
      <c r="X750" s="10">
        <f>W750*8/$T$742</f>
        <v>8.8888888888888892E-2</v>
      </c>
      <c r="Y750" s="12">
        <v>4.09</v>
      </c>
      <c r="Z750" s="12">
        <f>X750*Y750</f>
        <v>0.36355555555555558</v>
      </c>
    </row>
    <row r="751" spans="17:26">
      <c r="Q751" s="14"/>
      <c r="R751" s="14"/>
      <c r="S751" s="14"/>
      <c r="T751" s="14"/>
      <c r="U751" s="14"/>
      <c r="V751" s="14"/>
      <c r="W751" s="14"/>
      <c r="X751" s="14"/>
      <c r="Y751" s="14"/>
      <c r="Z751" s="16">
        <f>SUM(Z749:Z750)</f>
        <v>0.58333333333333337</v>
      </c>
    </row>
    <row r="753" spans="17:26">
      <c r="Q753" s="2" t="s">
        <v>333</v>
      </c>
      <c r="R753" s="2"/>
      <c r="S753" s="2" t="s">
        <v>1276</v>
      </c>
      <c r="T753" s="2"/>
      <c r="U753" s="2"/>
      <c r="V753" s="2"/>
      <c r="W753" s="2"/>
      <c r="X753" s="2"/>
      <c r="Y753" s="2"/>
    </row>
    <row r="754" spans="17:26">
      <c r="Q754" s="2" t="s">
        <v>278</v>
      </c>
      <c r="R754" s="2" t="s">
        <v>279</v>
      </c>
      <c r="S754" s="4" t="s">
        <v>280</v>
      </c>
      <c r="T754" s="5">
        <v>75</v>
      </c>
      <c r="U754" s="4" t="s">
        <v>281</v>
      </c>
      <c r="V754" s="5">
        <f>T754</f>
        <v>75</v>
      </c>
      <c r="W754" s="2" t="s">
        <v>282</v>
      </c>
      <c r="Y754" s="4" t="s">
        <v>133</v>
      </c>
      <c r="Z754" s="6">
        <f>Z759+Z762</f>
        <v>5.5384000000000002</v>
      </c>
    </row>
    <row r="755" spans="17:26">
      <c r="Q755" s="2" t="s">
        <v>283</v>
      </c>
      <c r="R755" s="2" t="s">
        <v>284</v>
      </c>
      <c r="V755" s="4" t="s">
        <v>122</v>
      </c>
      <c r="W755" s="4" t="s">
        <v>285</v>
      </c>
      <c r="X755" s="4" t="s">
        <v>286</v>
      </c>
      <c r="Y755" s="4" t="s">
        <v>287</v>
      </c>
      <c r="Z755" s="4" t="s">
        <v>288</v>
      </c>
    </row>
    <row r="756" spans="17:26">
      <c r="R756" s="7" t="s">
        <v>289</v>
      </c>
    </row>
    <row r="757" spans="17:26">
      <c r="R757" t="s">
        <v>290</v>
      </c>
      <c r="V757" s="8" t="s">
        <v>291</v>
      </c>
      <c r="W757" s="9">
        <v>1</v>
      </c>
      <c r="X757" s="10">
        <f>W757*8/$T$754</f>
        <v>0.10666666666666667</v>
      </c>
      <c r="Y757" s="12">
        <v>28.94</v>
      </c>
      <c r="Z757" s="12">
        <f>X757*Y757</f>
        <v>3.0869333333333335</v>
      </c>
    </row>
    <row r="758" spans="17:26">
      <c r="R758" t="s">
        <v>293</v>
      </c>
      <c r="V758" s="8" t="s">
        <v>291</v>
      </c>
      <c r="W758" s="9">
        <v>1</v>
      </c>
      <c r="X758" s="10">
        <f>W758*8/$T$754</f>
        <v>0.10666666666666667</v>
      </c>
      <c r="Y758" s="12">
        <v>20.51</v>
      </c>
      <c r="Z758" s="12">
        <f>X758*Y758</f>
        <v>2.1877333333333335</v>
      </c>
    </row>
    <row r="759" spans="17:26">
      <c r="Z759" s="6">
        <f>SUM(Z757:Z758)</f>
        <v>5.2746666666666666</v>
      </c>
    </row>
    <row r="760" spans="17:26">
      <c r="R760" s="7" t="s">
        <v>317</v>
      </c>
    </row>
    <row r="761" spans="17:26">
      <c r="R761" t="s">
        <v>310</v>
      </c>
      <c r="V761" s="8" t="s">
        <v>311</v>
      </c>
      <c r="X761" s="10">
        <v>5</v>
      </c>
      <c r="Y761" s="12">
        <f>Z759</f>
        <v>5.2746666666666666</v>
      </c>
      <c r="Z761" s="12">
        <f>X761%*Y761</f>
        <v>0.26373333333333332</v>
      </c>
    </row>
    <row r="762" spans="17:26">
      <c r="Q762" s="14"/>
      <c r="R762" s="14"/>
      <c r="S762" s="14"/>
      <c r="T762" s="14"/>
      <c r="U762" s="14"/>
      <c r="V762" s="14"/>
      <c r="W762" s="14"/>
      <c r="X762" s="14"/>
      <c r="Y762" s="14"/>
      <c r="Z762" s="16">
        <f>SUM(Z761:Z761)</f>
        <v>0.26373333333333332</v>
      </c>
    </row>
    <row r="764" spans="17:26">
      <c r="Q764" s="2" t="s">
        <v>333</v>
      </c>
      <c r="R764" s="2"/>
      <c r="S764" s="2" t="s">
        <v>1277</v>
      </c>
      <c r="T764" s="2"/>
      <c r="U764" s="2"/>
      <c r="V764" s="2"/>
      <c r="W764" s="2"/>
      <c r="X764" s="2"/>
      <c r="Y764" s="2"/>
    </row>
    <row r="765" spans="17:26">
      <c r="Q765" s="2" t="s">
        <v>278</v>
      </c>
      <c r="R765" s="2" t="s">
        <v>279</v>
      </c>
      <c r="S765" s="4" t="s">
        <v>280</v>
      </c>
      <c r="T765" s="5">
        <v>75</v>
      </c>
      <c r="U765" s="4" t="s">
        <v>281</v>
      </c>
      <c r="V765" s="5">
        <f>T765</f>
        <v>75</v>
      </c>
      <c r="W765" s="2" t="s">
        <v>282</v>
      </c>
      <c r="Y765" s="4" t="s">
        <v>133</v>
      </c>
      <c r="Z765" s="6">
        <f>Z770+Z773</f>
        <v>5.5384000000000002</v>
      </c>
    </row>
    <row r="766" spans="17:26">
      <c r="Q766" s="2" t="s">
        <v>283</v>
      </c>
      <c r="R766" s="2" t="s">
        <v>284</v>
      </c>
      <c r="V766" s="4" t="s">
        <v>122</v>
      </c>
      <c r="W766" s="4" t="s">
        <v>285</v>
      </c>
      <c r="X766" s="4" t="s">
        <v>286</v>
      </c>
      <c r="Y766" s="4" t="s">
        <v>287</v>
      </c>
      <c r="Z766" s="4" t="s">
        <v>288</v>
      </c>
    </row>
    <row r="767" spans="17:26">
      <c r="R767" s="7" t="s">
        <v>289</v>
      </c>
    </row>
    <row r="768" spans="17:26">
      <c r="R768" t="s">
        <v>290</v>
      </c>
      <c r="V768" s="8" t="s">
        <v>291</v>
      </c>
      <c r="W768" s="9">
        <v>1</v>
      </c>
      <c r="X768" s="10">
        <f>W768*8/$T$765</f>
        <v>0.10666666666666667</v>
      </c>
      <c r="Y768" s="12">
        <v>28.94</v>
      </c>
      <c r="Z768" s="12">
        <f>X768*Y768</f>
        <v>3.0869333333333335</v>
      </c>
    </row>
    <row r="769" spans="17:26">
      <c r="R769" t="s">
        <v>293</v>
      </c>
      <c r="V769" s="8" t="s">
        <v>291</v>
      </c>
      <c r="W769" s="9">
        <v>1</v>
      </c>
      <c r="X769" s="10">
        <f>W769*8/$T$765</f>
        <v>0.10666666666666667</v>
      </c>
      <c r="Y769" s="12">
        <v>20.51</v>
      </c>
      <c r="Z769" s="12">
        <f>X769*Y769</f>
        <v>2.1877333333333335</v>
      </c>
    </row>
    <row r="770" spans="17:26">
      <c r="Z770" s="6">
        <f>SUM(Z768:Z769)</f>
        <v>5.2746666666666666</v>
      </c>
    </row>
    <row r="771" spans="17:26">
      <c r="R771" s="7" t="s">
        <v>317</v>
      </c>
    </row>
    <row r="772" spans="17:26">
      <c r="R772" t="s">
        <v>310</v>
      </c>
      <c r="V772" s="8" t="s">
        <v>311</v>
      </c>
      <c r="X772" s="10">
        <v>5</v>
      </c>
      <c r="Y772" s="12">
        <f>Z770</f>
        <v>5.2746666666666666</v>
      </c>
      <c r="Z772" s="12">
        <f>X772%*Y772</f>
        <v>0.26373333333333332</v>
      </c>
    </row>
    <row r="773" spans="17:26">
      <c r="Q773" s="14"/>
      <c r="R773" s="14"/>
      <c r="S773" s="14"/>
      <c r="T773" s="14"/>
      <c r="U773" s="14"/>
      <c r="V773" s="14"/>
      <c r="W773" s="14"/>
      <c r="X773" s="14"/>
      <c r="Y773" s="14"/>
      <c r="Z773" s="16">
        <f>SUM(Z772:Z772)</f>
        <v>0.26373333333333332</v>
      </c>
    </row>
    <row r="775" spans="17:26">
      <c r="Q775" s="2" t="s">
        <v>333</v>
      </c>
      <c r="R775" s="2"/>
      <c r="S775" s="2" t="s">
        <v>1278</v>
      </c>
      <c r="T775" s="2"/>
      <c r="U775" s="2"/>
      <c r="V775" s="2"/>
      <c r="W775" s="2"/>
      <c r="X775" s="2"/>
      <c r="Y775" s="2"/>
    </row>
    <row r="776" spans="17:26">
      <c r="Q776" s="2" t="s">
        <v>278</v>
      </c>
      <c r="R776" s="2" t="s">
        <v>279</v>
      </c>
      <c r="S776" s="4" t="s">
        <v>280</v>
      </c>
      <c r="T776" s="5">
        <v>40</v>
      </c>
      <c r="U776" s="4" t="s">
        <v>281</v>
      </c>
      <c r="V776" s="5">
        <f>T776</f>
        <v>40</v>
      </c>
      <c r="W776" s="2" t="s">
        <v>282</v>
      </c>
      <c r="Y776" s="4" t="s">
        <v>133</v>
      </c>
      <c r="Z776" s="6">
        <f>Z781+Z784</f>
        <v>10.384500000000001</v>
      </c>
    </row>
    <row r="777" spans="17:26">
      <c r="Q777" s="2" t="s">
        <v>283</v>
      </c>
      <c r="R777" s="2" t="s">
        <v>284</v>
      </c>
      <c r="V777" s="4" t="s">
        <v>122</v>
      </c>
      <c r="W777" s="4" t="s">
        <v>285</v>
      </c>
      <c r="X777" s="4" t="s">
        <v>286</v>
      </c>
      <c r="Y777" s="4" t="s">
        <v>287</v>
      </c>
      <c r="Z777" s="4" t="s">
        <v>288</v>
      </c>
    </row>
    <row r="778" spans="17:26">
      <c r="R778" s="7" t="s">
        <v>289</v>
      </c>
    </row>
    <row r="779" spans="17:26">
      <c r="R779" t="s">
        <v>290</v>
      </c>
      <c r="V779" s="8" t="s">
        <v>291</v>
      </c>
      <c r="W779" s="9">
        <v>1</v>
      </c>
      <c r="X779" s="10">
        <f>W779*8/$T$776</f>
        <v>0.2</v>
      </c>
      <c r="Y779" s="12">
        <v>28.94</v>
      </c>
      <c r="Z779" s="12">
        <f>X779*Y779</f>
        <v>5.7880000000000003</v>
      </c>
    </row>
    <row r="780" spans="17:26">
      <c r="R780" t="s">
        <v>293</v>
      </c>
      <c r="V780" s="8" t="s">
        <v>291</v>
      </c>
      <c r="W780" s="9">
        <v>1</v>
      </c>
      <c r="X780" s="10">
        <f>W780*8/$T$776</f>
        <v>0.2</v>
      </c>
      <c r="Y780" s="12">
        <v>20.51</v>
      </c>
      <c r="Z780" s="12">
        <f>X780*Y780</f>
        <v>4.1020000000000003</v>
      </c>
    </row>
    <row r="781" spans="17:26">
      <c r="Z781" s="6">
        <f>SUM(Z779:Z780)</f>
        <v>9.89</v>
      </c>
    </row>
    <row r="782" spans="17:26">
      <c r="R782" s="7" t="s">
        <v>317</v>
      </c>
    </row>
    <row r="783" spans="17:26">
      <c r="R783" t="s">
        <v>310</v>
      </c>
      <c r="V783" s="8" t="s">
        <v>311</v>
      </c>
      <c r="X783" s="10">
        <v>5</v>
      </c>
      <c r="Y783" s="12">
        <f>Z781</f>
        <v>9.89</v>
      </c>
      <c r="Z783" s="12">
        <f>X783%*Y783</f>
        <v>0.49450000000000005</v>
      </c>
    </row>
    <row r="784" spans="17:26">
      <c r="Q784" s="14"/>
      <c r="R784" s="14"/>
      <c r="S784" s="14"/>
      <c r="T784" s="14"/>
      <c r="U784" s="14"/>
      <c r="V784" s="14"/>
      <c r="W784" s="14"/>
      <c r="X784" s="14"/>
      <c r="Y784" s="14"/>
      <c r="Z784" s="16">
        <f>SUM(Z783:Z783)</f>
        <v>0.49450000000000005</v>
      </c>
    </row>
    <row r="786" spans="17:26">
      <c r="Q786" s="2" t="s">
        <v>333</v>
      </c>
      <c r="R786" s="2"/>
      <c r="S786" s="2" t="s">
        <v>1279</v>
      </c>
      <c r="T786" s="2"/>
      <c r="U786" s="2"/>
      <c r="V786" s="2"/>
      <c r="W786" s="2"/>
      <c r="X786" s="2"/>
      <c r="Y786" s="2"/>
    </row>
    <row r="787" spans="17:26">
      <c r="Q787" s="2" t="s">
        <v>278</v>
      </c>
      <c r="R787" s="2" t="s">
        <v>279</v>
      </c>
      <c r="S787" s="4" t="s">
        <v>280</v>
      </c>
      <c r="T787" s="5">
        <v>40</v>
      </c>
      <c r="U787" s="4" t="s">
        <v>281</v>
      </c>
      <c r="V787" s="5">
        <f>T787</f>
        <v>40</v>
      </c>
      <c r="W787" s="2" t="s">
        <v>282</v>
      </c>
      <c r="Y787" s="4" t="s">
        <v>133</v>
      </c>
      <c r="Z787" s="6">
        <f>Z792+Z795</f>
        <v>10.384500000000001</v>
      </c>
    </row>
    <row r="788" spans="17:26">
      <c r="Q788" s="2" t="s">
        <v>283</v>
      </c>
      <c r="R788" s="2" t="s">
        <v>284</v>
      </c>
      <c r="V788" s="4" t="s">
        <v>122</v>
      </c>
      <c r="W788" s="4" t="s">
        <v>285</v>
      </c>
      <c r="X788" s="4" t="s">
        <v>286</v>
      </c>
      <c r="Y788" s="4" t="s">
        <v>287</v>
      </c>
      <c r="Z788" s="4" t="s">
        <v>288</v>
      </c>
    </row>
    <row r="789" spans="17:26">
      <c r="R789" s="7" t="s">
        <v>289</v>
      </c>
    </row>
    <row r="790" spans="17:26">
      <c r="R790" t="s">
        <v>290</v>
      </c>
      <c r="V790" s="8" t="s">
        <v>291</v>
      </c>
      <c r="W790" s="9">
        <v>1</v>
      </c>
      <c r="X790" s="10">
        <f>W790*8/$T$787</f>
        <v>0.2</v>
      </c>
      <c r="Y790" s="12">
        <v>28.94</v>
      </c>
      <c r="Z790" s="12">
        <f>X790*Y790</f>
        <v>5.7880000000000003</v>
      </c>
    </row>
    <row r="791" spans="17:26">
      <c r="R791" t="s">
        <v>293</v>
      </c>
      <c r="V791" s="8" t="s">
        <v>291</v>
      </c>
      <c r="W791" s="9">
        <v>1</v>
      </c>
      <c r="X791" s="10">
        <f>W791*8/$T$787</f>
        <v>0.2</v>
      </c>
      <c r="Y791" s="12">
        <v>20.51</v>
      </c>
      <c r="Z791" s="12">
        <f>X791*Y791</f>
        <v>4.1020000000000003</v>
      </c>
    </row>
    <row r="792" spans="17:26">
      <c r="Z792" s="6">
        <f>SUM(Z790:Z791)</f>
        <v>9.89</v>
      </c>
    </row>
    <row r="793" spans="17:26">
      <c r="R793" s="7" t="s">
        <v>317</v>
      </c>
    </row>
    <row r="794" spans="17:26">
      <c r="R794" t="s">
        <v>310</v>
      </c>
      <c r="V794" s="8" t="s">
        <v>311</v>
      </c>
      <c r="X794" s="10">
        <v>5</v>
      </c>
      <c r="Y794" s="12">
        <f>Z792</f>
        <v>9.89</v>
      </c>
      <c r="Z794" s="12">
        <f>X794%*Y794</f>
        <v>0.49450000000000005</v>
      </c>
    </row>
    <row r="795" spans="17:26">
      <c r="Q795" s="14"/>
      <c r="R795" s="14"/>
      <c r="S795" s="14"/>
      <c r="T795" s="14"/>
      <c r="U795" s="14"/>
      <c r="V795" s="14"/>
      <c r="W795" s="14"/>
      <c r="X795" s="14"/>
      <c r="Y795" s="14"/>
      <c r="Z795" s="16">
        <f>SUM(Z794:Z794)</f>
        <v>0.49450000000000005</v>
      </c>
    </row>
    <row r="797" spans="17:26">
      <c r="Q797" s="2" t="s">
        <v>333</v>
      </c>
      <c r="R797" s="2"/>
      <c r="S797" s="2" t="s">
        <v>1280</v>
      </c>
      <c r="T797" s="2"/>
      <c r="U797" s="2"/>
      <c r="V797" s="2"/>
      <c r="W797" s="2"/>
      <c r="X797" s="2"/>
      <c r="Y797" s="2"/>
    </row>
    <row r="798" spans="17:26">
      <c r="Q798" s="2" t="s">
        <v>278</v>
      </c>
      <c r="R798" s="2" t="s">
        <v>325</v>
      </c>
      <c r="S798" s="4" t="s">
        <v>280</v>
      </c>
      <c r="T798" s="5">
        <v>33</v>
      </c>
      <c r="U798" s="4" t="s">
        <v>281</v>
      </c>
      <c r="V798" s="5">
        <f>T798</f>
        <v>33</v>
      </c>
      <c r="W798" s="2" t="s">
        <v>282</v>
      </c>
      <c r="Y798" s="4" t="s">
        <v>149</v>
      </c>
      <c r="Z798" s="6">
        <f>Z803+Z806</f>
        <v>28.249454545454547</v>
      </c>
    </row>
    <row r="799" spans="17:26">
      <c r="Q799" s="2" t="s">
        <v>283</v>
      </c>
      <c r="R799" s="2" t="s">
        <v>284</v>
      </c>
      <c r="V799" s="4" t="s">
        <v>122</v>
      </c>
      <c r="W799" s="4" t="s">
        <v>285</v>
      </c>
      <c r="X799" s="4" t="s">
        <v>286</v>
      </c>
      <c r="Y799" s="4" t="s">
        <v>287</v>
      </c>
      <c r="Z799" s="4" t="s">
        <v>288</v>
      </c>
    </row>
    <row r="800" spans="17:26">
      <c r="R800" s="7" t="s">
        <v>289</v>
      </c>
    </row>
    <row r="801" spans="17:26">
      <c r="R801" t="s">
        <v>290</v>
      </c>
      <c r="V801" s="8" t="s">
        <v>291</v>
      </c>
      <c r="W801" s="9">
        <v>1</v>
      </c>
      <c r="X801" s="10">
        <f>W801*8/$T$798</f>
        <v>0.24242424242424243</v>
      </c>
      <c r="Y801" s="12">
        <v>28.94</v>
      </c>
      <c r="Z801" s="12">
        <f>X801*Y801</f>
        <v>7.0157575757575765</v>
      </c>
    </row>
    <row r="802" spans="17:26">
      <c r="R802" t="s">
        <v>293</v>
      </c>
      <c r="V802" s="8" t="s">
        <v>291</v>
      </c>
      <c r="W802" s="9">
        <v>4</v>
      </c>
      <c r="X802" s="10">
        <f>W802*8/$T$798</f>
        <v>0.96969696969696972</v>
      </c>
      <c r="Y802" s="12">
        <v>20.51</v>
      </c>
      <c r="Z802" s="12">
        <f>X802*Y802</f>
        <v>19.88848484848485</v>
      </c>
    </row>
    <row r="803" spans="17:26">
      <c r="Z803" s="6">
        <f>SUM(Z801:Z802)</f>
        <v>26.904242424242426</v>
      </c>
    </row>
    <row r="804" spans="17:26">
      <c r="R804" s="7" t="s">
        <v>317</v>
      </c>
    </row>
    <row r="805" spans="17:26">
      <c r="R805" t="s">
        <v>310</v>
      </c>
      <c r="V805" s="8" t="s">
        <v>311</v>
      </c>
      <c r="X805" s="10">
        <v>5</v>
      </c>
      <c r="Y805" s="12">
        <f>Z803</f>
        <v>26.904242424242426</v>
      </c>
      <c r="Z805" s="12">
        <f>X805%*Y805</f>
        <v>1.3452121212121213</v>
      </c>
    </row>
    <row r="806" spans="17:26">
      <c r="Q806" s="14"/>
      <c r="R806" s="14"/>
      <c r="S806" s="14"/>
      <c r="T806" s="14"/>
      <c r="U806" s="14"/>
      <c r="V806" s="14"/>
      <c r="W806" s="14"/>
      <c r="X806" s="14"/>
      <c r="Y806" s="14"/>
      <c r="Z806" s="16">
        <f>SUM(Z805:Z805)</f>
        <v>1.3452121212121213</v>
      </c>
    </row>
    <row r="808" spans="17:26">
      <c r="Q808" s="2" t="s">
        <v>333</v>
      </c>
      <c r="R808" s="2"/>
      <c r="S808" s="2" t="s">
        <v>1281</v>
      </c>
      <c r="T808" s="2"/>
      <c r="U808" s="2"/>
      <c r="V808" s="2"/>
      <c r="W808" s="2"/>
      <c r="X808" s="2"/>
      <c r="Y808" s="2"/>
    </row>
    <row r="809" spans="17:26">
      <c r="Q809" s="2" t="s">
        <v>278</v>
      </c>
      <c r="R809" s="2" t="s">
        <v>325</v>
      </c>
      <c r="S809" s="4" t="s">
        <v>280</v>
      </c>
      <c r="T809" s="5">
        <v>20</v>
      </c>
      <c r="U809" s="4" t="s">
        <v>281</v>
      </c>
      <c r="V809" s="5">
        <f>T809</f>
        <v>20</v>
      </c>
      <c r="W809" s="2" t="s">
        <v>282</v>
      </c>
      <c r="Y809" s="4" t="s">
        <v>149</v>
      </c>
      <c r="Z809" s="6">
        <f>Z814+Z819</f>
        <v>20.147400000000001</v>
      </c>
    </row>
    <row r="810" spans="17:26">
      <c r="Q810" s="2" t="s">
        <v>283</v>
      </c>
      <c r="R810" s="2" t="s">
        <v>284</v>
      </c>
      <c r="V810" s="4" t="s">
        <v>122</v>
      </c>
      <c r="W810" s="4" t="s">
        <v>285</v>
      </c>
      <c r="X810" s="4" t="s">
        <v>286</v>
      </c>
      <c r="Y810" s="4" t="s">
        <v>287</v>
      </c>
      <c r="Z810" s="4" t="s">
        <v>288</v>
      </c>
    </row>
    <row r="811" spans="17:26">
      <c r="R811" s="7" t="s">
        <v>289</v>
      </c>
    </row>
    <row r="812" spans="17:26">
      <c r="R812" t="s">
        <v>292</v>
      </c>
      <c r="V812" s="8" t="s">
        <v>291</v>
      </c>
      <c r="W812" s="9">
        <v>1</v>
      </c>
      <c r="X812" s="10">
        <f>W812*8/$T$809</f>
        <v>0.4</v>
      </c>
      <c r="Y812" s="12">
        <v>22.66</v>
      </c>
      <c r="Z812" s="12">
        <f>X812*Y812</f>
        <v>9.0640000000000001</v>
      </c>
    </row>
    <row r="813" spans="17:26">
      <c r="R813" t="s">
        <v>293</v>
      </c>
      <c r="V813" s="8" t="s">
        <v>291</v>
      </c>
      <c r="W813" s="9">
        <v>1</v>
      </c>
      <c r="X813" s="10">
        <f>W813*8/$T$809</f>
        <v>0.4</v>
      </c>
      <c r="Y813" s="12">
        <v>20.51</v>
      </c>
      <c r="Z813" s="12">
        <f>X813*Y813</f>
        <v>8.2040000000000006</v>
      </c>
    </row>
    <row r="814" spans="17:26">
      <c r="Z814" s="6">
        <f>SUM(Z812:Z813)</f>
        <v>17.268000000000001</v>
      </c>
    </row>
    <row r="815" spans="17:26">
      <c r="R815" s="7" t="s">
        <v>317</v>
      </c>
    </row>
    <row r="816" spans="17:26">
      <c r="R816" t="s">
        <v>310</v>
      </c>
      <c r="V816" s="8" t="s">
        <v>311</v>
      </c>
      <c r="X816" s="10">
        <v>5</v>
      </c>
      <c r="Y816" s="12">
        <f>Z814</f>
        <v>17.268000000000001</v>
      </c>
      <c r="Z816" s="12">
        <f>X816%*Y816</f>
        <v>0.86340000000000006</v>
      </c>
    </row>
    <row r="817" spans="17:26">
      <c r="R817" t="s">
        <v>1282</v>
      </c>
      <c r="V817" s="8" t="s">
        <v>337</v>
      </c>
      <c r="W817" s="9">
        <v>0.5</v>
      </c>
      <c r="X817" s="10">
        <f>W817*8/$T$809</f>
        <v>0.2</v>
      </c>
      <c r="Y817" s="12">
        <v>4.09</v>
      </c>
      <c r="Z817" s="12">
        <f>X817*Y817</f>
        <v>0.81800000000000006</v>
      </c>
    </row>
    <row r="818" spans="17:26">
      <c r="R818" t="s">
        <v>1283</v>
      </c>
      <c r="V818" s="8" t="s">
        <v>337</v>
      </c>
      <c r="W818" s="9">
        <v>0.5</v>
      </c>
      <c r="X818" s="10">
        <f>W818*8/$T$809</f>
        <v>0.2</v>
      </c>
      <c r="Y818" s="12">
        <v>5.99</v>
      </c>
      <c r="Z818" s="12">
        <f>X818*Y818</f>
        <v>1.1980000000000002</v>
      </c>
    </row>
    <row r="819" spans="17:26">
      <c r="Q819" s="14"/>
      <c r="R819" s="14"/>
      <c r="S819" s="14"/>
      <c r="T819" s="14"/>
      <c r="U819" s="14"/>
      <c r="V819" s="14"/>
      <c r="W819" s="14"/>
      <c r="X819" s="14"/>
      <c r="Y819" s="14"/>
      <c r="Z819" s="16">
        <f>SUM(Z816:Z818)</f>
        <v>2.8794000000000004</v>
      </c>
    </row>
    <row r="821" spans="17:26">
      <c r="Q821" s="2" t="s">
        <v>333</v>
      </c>
      <c r="R821" s="2"/>
      <c r="S821" s="2" t="s">
        <v>1284</v>
      </c>
      <c r="T821" s="2"/>
      <c r="U821" s="2"/>
      <c r="V821" s="2"/>
      <c r="W821" s="2"/>
      <c r="X821" s="2"/>
      <c r="Y821" s="2"/>
    </row>
    <row r="822" spans="17:26">
      <c r="Q822" s="2" t="s">
        <v>278</v>
      </c>
      <c r="R822" s="2" t="s">
        <v>279</v>
      </c>
      <c r="S822" s="4" t="s">
        <v>280</v>
      </c>
      <c r="T822" s="5">
        <v>60</v>
      </c>
      <c r="U822" s="4" t="s">
        <v>281</v>
      </c>
      <c r="V822" s="5">
        <f>T822</f>
        <v>60</v>
      </c>
      <c r="W822" s="2" t="s">
        <v>282</v>
      </c>
      <c r="Y822" s="4" t="s">
        <v>133</v>
      </c>
      <c r="Z822" s="6">
        <f>Z827+Z830</f>
        <v>6.923</v>
      </c>
    </row>
    <row r="823" spans="17:26">
      <c r="Q823" s="2" t="s">
        <v>283</v>
      </c>
      <c r="R823" s="2" t="s">
        <v>284</v>
      </c>
      <c r="V823" s="4" t="s">
        <v>122</v>
      </c>
      <c r="W823" s="4" t="s">
        <v>285</v>
      </c>
      <c r="X823" s="4" t="s">
        <v>286</v>
      </c>
      <c r="Y823" s="4" t="s">
        <v>287</v>
      </c>
      <c r="Z823" s="4" t="s">
        <v>288</v>
      </c>
    </row>
    <row r="824" spans="17:26">
      <c r="R824" s="7" t="s">
        <v>289</v>
      </c>
    </row>
    <row r="825" spans="17:26">
      <c r="R825" t="s">
        <v>290</v>
      </c>
      <c r="V825" s="8" t="s">
        <v>291</v>
      </c>
      <c r="W825" s="9">
        <v>1</v>
      </c>
      <c r="X825" s="10">
        <f>W825*8/$T$822</f>
        <v>0.13333333333333333</v>
      </c>
      <c r="Y825" s="12">
        <v>28.94</v>
      </c>
      <c r="Z825" s="12">
        <f>X825*Y825</f>
        <v>3.8586666666666667</v>
      </c>
    </row>
    <row r="826" spans="17:26">
      <c r="R826" t="s">
        <v>293</v>
      </c>
      <c r="V826" s="8" t="s">
        <v>291</v>
      </c>
      <c r="W826" s="9">
        <v>1</v>
      </c>
      <c r="X826" s="10">
        <f>W826*8/$T$822</f>
        <v>0.13333333333333333</v>
      </c>
      <c r="Y826" s="12">
        <v>20.51</v>
      </c>
      <c r="Z826" s="12">
        <f>X826*Y826</f>
        <v>2.734666666666667</v>
      </c>
    </row>
    <row r="827" spans="17:26">
      <c r="Z827" s="6">
        <f>SUM(Z825:Z826)</f>
        <v>6.5933333333333337</v>
      </c>
    </row>
    <row r="828" spans="17:26">
      <c r="R828" s="7" t="s">
        <v>317</v>
      </c>
    </row>
    <row r="829" spans="17:26">
      <c r="R829" t="s">
        <v>310</v>
      </c>
      <c r="V829" s="8" t="s">
        <v>311</v>
      </c>
      <c r="X829" s="10">
        <v>5</v>
      </c>
      <c r="Y829" s="12">
        <f>Z827</f>
        <v>6.5933333333333337</v>
      </c>
      <c r="Z829" s="12">
        <f>X829%*Y829</f>
        <v>0.32966666666666672</v>
      </c>
    </row>
    <row r="830" spans="17:26">
      <c r="Q830" s="14"/>
      <c r="R830" s="14"/>
      <c r="S830" s="14"/>
      <c r="T830" s="14"/>
      <c r="U830" s="14"/>
      <c r="V830" s="14"/>
      <c r="W830" s="14"/>
      <c r="X830" s="14"/>
      <c r="Y830" s="14"/>
      <c r="Z830" s="16">
        <f>SUM(Z829:Z829)</f>
        <v>0.32966666666666672</v>
      </c>
    </row>
    <row r="832" spans="17:26">
      <c r="Q832" s="2" t="s">
        <v>333</v>
      </c>
      <c r="R832" s="2"/>
      <c r="S832" s="2" t="s">
        <v>1285</v>
      </c>
      <c r="T832" s="2"/>
      <c r="U832" s="2"/>
      <c r="V832" s="2"/>
      <c r="W832" s="2"/>
      <c r="X832" s="2"/>
      <c r="Y832" s="2"/>
    </row>
    <row r="833" spans="17:26">
      <c r="Q833" s="2" t="s">
        <v>278</v>
      </c>
      <c r="R833" s="2" t="s">
        <v>325</v>
      </c>
      <c r="S833" s="4" t="s">
        <v>280</v>
      </c>
      <c r="T833" s="5">
        <v>16</v>
      </c>
      <c r="U833" s="4" t="s">
        <v>281</v>
      </c>
      <c r="V833" s="5">
        <f>T833</f>
        <v>16</v>
      </c>
      <c r="W833" s="2" t="s">
        <v>282</v>
      </c>
      <c r="Y833" s="4" t="s">
        <v>149</v>
      </c>
      <c r="Z833" s="6">
        <f>Z838+Z841</f>
        <v>22.664250000000003</v>
      </c>
    </row>
    <row r="834" spans="17:26">
      <c r="Q834" s="2" t="s">
        <v>283</v>
      </c>
      <c r="R834" s="2" t="s">
        <v>284</v>
      </c>
      <c r="V834" s="4" t="s">
        <v>122</v>
      </c>
      <c r="W834" s="4" t="s">
        <v>285</v>
      </c>
      <c r="X834" s="4" t="s">
        <v>286</v>
      </c>
      <c r="Y834" s="4" t="s">
        <v>287</v>
      </c>
      <c r="Z834" s="4" t="s">
        <v>288</v>
      </c>
    </row>
    <row r="835" spans="17:26">
      <c r="R835" s="7" t="s">
        <v>289</v>
      </c>
    </row>
    <row r="836" spans="17:26">
      <c r="R836" t="s">
        <v>292</v>
      </c>
      <c r="V836" s="8" t="s">
        <v>291</v>
      </c>
      <c r="W836" s="9">
        <v>1</v>
      </c>
      <c r="X836" s="10">
        <f>W836*8/$T$833</f>
        <v>0.5</v>
      </c>
      <c r="Y836" s="12">
        <v>22.66</v>
      </c>
      <c r="Z836" s="12">
        <f>X836*Y836</f>
        <v>11.33</v>
      </c>
    </row>
    <row r="837" spans="17:26">
      <c r="R837" t="s">
        <v>293</v>
      </c>
      <c r="V837" s="8" t="s">
        <v>291</v>
      </c>
      <c r="W837" s="9">
        <v>1</v>
      </c>
      <c r="X837" s="10">
        <f>W837*8/$T$833</f>
        <v>0.5</v>
      </c>
      <c r="Y837" s="12">
        <v>20.51</v>
      </c>
      <c r="Z837" s="12">
        <f>X837*Y837</f>
        <v>10.255000000000001</v>
      </c>
    </row>
    <row r="838" spans="17:26">
      <c r="Z838" s="6">
        <f>SUM(Z836:Z837)</f>
        <v>21.585000000000001</v>
      </c>
    </row>
    <row r="839" spans="17:26">
      <c r="R839" s="7" t="s">
        <v>317</v>
      </c>
    </row>
    <row r="840" spans="17:26">
      <c r="R840" t="s">
        <v>310</v>
      </c>
      <c r="V840" s="8" t="s">
        <v>311</v>
      </c>
      <c r="X840" s="10">
        <v>5</v>
      </c>
      <c r="Y840" s="12">
        <f>Z838</f>
        <v>21.585000000000001</v>
      </c>
      <c r="Z840" s="12">
        <f>X840%*Y840</f>
        <v>1.07925</v>
      </c>
    </row>
    <row r="841" spans="17:26">
      <c r="Q841" s="14"/>
      <c r="R841" s="14"/>
      <c r="S841" s="14"/>
      <c r="T841" s="14"/>
      <c r="U841" s="14"/>
      <c r="V841" s="14"/>
      <c r="W841" s="14"/>
      <c r="X841" s="14"/>
      <c r="Y841" s="14"/>
      <c r="Z841" s="16">
        <f>SUM(Z840:Z840)</f>
        <v>1.07925</v>
      </c>
    </row>
    <row r="843" spans="17:26">
      <c r="Q843" s="2" t="s">
        <v>333</v>
      </c>
      <c r="R843" s="2"/>
      <c r="S843" s="2" t="s">
        <v>1286</v>
      </c>
      <c r="T843" s="2"/>
      <c r="U843" s="2"/>
      <c r="V843" s="2"/>
      <c r="W843" s="2"/>
      <c r="X843" s="2"/>
      <c r="Y843" s="2"/>
    </row>
    <row r="844" spans="17:26">
      <c r="Q844" s="2" t="s">
        <v>278</v>
      </c>
      <c r="R844" s="2" t="s">
        <v>279</v>
      </c>
      <c r="S844" s="4" t="s">
        <v>280</v>
      </c>
      <c r="T844" s="5">
        <v>40</v>
      </c>
      <c r="U844" s="4" t="s">
        <v>281</v>
      </c>
      <c r="V844" s="5">
        <f>T844</f>
        <v>40</v>
      </c>
      <c r="W844" s="2" t="s">
        <v>282</v>
      </c>
      <c r="Y844" s="4" t="s">
        <v>133</v>
      </c>
      <c r="Z844" s="6">
        <f>Z850+Z856</f>
        <v>51.200200000000002</v>
      </c>
    </row>
    <row r="845" spans="17:26">
      <c r="Q845" s="2" t="s">
        <v>283</v>
      </c>
      <c r="R845" s="2" t="s">
        <v>284</v>
      </c>
      <c r="V845" s="4" t="s">
        <v>122</v>
      </c>
      <c r="W845" s="4" t="s">
        <v>285</v>
      </c>
      <c r="X845" s="4" t="s">
        <v>286</v>
      </c>
      <c r="Y845" s="4" t="s">
        <v>287</v>
      </c>
      <c r="Z845" s="4" t="s">
        <v>288</v>
      </c>
    </row>
    <row r="846" spans="17:26">
      <c r="R846" s="7" t="s">
        <v>289</v>
      </c>
    </row>
    <row r="847" spans="17:26">
      <c r="R847" t="s">
        <v>290</v>
      </c>
      <c r="V847" s="8" t="s">
        <v>291</v>
      </c>
      <c r="W847" s="9">
        <v>1</v>
      </c>
      <c r="X847" s="10">
        <f>W847*8/$T$844</f>
        <v>0.2</v>
      </c>
      <c r="Y847" s="12">
        <v>28.94</v>
      </c>
      <c r="Z847" s="12">
        <f>X847*Y847</f>
        <v>5.7880000000000003</v>
      </c>
    </row>
    <row r="848" spans="17:26">
      <c r="R848" t="s">
        <v>292</v>
      </c>
      <c r="V848" s="8" t="s">
        <v>291</v>
      </c>
      <c r="W848" s="9">
        <v>1</v>
      </c>
      <c r="X848" s="10">
        <f>W848*8/$T$844</f>
        <v>0.2</v>
      </c>
      <c r="Y848" s="12">
        <v>22.66</v>
      </c>
      <c r="Z848" s="12">
        <f>X848*Y848</f>
        <v>4.532</v>
      </c>
    </row>
    <row r="849" spans="17:26">
      <c r="R849" t="s">
        <v>293</v>
      </c>
      <c r="V849" s="8" t="s">
        <v>291</v>
      </c>
      <c r="W849" s="9">
        <v>2</v>
      </c>
      <c r="X849" s="10">
        <f>W849*8/$T$844</f>
        <v>0.4</v>
      </c>
      <c r="Y849" s="12">
        <v>20.51</v>
      </c>
      <c r="Z849" s="12">
        <f>X849*Y849</f>
        <v>8.2040000000000006</v>
      </c>
    </row>
    <row r="850" spans="17:26">
      <c r="Z850" s="6">
        <f>SUM(Z847:Z849)</f>
        <v>18.524000000000001</v>
      </c>
    </row>
    <row r="851" spans="17:26">
      <c r="R851" s="7" t="s">
        <v>317</v>
      </c>
    </row>
    <row r="852" spans="17:26">
      <c r="R852" t="s">
        <v>310</v>
      </c>
      <c r="V852" s="8" t="s">
        <v>311</v>
      </c>
      <c r="X852" s="10">
        <v>5</v>
      </c>
      <c r="Y852" s="12">
        <f>Z850</f>
        <v>18.524000000000001</v>
      </c>
      <c r="Z852" s="12">
        <f>X852%*Y852</f>
        <v>0.92620000000000013</v>
      </c>
    </row>
    <row r="853" spans="17:26">
      <c r="R853" t="s">
        <v>1282</v>
      </c>
      <c r="V853" s="8" t="s">
        <v>337</v>
      </c>
      <c r="W853" s="9">
        <v>1</v>
      </c>
      <c r="X853" s="10">
        <f>W853*8/$T$844</f>
        <v>0.2</v>
      </c>
      <c r="Y853" s="12">
        <v>4.09</v>
      </c>
      <c r="Z853" s="12">
        <f>X853*Y853</f>
        <v>0.81800000000000006</v>
      </c>
    </row>
    <row r="854" spans="17:26">
      <c r="R854" t="s">
        <v>1287</v>
      </c>
      <c r="V854" s="8" t="s">
        <v>337</v>
      </c>
      <c r="W854" s="9">
        <v>1</v>
      </c>
      <c r="X854" s="10">
        <f>W854*8/$T$844</f>
        <v>0.2</v>
      </c>
      <c r="Y854" s="12">
        <v>152.54</v>
      </c>
      <c r="Z854" s="12">
        <f t="shared" ref="Z854:Z855" si="29">X854*Y854</f>
        <v>30.507999999999999</v>
      </c>
    </row>
    <row r="855" spans="17:26">
      <c r="R855" t="s">
        <v>1288</v>
      </c>
      <c r="V855" s="8" t="s">
        <v>337</v>
      </c>
      <c r="W855" s="9">
        <v>0.5</v>
      </c>
      <c r="X855" s="10">
        <f>W855*8/$T$844</f>
        <v>0.1</v>
      </c>
      <c r="Y855" s="12">
        <v>4.24</v>
      </c>
      <c r="Z855" s="12">
        <f t="shared" si="29"/>
        <v>0.42400000000000004</v>
      </c>
    </row>
    <row r="856" spans="17:26">
      <c r="Q856" s="14"/>
      <c r="R856" s="14"/>
      <c r="S856" s="14"/>
      <c r="T856" s="14"/>
      <c r="U856" s="14"/>
      <c r="V856" s="14"/>
      <c r="W856" s="14"/>
      <c r="X856" s="14"/>
      <c r="Y856" s="14"/>
      <c r="Z856" s="16">
        <f>SUM(Z852:Z855)</f>
        <v>32.676200000000001</v>
      </c>
    </row>
    <row r="858" spans="17:26">
      <c r="Q858" s="2" t="s">
        <v>333</v>
      </c>
      <c r="R858" s="2"/>
      <c r="S858" s="2" t="s">
        <v>1289</v>
      </c>
      <c r="T858" s="2"/>
      <c r="U858" s="2"/>
      <c r="V858" s="2"/>
      <c r="W858" s="2"/>
      <c r="X858" s="2"/>
      <c r="Y858" s="2"/>
    </row>
    <row r="859" spans="17:26">
      <c r="Q859" s="2" t="s">
        <v>278</v>
      </c>
      <c r="R859" s="2" t="s">
        <v>325</v>
      </c>
      <c r="S859" s="4" t="s">
        <v>280</v>
      </c>
      <c r="T859" s="5">
        <v>16</v>
      </c>
      <c r="U859" s="4" t="s">
        <v>281</v>
      </c>
      <c r="V859" s="5">
        <f>T859</f>
        <v>16</v>
      </c>
      <c r="W859" s="2" t="s">
        <v>282</v>
      </c>
      <c r="Y859" s="4" t="s">
        <v>149</v>
      </c>
      <c r="Z859" s="6">
        <f>Z864+Z867</f>
        <v>17.280374999999999</v>
      </c>
    </row>
    <row r="860" spans="17:26">
      <c r="Q860" s="2" t="s">
        <v>283</v>
      </c>
      <c r="R860" s="2" t="s">
        <v>284</v>
      </c>
      <c r="V860" s="4" t="s">
        <v>122</v>
      </c>
      <c r="W860" s="4" t="s">
        <v>285</v>
      </c>
      <c r="X860" s="4" t="s">
        <v>286</v>
      </c>
      <c r="Y860" s="4" t="s">
        <v>287</v>
      </c>
      <c r="Z860" s="4" t="s">
        <v>288</v>
      </c>
    </row>
    <row r="861" spans="17:26">
      <c r="R861" s="7" t="s">
        <v>289</v>
      </c>
    </row>
    <row r="862" spans="17:26">
      <c r="R862" t="s">
        <v>292</v>
      </c>
      <c r="V862" s="8" t="s">
        <v>291</v>
      </c>
      <c r="W862" s="9">
        <v>1</v>
      </c>
      <c r="X862" s="10">
        <f>W862*8/$T$859</f>
        <v>0.5</v>
      </c>
      <c r="Y862" s="12">
        <v>22.66</v>
      </c>
      <c r="Z862" s="12">
        <f>X862*Y862</f>
        <v>11.33</v>
      </c>
    </row>
    <row r="863" spans="17:26">
      <c r="R863" t="s">
        <v>293</v>
      </c>
      <c r="V863" s="8" t="s">
        <v>291</v>
      </c>
      <c r="W863" s="9">
        <v>0.5</v>
      </c>
      <c r="X863" s="10">
        <f>W863*8/$T$859</f>
        <v>0.25</v>
      </c>
      <c r="Y863" s="12">
        <v>20.51</v>
      </c>
      <c r="Z863" s="12">
        <f>X863*Y863</f>
        <v>5.1275000000000004</v>
      </c>
    </row>
    <row r="864" spans="17:26">
      <c r="Z864" s="6">
        <f>SUM(Z862:Z863)</f>
        <v>16.4575</v>
      </c>
    </row>
    <row r="865" spans="17:26">
      <c r="R865" s="7" t="s">
        <v>317</v>
      </c>
    </row>
    <row r="866" spans="17:26">
      <c r="R866" t="s">
        <v>310</v>
      </c>
      <c r="V866" s="8" t="s">
        <v>311</v>
      </c>
      <c r="X866" s="10">
        <v>5</v>
      </c>
      <c r="Y866" s="12">
        <f>Z864</f>
        <v>16.4575</v>
      </c>
      <c r="Z866" s="12">
        <f>X866%*Y866</f>
        <v>0.82287500000000002</v>
      </c>
    </row>
    <row r="867" spans="17:26">
      <c r="Q867" s="14"/>
      <c r="R867" s="14"/>
      <c r="S867" s="14"/>
      <c r="T867" s="14"/>
      <c r="U867" s="14"/>
      <c r="V867" s="14"/>
      <c r="W867" s="14"/>
      <c r="X867" s="14"/>
      <c r="Y867" s="14"/>
      <c r="Z867" s="16">
        <f>SUM(Z866:Z866)</f>
        <v>0.82287500000000002</v>
      </c>
    </row>
    <row r="869" spans="17:26">
      <c r="Q869" s="2" t="s">
        <v>333</v>
      </c>
      <c r="R869" s="2"/>
      <c r="S869" s="2" t="s">
        <v>1290</v>
      </c>
      <c r="T869" s="2"/>
      <c r="U869" s="2"/>
      <c r="V869" s="2"/>
      <c r="W869" s="2"/>
      <c r="X869" s="2"/>
      <c r="Y869" s="2"/>
    </row>
    <row r="870" spans="17:26">
      <c r="Q870" s="2" t="s">
        <v>278</v>
      </c>
      <c r="R870" s="2" t="s">
        <v>325</v>
      </c>
      <c r="S870" s="4" t="s">
        <v>280</v>
      </c>
      <c r="T870" s="5">
        <v>10</v>
      </c>
      <c r="U870" s="4" t="s">
        <v>281</v>
      </c>
      <c r="V870" s="5">
        <f>T870</f>
        <v>10</v>
      </c>
      <c r="W870" s="2" t="s">
        <v>282</v>
      </c>
      <c r="Y870" s="4" t="s">
        <v>149</v>
      </c>
      <c r="Z870" s="6">
        <f>Z875+Z878</f>
        <v>27.648600000000002</v>
      </c>
    </row>
    <row r="871" spans="17:26">
      <c r="Q871" s="2" t="s">
        <v>283</v>
      </c>
      <c r="R871" s="2" t="s">
        <v>284</v>
      </c>
      <c r="V871" s="4" t="s">
        <v>122</v>
      </c>
      <c r="W871" s="4" t="s">
        <v>285</v>
      </c>
      <c r="X871" s="4" t="s">
        <v>286</v>
      </c>
      <c r="Y871" s="4" t="s">
        <v>287</v>
      </c>
      <c r="Z871" s="4" t="s">
        <v>288</v>
      </c>
    </row>
    <row r="872" spans="17:26">
      <c r="R872" s="7" t="s">
        <v>289</v>
      </c>
    </row>
    <row r="873" spans="17:26">
      <c r="R873" t="s">
        <v>292</v>
      </c>
      <c r="V873" s="8" t="s">
        <v>291</v>
      </c>
      <c r="W873" s="9">
        <v>1</v>
      </c>
      <c r="X873" s="10">
        <f>W873*8/$T$870</f>
        <v>0.8</v>
      </c>
      <c r="Y873" s="12">
        <v>22.66</v>
      </c>
      <c r="Z873" s="12">
        <f>X873*Y873</f>
        <v>18.128</v>
      </c>
    </row>
    <row r="874" spans="17:26">
      <c r="R874" t="s">
        <v>293</v>
      </c>
      <c r="V874" s="8" t="s">
        <v>291</v>
      </c>
      <c r="W874" s="9">
        <v>0.5</v>
      </c>
      <c r="X874" s="10">
        <f>W874*8/$T$870</f>
        <v>0.4</v>
      </c>
      <c r="Y874" s="12">
        <v>20.51</v>
      </c>
      <c r="Z874" s="12">
        <f>X874*Y874</f>
        <v>8.2040000000000006</v>
      </c>
    </row>
    <row r="875" spans="17:26">
      <c r="Z875" s="6">
        <f>SUM(Z873:Z874)</f>
        <v>26.332000000000001</v>
      </c>
    </row>
    <row r="876" spans="17:26">
      <c r="R876" s="7" t="s">
        <v>317</v>
      </c>
    </row>
    <row r="877" spans="17:26">
      <c r="R877" t="s">
        <v>310</v>
      </c>
      <c r="V877" s="8" t="s">
        <v>311</v>
      </c>
      <c r="X877" s="10">
        <v>5</v>
      </c>
      <c r="Y877" s="12">
        <f>Z875</f>
        <v>26.332000000000001</v>
      </c>
      <c r="Z877" s="12">
        <f>X877%*Y877</f>
        <v>1.3166000000000002</v>
      </c>
    </row>
    <row r="878" spans="17:26">
      <c r="Q878" s="14"/>
      <c r="R878" s="14"/>
      <c r="S878" s="14"/>
      <c r="T878" s="14"/>
      <c r="U878" s="14"/>
      <c r="V878" s="14"/>
      <c r="W878" s="14"/>
      <c r="X878" s="14"/>
      <c r="Y878" s="14"/>
      <c r="Z878" s="16">
        <f>SUM(Z877:Z877)</f>
        <v>1.3166000000000002</v>
      </c>
    </row>
    <row r="880" spans="17:26">
      <c r="Q880" s="2" t="s">
        <v>333</v>
      </c>
      <c r="R880" s="2"/>
      <c r="S880" s="2" t="s">
        <v>1291</v>
      </c>
      <c r="T880" s="2"/>
      <c r="U880" s="2"/>
      <c r="V880" s="2"/>
      <c r="W880" s="2"/>
      <c r="X880" s="2"/>
      <c r="Y880" s="2"/>
    </row>
    <row r="881" spans="17:26">
      <c r="Q881" s="2" t="s">
        <v>278</v>
      </c>
      <c r="R881" s="2" t="s">
        <v>313</v>
      </c>
      <c r="S881" s="4" t="s">
        <v>280</v>
      </c>
      <c r="T881" s="5">
        <v>250</v>
      </c>
      <c r="U881" s="4" t="s">
        <v>281</v>
      </c>
      <c r="V881" s="5">
        <f>T881</f>
        <v>250</v>
      </c>
      <c r="W881" s="2" t="s">
        <v>282</v>
      </c>
      <c r="Y881" s="4" t="s">
        <v>144</v>
      </c>
      <c r="Z881" s="6">
        <f>Z885+Z888</f>
        <v>1.3782719999999999</v>
      </c>
    </row>
    <row r="882" spans="17:26">
      <c r="Q882" s="2" t="s">
        <v>283</v>
      </c>
      <c r="R882" s="2" t="s">
        <v>284</v>
      </c>
      <c r="V882" s="4" t="s">
        <v>122</v>
      </c>
      <c r="W882" s="4" t="s">
        <v>285</v>
      </c>
      <c r="X882" s="4" t="s">
        <v>286</v>
      </c>
      <c r="Y882" s="4" t="s">
        <v>287</v>
      </c>
      <c r="Z882" s="4" t="s">
        <v>288</v>
      </c>
    </row>
    <row r="883" spans="17:26">
      <c r="R883" s="7" t="s">
        <v>289</v>
      </c>
    </row>
    <row r="884" spans="17:26">
      <c r="R884" t="s">
        <v>293</v>
      </c>
      <c r="V884" s="8" t="s">
        <v>291</v>
      </c>
      <c r="W884" s="9">
        <v>2</v>
      </c>
      <c r="X884" s="10">
        <f>W884*8/$T$881</f>
        <v>6.4000000000000001E-2</v>
      </c>
      <c r="Y884" s="12">
        <v>20.51</v>
      </c>
      <c r="Z884" s="12">
        <f>X884*Y884</f>
        <v>1.31264</v>
      </c>
    </row>
    <row r="885" spans="17:26">
      <c r="Z885" s="6">
        <f>SUM(Z884:Z884)</f>
        <v>1.31264</v>
      </c>
    </row>
    <row r="886" spans="17:26">
      <c r="R886" s="7" t="s">
        <v>317</v>
      </c>
    </row>
    <row r="887" spans="17:26">
      <c r="R887" t="s">
        <v>310</v>
      </c>
      <c r="V887" s="8" t="s">
        <v>311</v>
      </c>
      <c r="X887" s="10">
        <v>5</v>
      </c>
      <c r="Y887" s="12">
        <f>Z885</f>
        <v>1.31264</v>
      </c>
      <c r="Z887" s="12">
        <f>X887%*Y887</f>
        <v>6.563200000000001E-2</v>
      </c>
    </row>
    <row r="888" spans="17:26">
      <c r="Q888" s="14"/>
      <c r="R888" s="14"/>
      <c r="S888" s="14"/>
      <c r="T888" s="14"/>
      <c r="U888" s="14"/>
      <c r="V888" s="14"/>
      <c r="W888" s="14"/>
      <c r="X888" s="14"/>
      <c r="Y888" s="14"/>
      <c r="Z888" s="16">
        <f>SUM(Z887:Z887)</f>
        <v>6.563200000000001E-2</v>
      </c>
    </row>
    <row r="890" spans="17:26">
      <c r="Q890" s="2" t="s">
        <v>333</v>
      </c>
      <c r="R890" s="2"/>
      <c r="S890" s="2" t="s">
        <v>1292</v>
      </c>
      <c r="T890" s="2"/>
      <c r="U890" s="2"/>
      <c r="V890" s="2"/>
      <c r="W890" s="2"/>
      <c r="X890" s="2"/>
      <c r="Y890" s="2"/>
    </row>
    <row r="891" spans="17:26">
      <c r="Q891" s="2" t="s">
        <v>278</v>
      </c>
      <c r="R891" s="2" t="s">
        <v>325</v>
      </c>
      <c r="S891" s="4" t="s">
        <v>280</v>
      </c>
      <c r="T891" s="5">
        <v>20</v>
      </c>
      <c r="U891" s="4" t="s">
        <v>281</v>
      </c>
      <c r="V891" s="5">
        <f>T891</f>
        <v>20</v>
      </c>
      <c r="W891" s="2" t="s">
        <v>282</v>
      </c>
      <c r="Y891" s="4" t="s">
        <v>149</v>
      </c>
      <c r="Z891" s="6">
        <f>Z896+Z899</f>
        <v>16.4619</v>
      </c>
    </row>
    <row r="892" spans="17:26">
      <c r="Q892" s="2" t="s">
        <v>283</v>
      </c>
      <c r="R892" s="2" t="s">
        <v>284</v>
      </c>
      <c r="V892" s="4" t="s">
        <v>122</v>
      </c>
      <c r="W892" s="4" t="s">
        <v>285</v>
      </c>
      <c r="X892" s="4" t="s">
        <v>286</v>
      </c>
      <c r="Y892" s="4" t="s">
        <v>287</v>
      </c>
      <c r="Z892" s="4" t="s">
        <v>288</v>
      </c>
    </row>
    <row r="893" spans="17:26">
      <c r="R893" s="7" t="s">
        <v>289</v>
      </c>
    </row>
    <row r="894" spans="17:26">
      <c r="R894" t="s">
        <v>290</v>
      </c>
      <c r="V894" s="8" t="s">
        <v>291</v>
      </c>
      <c r="W894" s="9">
        <v>1</v>
      </c>
      <c r="X894" s="10">
        <f>W894*8/$T$891</f>
        <v>0.4</v>
      </c>
      <c r="Y894" s="12">
        <v>28.94</v>
      </c>
      <c r="Z894" s="12">
        <f>X894*Y894</f>
        <v>11.576000000000001</v>
      </c>
    </row>
    <row r="895" spans="17:26">
      <c r="R895" t="s">
        <v>293</v>
      </c>
      <c r="V895" s="8" t="s">
        <v>291</v>
      </c>
      <c r="W895" s="9">
        <v>0.5</v>
      </c>
      <c r="X895" s="10">
        <f>W895*8/$T$891</f>
        <v>0.2</v>
      </c>
      <c r="Y895" s="12">
        <v>20.51</v>
      </c>
      <c r="Z895" s="12">
        <f>X895*Y895</f>
        <v>4.1020000000000003</v>
      </c>
    </row>
    <row r="896" spans="17:26">
      <c r="Z896" s="6">
        <f>SUM(Z894:Z895)</f>
        <v>15.678000000000001</v>
      </c>
    </row>
    <row r="897" spans="17:26">
      <c r="R897" s="7" t="s">
        <v>317</v>
      </c>
    </row>
    <row r="898" spans="17:26">
      <c r="R898" t="s">
        <v>310</v>
      </c>
      <c r="V898" s="8" t="s">
        <v>311</v>
      </c>
      <c r="X898" s="10">
        <v>5</v>
      </c>
      <c r="Y898" s="12">
        <f>Z896</f>
        <v>15.678000000000001</v>
      </c>
      <c r="Z898" s="12">
        <f>X898%*Y898</f>
        <v>0.78390000000000004</v>
      </c>
    </row>
    <row r="899" spans="17:26">
      <c r="Q899" s="14"/>
      <c r="R899" s="14"/>
      <c r="S899" s="14"/>
      <c r="T899" s="14"/>
      <c r="U899" s="14"/>
      <c r="V899" s="14"/>
      <c r="W899" s="14"/>
      <c r="X899" s="14"/>
      <c r="Y899" s="14"/>
      <c r="Z899" s="16">
        <f>SUM(Z898:Z898)</f>
        <v>0.78390000000000004</v>
      </c>
    </row>
    <row r="901" spans="17:26">
      <c r="Q901" s="2" t="s">
        <v>333</v>
      </c>
      <c r="R901" s="2"/>
      <c r="S901" s="2" t="s">
        <v>1293</v>
      </c>
      <c r="T901" s="2"/>
      <c r="U901" s="2"/>
      <c r="V901" s="2"/>
      <c r="W901" s="2"/>
      <c r="X901" s="2"/>
      <c r="Y901" s="2"/>
    </row>
    <row r="902" spans="17:26">
      <c r="Q902" s="2" t="s">
        <v>278</v>
      </c>
      <c r="R902" s="2" t="s">
        <v>325</v>
      </c>
      <c r="S902" s="4" t="s">
        <v>280</v>
      </c>
      <c r="T902" s="5">
        <v>20</v>
      </c>
      <c r="U902" s="4" t="s">
        <v>281</v>
      </c>
      <c r="V902" s="5">
        <f>T902</f>
        <v>20</v>
      </c>
      <c r="W902" s="2" t="s">
        <v>282</v>
      </c>
      <c r="Y902" s="4" t="s">
        <v>149</v>
      </c>
      <c r="Z902" s="6">
        <f>Z907+Z910</f>
        <v>16.4619</v>
      </c>
    </row>
    <row r="903" spans="17:26">
      <c r="Q903" s="2" t="s">
        <v>283</v>
      </c>
      <c r="R903" s="2" t="s">
        <v>284</v>
      </c>
      <c r="V903" s="4" t="s">
        <v>122</v>
      </c>
      <c r="W903" s="4" t="s">
        <v>285</v>
      </c>
      <c r="X903" s="4" t="s">
        <v>286</v>
      </c>
      <c r="Y903" s="4" t="s">
        <v>287</v>
      </c>
      <c r="Z903" s="4" t="s">
        <v>288</v>
      </c>
    </row>
    <row r="904" spans="17:26">
      <c r="R904" s="7" t="s">
        <v>289</v>
      </c>
    </row>
    <row r="905" spans="17:26">
      <c r="R905" t="s">
        <v>290</v>
      </c>
      <c r="V905" s="8" t="s">
        <v>291</v>
      </c>
      <c r="W905" s="9">
        <v>1</v>
      </c>
      <c r="X905" s="10">
        <f>W905*8/$T$902</f>
        <v>0.4</v>
      </c>
      <c r="Y905" s="12">
        <v>28.94</v>
      </c>
      <c r="Z905" s="12">
        <f>X905*Y905</f>
        <v>11.576000000000001</v>
      </c>
    </row>
    <row r="906" spans="17:26">
      <c r="R906" t="s">
        <v>293</v>
      </c>
      <c r="V906" s="8" t="s">
        <v>291</v>
      </c>
      <c r="W906" s="9">
        <v>0.5</v>
      </c>
      <c r="X906" s="10">
        <f>W906*8/$T$902</f>
        <v>0.2</v>
      </c>
      <c r="Y906" s="12">
        <v>20.51</v>
      </c>
      <c r="Z906" s="12">
        <f>X906*Y906</f>
        <v>4.1020000000000003</v>
      </c>
    </row>
    <row r="907" spans="17:26">
      <c r="Z907" s="6">
        <f>SUM(Z905:Z906)</f>
        <v>15.678000000000001</v>
      </c>
    </row>
    <row r="908" spans="17:26">
      <c r="R908" s="7" t="s">
        <v>317</v>
      </c>
    </row>
    <row r="909" spans="17:26">
      <c r="R909" t="s">
        <v>310</v>
      </c>
      <c r="V909" s="8" t="s">
        <v>311</v>
      </c>
      <c r="X909" s="10">
        <v>5</v>
      </c>
      <c r="Y909" s="12">
        <f>Z907</f>
        <v>15.678000000000001</v>
      </c>
      <c r="Z909" s="12">
        <f>X909%*Y909</f>
        <v>0.78390000000000004</v>
      </c>
    </row>
    <row r="910" spans="17:26">
      <c r="Q910" s="14"/>
      <c r="R910" s="14"/>
      <c r="S910" s="14"/>
      <c r="T910" s="14"/>
      <c r="U910" s="14"/>
      <c r="V910" s="14"/>
      <c r="W910" s="14"/>
      <c r="X910" s="14"/>
      <c r="Y910" s="14"/>
      <c r="Z910" s="16">
        <f>SUM(Z909:Z909)</f>
        <v>0.78390000000000004</v>
      </c>
    </row>
    <row r="912" spans="17:26">
      <c r="Q912" s="2" t="s">
        <v>333</v>
      </c>
      <c r="R912" s="2"/>
      <c r="S912" s="2" t="s">
        <v>1294</v>
      </c>
      <c r="T912" s="2"/>
      <c r="U912" s="2"/>
      <c r="V912" s="2"/>
      <c r="W912" s="2"/>
      <c r="X912" s="2"/>
      <c r="Y912" s="2"/>
    </row>
    <row r="913" spans="17:26">
      <c r="Q913" s="2" t="s">
        <v>278</v>
      </c>
      <c r="R913" s="2" t="s">
        <v>416</v>
      </c>
      <c r="S913" s="4" t="s">
        <v>280</v>
      </c>
      <c r="T913" s="5">
        <v>75</v>
      </c>
      <c r="U913" s="4" t="s">
        <v>281</v>
      </c>
      <c r="V913" s="5">
        <f>T913</f>
        <v>75</v>
      </c>
      <c r="W913" s="2" t="s">
        <v>282</v>
      </c>
      <c r="Y913" s="4" t="s">
        <v>203</v>
      </c>
      <c r="Z913" s="6">
        <f>Z918+Z921+Z925</f>
        <v>31.981273333333338</v>
      </c>
    </row>
    <row r="914" spans="17:26">
      <c r="Q914" s="2" t="s">
        <v>283</v>
      </c>
      <c r="R914" s="2" t="s">
        <v>284</v>
      </c>
      <c r="V914" s="4" t="s">
        <v>122</v>
      </c>
      <c r="W914" s="4" t="s">
        <v>285</v>
      </c>
      <c r="X914" s="4" t="s">
        <v>286</v>
      </c>
      <c r="Y914" s="4" t="s">
        <v>287</v>
      </c>
      <c r="Z914" s="4" t="s">
        <v>288</v>
      </c>
    </row>
    <row r="915" spans="17:26">
      <c r="R915" s="7" t="s">
        <v>289</v>
      </c>
    </row>
    <row r="916" spans="17:26">
      <c r="R916" t="s">
        <v>1295</v>
      </c>
      <c r="V916" s="8" t="s">
        <v>291</v>
      </c>
      <c r="W916" s="9">
        <v>1</v>
      </c>
      <c r="X916" s="10">
        <f>W916*8/$T$913</f>
        <v>0.10666666666666667</v>
      </c>
      <c r="Y916" s="12">
        <v>29.44</v>
      </c>
      <c r="Z916" s="12">
        <f>X916*Y916</f>
        <v>3.1402666666666672</v>
      </c>
    </row>
    <row r="917" spans="17:26">
      <c r="R917" t="s">
        <v>293</v>
      </c>
      <c r="V917" s="8" t="s">
        <v>291</v>
      </c>
      <c r="W917" s="9">
        <v>0.5</v>
      </c>
      <c r="X917" s="10">
        <f>W917*8/$T$913</f>
        <v>5.3333333333333337E-2</v>
      </c>
      <c r="Y917" s="12">
        <v>20.51</v>
      </c>
      <c r="Z917" s="12">
        <f>X917*Y917</f>
        <v>1.0938666666666668</v>
      </c>
    </row>
    <row r="918" spans="17:26">
      <c r="Z918" s="6">
        <f>SUM(Z916:Z917)</f>
        <v>4.2341333333333342</v>
      </c>
    </row>
    <row r="919" spans="17:26">
      <c r="R919" s="7" t="s">
        <v>294</v>
      </c>
    </row>
    <row r="920" spans="17:26">
      <c r="R920" t="s">
        <v>1296</v>
      </c>
      <c r="V920" s="8" t="s">
        <v>339</v>
      </c>
      <c r="X920" s="10">
        <v>0.15</v>
      </c>
      <c r="Y920" s="12">
        <v>14.83</v>
      </c>
      <c r="Z920" s="12">
        <f>X920*Y920</f>
        <v>2.2244999999999999</v>
      </c>
    </row>
    <row r="921" spans="17:26">
      <c r="V921" s="8"/>
      <c r="Z921" s="6">
        <f>SUM(Z920:Z920)</f>
        <v>2.2244999999999999</v>
      </c>
    </row>
    <row r="922" spans="17:26">
      <c r="R922" s="7" t="s">
        <v>317</v>
      </c>
    </row>
    <row r="923" spans="17:26">
      <c r="R923" t="s">
        <v>310</v>
      </c>
      <c r="V923" s="8" t="s">
        <v>311</v>
      </c>
      <c r="X923" s="10">
        <v>5</v>
      </c>
      <c r="Y923" s="12">
        <f>Z918</f>
        <v>4.2341333333333342</v>
      </c>
      <c r="Z923" s="12">
        <f>X923%*Y923</f>
        <v>0.21170666666666671</v>
      </c>
    </row>
    <row r="924" spans="17:26">
      <c r="R924" t="s">
        <v>1297</v>
      </c>
      <c r="V924" s="8" t="s">
        <v>337</v>
      </c>
      <c r="W924" s="9">
        <v>1</v>
      </c>
      <c r="X924" s="10">
        <f>W924*8/$T$913</f>
        <v>0.10666666666666667</v>
      </c>
      <c r="Y924" s="12">
        <v>237.29</v>
      </c>
      <c r="Z924" s="12">
        <f>X924*Y924</f>
        <v>25.310933333333335</v>
      </c>
    </row>
    <row r="925" spans="17:26">
      <c r="Q925" s="14"/>
      <c r="R925" s="14"/>
      <c r="S925" s="14"/>
      <c r="T925" s="14"/>
      <c r="U925" s="14"/>
      <c r="V925" s="14"/>
      <c r="W925" s="14"/>
      <c r="X925" s="14"/>
      <c r="Y925" s="14"/>
      <c r="Z925" s="16">
        <f>SUM(Z923:Z924)</f>
        <v>25.522640000000003</v>
      </c>
    </row>
    <row r="927" spans="17:26">
      <c r="Q927" s="2" t="s">
        <v>333</v>
      </c>
      <c r="R927" s="2"/>
      <c r="S927" s="2" t="s">
        <v>1298</v>
      </c>
      <c r="T927" s="2"/>
      <c r="U927" s="2"/>
      <c r="V927" s="2"/>
      <c r="W927" s="2"/>
      <c r="X927" s="2"/>
      <c r="Y927" s="2"/>
    </row>
    <row r="928" spans="17:26">
      <c r="Q928" s="2" t="s">
        <v>278</v>
      </c>
      <c r="R928" s="2" t="s">
        <v>416</v>
      </c>
      <c r="S928" s="4" t="s">
        <v>280</v>
      </c>
      <c r="T928" s="5">
        <v>75</v>
      </c>
      <c r="U928" s="4" t="s">
        <v>281</v>
      </c>
      <c r="V928" s="5">
        <f>T928</f>
        <v>75</v>
      </c>
      <c r="W928" s="2" t="s">
        <v>282</v>
      </c>
      <c r="Y928" s="4" t="s">
        <v>203</v>
      </c>
      <c r="Z928" s="6">
        <f>Z933+Z936+Z940</f>
        <v>22.037806666666668</v>
      </c>
    </row>
    <row r="929" spans="17:26">
      <c r="Q929" s="2" t="s">
        <v>283</v>
      </c>
      <c r="R929" s="2" t="s">
        <v>284</v>
      </c>
      <c r="V929" s="4" t="s">
        <v>122</v>
      </c>
      <c r="W929" s="4" t="s">
        <v>285</v>
      </c>
      <c r="X929" s="4" t="s">
        <v>286</v>
      </c>
      <c r="Y929" s="4" t="s">
        <v>287</v>
      </c>
      <c r="Z929" s="4" t="s">
        <v>288</v>
      </c>
    </row>
    <row r="930" spans="17:26">
      <c r="R930" s="7" t="s">
        <v>289</v>
      </c>
    </row>
    <row r="931" spans="17:26">
      <c r="R931" t="s">
        <v>1295</v>
      </c>
      <c r="V931" s="8" t="s">
        <v>291</v>
      </c>
      <c r="W931" s="9">
        <v>1</v>
      </c>
      <c r="X931" s="10">
        <f>W931*8/$T$928</f>
        <v>0.10666666666666667</v>
      </c>
      <c r="Y931" s="12">
        <v>29.44</v>
      </c>
      <c r="Z931" s="12">
        <f>X931*Y931</f>
        <v>3.1402666666666672</v>
      </c>
    </row>
    <row r="932" spans="17:26">
      <c r="R932" t="s">
        <v>293</v>
      </c>
      <c r="V932" s="8" t="s">
        <v>291</v>
      </c>
      <c r="W932" s="9">
        <v>0.5</v>
      </c>
      <c r="X932" s="10">
        <f>W932*8/$T$928</f>
        <v>5.3333333333333337E-2</v>
      </c>
      <c r="Y932" s="12">
        <v>20.51</v>
      </c>
      <c r="Z932" s="12">
        <f>X932*Y932</f>
        <v>1.0938666666666668</v>
      </c>
    </row>
    <row r="933" spans="17:26">
      <c r="Z933" s="6">
        <f>SUM(Z931:Z932)</f>
        <v>4.2341333333333342</v>
      </c>
    </row>
    <row r="934" spans="17:26">
      <c r="R934" s="7" t="s">
        <v>294</v>
      </c>
    </row>
    <row r="935" spans="17:26">
      <c r="R935" t="s">
        <v>1296</v>
      </c>
      <c r="V935" s="8" t="s">
        <v>339</v>
      </c>
      <c r="X935" s="10">
        <v>0.15</v>
      </c>
      <c r="Y935" s="12">
        <v>14.83</v>
      </c>
      <c r="Z935" s="12">
        <f>X935*Y935</f>
        <v>2.2244999999999999</v>
      </c>
    </row>
    <row r="936" spans="17:26">
      <c r="V936" s="8"/>
      <c r="Z936" s="6">
        <f>SUM(Z935:Z935)</f>
        <v>2.2244999999999999</v>
      </c>
    </row>
    <row r="937" spans="17:26">
      <c r="R937" s="7" t="s">
        <v>317</v>
      </c>
    </row>
    <row r="938" spans="17:26">
      <c r="R938" t="s">
        <v>310</v>
      </c>
      <c r="V938" s="8" t="s">
        <v>311</v>
      </c>
      <c r="X938" s="10">
        <v>5</v>
      </c>
      <c r="Y938" s="12">
        <f>Z933</f>
        <v>4.2341333333333342</v>
      </c>
      <c r="Z938" s="12">
        <f>X938%*Y938</f>
        <v>0.21170666666666671</v>
      </c>
    </row>
    <row r="939" spans="17:26">
      <c r="R939" t="s">
        <v>1299</v>
      </c>
      <c r="V939" s="8" t="s">
        <v>337</v>
      </c>
      <c r="W939" s="9">
        <v>1</v>
      </c>
      <c r="X939" s="10">
        <f>W939*8/$T$928</f>
        <v>0.10666666666666667</v>
      </c>
      <c r="Y939" s="12">
        <v>144.07</v>
      </c>
      <c r="Z939" s="12">
        <f>X939*Y939</f>
        <v>15.367466666666667</v>
      </c>
    </row>
    <row r="940" spans="17:26">
      <c r="Q940" s="14"/>
      <c r="R940" s="14"/>
      <c r="S940" s="14"/>
      <c r="T940" s="14"/>
      <c r="U940" s="14"/>
      <c r="V940" s="14"/>
      <c r="W940" s="14"/>
      <c r="X940" s="14"/>
      <c r="Y940" s="14"/>
      <c r="Z940" s="16">
        <f>SUM(Z938:Z939)</f>
        <v>15.579173333333333</v>
      </c>
    </row>
    <row r="942" spans="17:26">
      <c r="Q942" s="2" t="s">
        <v>333</v>
      </c>
      <c r="R942" s="2"/>
      <c r="S942" s="2" t="s">
        <v>1300</v>
      </c>
      <c r="T942" s="2"/>
      <c r="U942" s="2"/>
      <c r="V942" s="2"/>
      <c r="W942" s="2"/>
      <c r="X942" s="2"/>
      <c r="Y942" s="2"/>
    </row>
    <row r="943" spans="17:26">
      <c r="Q943" s="2" t="s">
        <v>278</v>
      </c>
      <c r="R943" s="2" t="s">
        <v>416</v>
      </c>
      <c r="S943" s="4" t="s">
        <v>280</v>
      </c>
      <c r="T943" s="5">
        <v>170</v>
      </c>
      <c r="U943" s="4" t="s">
        <v>281</v>
      </c>
      <c r="V943" s="5">
        <f>T943</f>
        <v>170</v>
      </c>
      <c r="W943" s="2" t="s">
        <v>282</v>
      </c>
      <c r="Y943" s="4" t="s">
        <v>203</v>
      </c>
      <c r="Z943" s="6">
        <f>Z948+Z951+Z955</f>
        <v>11.027482352941176</v>
      </c>
    </row>
    <row r="944" spans="17:26">
      <c r="Q944" s="2" t="s">
        <v>283</v>
      </c>
      <c r="R944" s="2" t="s">
        <v>284</v>
      </c>
      <c r="V944" s="4" t="s">
        <v>122</v>
      </c>
      <c r="W944" s="4" t="s">
        <v>285</v>
      </c>
      <c r="X944" s="4" t="s">
        <v>286</v>
      </c>
      <c r="Y944" s="4" t="s">
        <v>287</v>
      </c>
      <c r="Z944" s="4" t="s">
        <v>288</v>
      </c>
    </row>
    <row r="945" spans="17:26">
      <c r="R945" s="7" t="s">
        <v>289</v>
      </c>
    </row>
    <row r="946" spans="17:26">
      <c r="R946" t="s">
        <v>1295</v>
      </c>
      <c r="V946" s="8" t="s">
        <v>291</v>
      </c>
      <c r="W946" s="9">
        <v>1</v>
      </c>
      <c r="X946" s="10">
        <f>W946*8/$T$943</f>
        <v>4.7058823529411764E-2</v>
      </c>
      <c r="Y946" s="12">
        <v>29.44</v>
      </c>
      <c r="Z946" s="12">
        <f>X946*Y946</f>
        <v>1.3854117647058823</v>
      </c>
    </row>
    <row r="947" spans="17:26">
      <c r="R947" t="s">
        <v>293</v>
      </c>
      <c r="V947" s="8" t="s">
        <v>291</v>
      </c>
      <c r="W947" s="9">
        <v>1</v>
      </c>
      <c r="X947" s="10">
        <f>W947*8/$T$943</f>
        <v>4.7058823529411764E-2</v>
      </c>
      <c r="Y947" s="12">
        <v>20.51</v>
      </c>
      <c r="Z947" s="12">
        <f>X947*Y947</f>
        <v>0.9651764705882353</v>
      </c>
    </row>
    <row r="948" spans="17:26">
      <c r="Z948" s="6">
        <f>SUM(Z946:Z947)</f>
        <v>2.3505882352941176</v>
      </c>
    </row>
    <row r="949" spans="17:26">
      <c r="R949" s="7" t="s">
        <v>294</v>
      </c>
    </row>
    <row r="950" spans="17:26">
      <c r="R950" t="s">
        <v>1296</v>
      </c>
      <c r="V950" s="8" t="s">
        <v>339</v>
      </c>
      <c r="X950" s="10">
        <v>0.12</v>
      </c>
      <c r="Y950" s="12">
        <v>14.83</v>
      </c>
      <c r="Z950" s="12">
        <f>X950*Y950</f>
        <v>1.7795999999999998</v>
      </c>
    </row>
    <row r="951" spans="17:26">
      <c r="V951" s="8"/>
      <c r="Z951" s="6">
        <f>SUM(Z950:Z950)</f>
        <v>1.7795999999999998</v>
      </c>
    </row>
    <row r="952" spans="17:26">
      <c r="R952" s="7" t="s">
        <v>317</v>
      </c>
    </row>
    <row r="953" spans="17:26">
      <c r="R953" t="s">
        <v>310</v>
      </c>
      <c r="V953" s="8" t="s">
        <v>311</v>
      </c>
      <c r="X953" s="10">
        <v>5</v>
      </c>
      <c r="Y953" s="12">
        <f>Z948</f>
        <v>2.3505882352941176</v>
      </c>
      <c r="Z953" s="12">
        <f>X953%*Y953</f>
        <v>0.11752941176470588</v>
      </c>
    </row>
    <row r="954" spans="17:26">
      <c r="R954" t="s">
        <v>1299</v>
      </c>
      <c r="V954" s="8" t="s">
        <v>337</v>
      </c>
      <c r="W954" s="9">
        <v>1</v>
      </c>
      <c r="X954" s="10">
        <f>W954*8/$T$943</f>
        <v>4.7058823529411764E-2</v>
      </c>
      <c r="Y954" s="12">
        <v>144.07</v>
      </c>
      <c r="Z954" s="12">
        <f>X954*Y954</f>
        <v>6.7797647058823527</v>
      </c>
    </row>
    <row r="955" spans="17:26">
      <c r="Q955" s="14"/>
      <c r="R955" s="14"/>
      <c r="S955" s="14"/>
      <c r="T955" s="14"/>
      <c r="U955" s="14"/>
      <c r="V955" s="14"/>
      <c r="W955" s="14"/>
      <c r="X955" s="14"/>
      <c r="Y955" s="14"/>
      <c r="Z955" s="16">
        <f>SUM(Z953:Z954)</f>
        <v>6.8972941176470588</v>
      </c>
    </row>
    <row r="957" spans="17:26">
      <c r="Q957" s="2" t="s">
        <v>333</v>
      </c>
      <c r="R957" s="2"/>
      <c r="S957" s="2" t="s">
        <v>1301</v>
      </c>
      <c r="T957" s="2"/>
      <c r="U957" s="2"/>
      <c r="V957" s="2"/>
      <c r="W957" s="2"/>
      <c r="X957" s="2"/>
      <c r="Y957" s="2"/>
    </row>
    <row r="958" spans="17:26">
      <c r="Q958" s="2" t="s">
        <v>278</v>
      </c>
      <c r="R958" s="2" t="s">
        <v>416</v>
      </c>
      <c r="S958" s="4" t="s">
        <v>280</v>
      </c>
      <c r="T958" s="5">
        <v>60</v>
      </c>
      <c r="U958" s="4" t="s">
        <v>281</v>
      </c>
      <c r="V958" s="5">
        <f>T958</f>
        <v>60</v>
      </c>
      <c r="W958" s="2" t="s">
        <v>282</v>
      </c>
      <c r="Y958" s="4" t="s">
        <v>203</v>
      </c>
      <c r="Z958" s="6">
        <f>Z963+Z966+Z971</f>
        <v>35.403300000000002</v>
      </c>
    </row>
    <row r="959" spans="17:26">
      <c r="Q959" s="2" t="s">
        <v>283</v>
      </c>
      <c r="R959" s="2" t="s">
        <v>284</v>
      </c>
      <c r="V959" s="4" t="s">
        <v>122</v>
      </c>
      <c r="W959" s="4" t="s">
        <v>285</v>
      </c>
      <c r="X959" s="4" t="s">
        <v>286</v>
      </c>
      <c r="Y959" s="4" t="s">
        <v>287</v>
      </c>
      <c r="Z959" s="4" t="s">
        <v>288</v>
      </c>
    </row>
    <row r="960" spans="17:26">
      <c r="R960" s="7" t="s">
        <v>289</v>
      </c>
    </row>
    <row r="961" spans="17:26">
      <c r="R961" t="s">
        <v>1295</v>
      </c>
      <c r="V961" s="8" t="s">
        <v>291</v>
      </c>
      <c r="W961" s="9">
        <v>1</v>
      </c>
      <c r="X961" s="10">
        <f>W961*8/$T$958</f>
        <v>0.13333333333333333</v>
      </c>
      <c r="Y961" s="12">
        <v>29.44</v>
      </c>
      <c r="Z961" s="12">
        <f>X961*Y961</f>
        <v>3.9253333333333336</v>
      </c>
    </row>
    <row r="962" spans="17:26">
      <c r="R962" t="s">
        <v>293</v>
      </c>
      <c r="V962" s="8" t="s">
        <v>291</v>
      </c>
      <c r="W962" s="9">
        <v>0.5</v>
      </c>
      <c r="X962" s="10">
        <f>W962*8/$T$958</f>
        <v>6.6666666666666666E-2</v>
      </c>
      <c r="Y962" s="12">
        <v>20.51</v>
      </c>
      <c r="Z962" s="12">
        <f>X962*Y962</f>
        <v>1.3673333333333335</v>
      </c>
    </row>
    <row r="963" spans="17:26">
      <c r="Z963" s="6">
        <f>SUM(Z961:Z962)</f>
        <v>5.2926666666666673</v>
      </c>
    </row>
    <row r="964" spans="17:26">
      <c r="R964" s="7" t="s">
        <v>294</v>
      </c>
    </row>
    <row r="965" spans="17:26">
      <c r="R965" t="s">
        <v>1296</v>
      </c>
      <c r="V965" s="8" t="s">
        <v>339</v>
      </c>
      <c r="X965" s="10">
        <v>0.3</v>
      </c>
      <c r="Y965" s="12">
        <v>14.83</v>
      </c>
      <c r="Z965" s="12">
        <f>X965*Y965</f>
        <v>4.4489999999999998</v>
      </c>
    </row>
    <row r="966" spans="17:26">
      <c r="V966" s="8"/>
      <c r="Z966" s="6">
        <f>SUM(Z965:Z965)</f>
        <v>4.4489999999999998</v>
      </c>
    </row>
    <row r="967" spans="17:26">
      <c r="R967" s="7" t="s">
        <v>317</v>
      </c>
    </row>
    <row r="968" spans="17:26">
      <c r="R968" t="s">
        <v>310</v>
      </c>
      <c r="V968" s="8" t="s">
        <v>311</v>
      </c>
      <c r="X968" s="10">
        <v>5</v>
      </c>
      <c r="Y968" s="12">
        <f>Z963</f>
        <v>5.2926666666666673</v>
      </c>
      <c r="Z968" s="12">
        <f>X968%*Y968</f>
        <v>0.26463333333333339</v>
      </c>
    </row>
    <row r="969" spans="17:26">
      <c r="R969" t="s">
        <v>1297</v>
      </c>
      <c r="V969" s="8" t="s">
        <v>337</v>
      </c>
      <c r="W969" s="9">
        <v>0.25</v>
      </c>
      <c r="X969" s="10">
        <f>W969*8/$T$958</f>
        <v>3.3333333333333333E-2</v>
      </c>
      <c r="Y969" s="12">
        <v>237.29</v>
      </c>
      <c r="Z969" s="12">
        <f>X969*Y969</f>
        <v>7.9096666666666664</v>
      </c>
    </row>
    <row r="970" spans="17:26">
      <c r="R970" t="s">
        <v>1302</v>
      </c>
      <c r="V970" s="8" t="s">
        <v>337</v>
      </c>
      <c r="W970" s="9">
        <v>0.5</v>
      </c>
      <c r="X970" s="10">
        <f>W970*8/$T$958</f>
        <v>6.6666666666666666E-2</v>
      </c>
      <c r="Y970" s="12">
        <v>262.31</v>
      </c>
      <c r="Z970" s="12">
        <f>X970*Y970</f>
        <v>17.487333333333332</v>
      </c>
    </row>
    <row r="971" spans="17:26">
      <c r="Q971" s="14"/>
      <c r="R971" s="14"/>
      <c r="S971" s="14"/>
      <c r="T971" s="14"/>
      <c r="U971" s="14"/>
      <c r="V971" s="14"/>
      <c r="W971" s="14"/>
      <c r="X971" s="14"/>
      <c r="Y971" s="14"/>
      <c r="Z971" s="16">
        <f>SUM(Z968:Z970)</f>
        <v>25.661633333333334</v>
      </c>
    </row>
    <row r="973" spans="17:26">
      <c r="Q973" s="2" t="s">
        <v>333</v>
      </c>
      <c r="R973" s="2"/>
      <c r="S973" s="2" t="s">
        <v>1303</v>
      </c>
      <c r="T973" s="2"/>
      <c r="U973" s="2"/>
      <c r="V973" s="2"/>
      <c r="W973" s="2"/>
      <c r="X973" s="2"/>
      <c r="Y973" s="2"/>
    </row>
    <row r="974" spans="17:26">
      <c r="Q974" s="2" t="s">
        <v>278</v>
      </c>
      <c r="R974" s="2" t="s">
        <v>416</v>
      </c>
      <c r="S974" s="4" t="s">
        <v>280</v>
      </c>
      <c r="T974" s="5">
        <v>120</v>
      </c>
      <c r="U974" s="4" t="s">
        <v>281</v>
      </c>
      <c r="V974" s="5">
        <f>T974</f>
        <v>120</v>
      </c>
      <c r="W974" s="2" t="s">
        <v>282</v>
      </c>
      <c r="Y974" s="4" t="s">
        <v>203</v>
      </c>
      <c r="Z974" s="6">
        <f>Z979+Z982+Z986</f>
        <v>22.644816666666664</v>
      </c>
    </row>
    <row r="975" spans="17:26">
      <c r="Q975" s="2" t="s">
        <v>283</v>
      </c>
      <c r="R975" s="2" t="s">
        <v>284</v>
      </c>
      <c r="V975" s="4" t="s">
        <v>122</v>
      </c>
      <c r="W975" s="4" t="s">
        <v>285</v>
      </c>
      <c r="X975" s="4" t="s">
        <v>286</v>
      </c>
      <c r="Y975" s="4" t="s">
        <v>287</v>
      </c>
      <c r="Z975" s="4" t="s">
        <v>288</v>
      </c>
    </row>
    <row r="976" spans="17:26">
      <c r="R976" s="7" t="s">
        <v>289</v>
      </c>
    </row>
    <row r="977" spans="17:26">
      <c r="R977" t="s">
        <v>1295</v>
      </c>
      <c r="V977" s="8" t="s">
        <v>291</v>
      </c>
      <c r="W977" s="9">
        <v>1</v>
      </c>
      <c r="X977" s="10">
        <f>W977*8/$T$974</f>
        <v>6.6666666666666666E-2</v>
      </c>
      <c r="Y977" s="12">
        <v>29.44</v>
      </c>
      <c r="Z977" s="12">
        <f>X977*Y977</f>
        <v>1.9626666666666668</v>
      </c>
    </row>
    <row r="978" spans="17:26">
      <c r="R978" t="s">
        <v>293</v>
      </c>
      <c r="V978" s="8" t="s">
        <v>291</v>
      </c>
      <c r="W978" s="9">
        <v>0.5</v>
      </c>
      <c r="X978" s="10">
        <f>W978*8/$T$974</f>
        <v>3.3333333333333333E-2</v>
      </c>
      <c r="Y978" s="12">
        <v>20.51</v>
      </c>
      <c r="Z978" s="12">
        <f>X978*Y978</f>
        <v>0.68366666666666676</v>
      </c>
    </row>
    <row r="979" spans="17:26">
      <c r="Z979" s="6">
        <f>SUM(Z977:Z978)</f>
        <v>2.6463333333333336</v>
      </c>
    </row>
    <row r="980" spans="17:26">
      <c r="R980" s="7" t="s">
        <v>294</v>
      </c>
    </row>
    <row r="981" spans="17:26">
      <c r="R981" t="s">
        <v>1296</v>
      </c>
      <c r="V981" s="8" t="s">
        <v>339</v>
      </c>
      <c r="X981" s="10">
        <v>0.75</v>
      </c>
      <c r="Y981" s="12">
        <v>14.83</v>
      </c>
      <c r="Z981" s="12">
        <f>X981*Y981</f>
        <v>11.1225</v>
      </c>
    </row>
    <row r="982" spans="17:26">
      <c r="V982" s="8"/>
      <c r="Z982" s="6">
        <f>SUM(Z981:Z981)</f>
        <v>11.1225</v>
      </c>
    </row>
    <row r="983" spans="17:26">
      <c r="R983" s="7" t="s">
        <v>317</v>
      </c>
    </row>
    <row r="984" spans="17:26">
      <c r="R984" t="s">
        <v>310</v>
      </c>
      <c r="V984" s="8" t="s">
        <v>311</v>
      </c>
      <c r="X984" s="10">
        <v>5</v>
      </c>
      <c r="Y984" s="12">
        <f>Z979</f>
        <v>2.6463333333333336</v>
      </c>
      <c r="Z984" s="12">
        <f>X984%*Y984</f>
        <v>0.13231666666666669</v>
      </c>
    </row>
    <row r="985" spans="17:26">
      <c r="R985" t="s">
        <v>1302</v>
      </c>
      <c r="V985" s="8" t="s">
        <v>337</v>
      </c>
      <c r="W985" s="9">
        <v>0.5</v>
      </c>
      <c r="X985" s="10">
        <f>W985*8/$T$974</f>
        <v>3.3333333333333333E-2</v>
      </c>
      <c r="Y985" s="12">
        <v>262.31</v>
      </c>
      <c r="Z985" s="12">
        <f>X985*Y985</f>
        <v>8.743666666666666</v>
      </c>
    </row>
    <row r="986" spans="17:26">
      <c r="Q986" s="14"/>
      <c r="R986" s="14"/>
      <c r="S986" s="14"/>
      <c r="T986" s="14"/>
      <c r="U986" s="14"/>
      <c r="V986" s="14"/>
      <c r="W986" s="14"/>
      <c r="X986" s="14"/>
      <c r="Y986" s="14"/>
      <c r="Z986" s="16">
        <f>SUM(Z984:Z985)</f>
        <v>8.8759833333333322</v>
      </c>
    </row>
    <row r="988" spans="17:26">
      <c r="Q988" s="2" t="s">
        <v>333</v>
      </c>
      <c r="R988" s="2"/>
      <c r="S988" s="2" t="s">
        <v>1304</v>
      </c>
      <c r="T988" s="2"/>
      <c r="U988" s="2"/>
      <c r="V988" s="2"/>
      <c r="W988" s="2"/>
      <c r="X988" s="2"/>
      <c r="Y988" s="2"/>
    </row>
    <row r="989" spans="17:26">
      <c r="Q989" s="2" t="s">
        <v>278</v>
      </c>
      <c r="R989" s="2" t="s">
        <v>416</v>
      </c>
      <c r="S989" s="4" t="s">
        <v>280</v>
      </c>
      <c r="T989" s="5">
        <v>120</v>
      </c>
      <c r="U989" s="4" t="s">
        <v>281</v>
      </c>
      <c r="V989" s="5">
        <f>T989</f>
        <v>120</v>
      </c>
      <c r="W989" s="2" t="s">
        <v>282</v>
      </c>
      <c r="Y989" s="4" t="s">
        <v>203</v>
      </c>
      <c r="Z989" s="6">
        <f>Z994+Z997+Z1001</f>
        <v>22.644816666666664</v>
      </c>
    </row>
    <row r="990" spans="17:26">
      <c r="Q990" s="2" t="s">
        <v>283</v>
      </c>
      <c r="R990" s="2" t="s">
        <v>284</v>
      </c>
      <c r="V990" s="4" t="s">
        <v>122</v>
      </c>
      <c r="W990" s="4" t="s">
        <v>285</v>
      </c>
      <c r="X990" s="4" t="s">
        <v>286</v>
      </c>
      <c r="Y990" s="4" t="s">
        <v>287</v>
      </c>
      <c r="Z990" s="4" t="s">
        <v>288</v>
      </c>
    </row>
    <row r="991" spans="17:26">
      <c r="R991" s="7" t="s">
        <v>289</v>
      </c>
    </row>
    <row r="992" spans="17:26">
      <c r="R992" t="s">
        <v>1295</v>
      </c>
      <c r="V992" s="8" t="s">
        <v>291</v>
      </c>
      <c r="W992" s="9">
        <v>1</v>
      </c>
      <c r="X992" s="10">
        <f>W992*8/$T$989</f>
        <v>6.6666666666666666E-2</v>
      </c>
      <c r="Y992" s="12">
        <v>29.44</v>
      </c>
      <c r="Z992" s="12">
        <f>X992*Y992</f>
        <v>1.9626666666666668</v>
      </c>
    </row>
    <row r="993" spans="17:26">
      <c r="R993" t="s">
        <v>293</v>
      </c>
      <c r="V993" s="8" t="s">
        <v>291</v>
      </c>
      <c r="W993" s="9">
        <v>0.5</v>
      </c>
      <c r="X993" s="10">
        <f>W993*8/$T$989</f>
        <v>3.3333333333333333E-2</v>
      </c>
      <c r="Y993" s="12">
        <v>20.51</v>
      </c>
      <c r="Z993" s="12">
        <f>X993*Y993</f>
        <v>0.68366666666666676</v>
      </c>
    </row>
    <row r="994" spans="17:26">
      <c r="Z994" s="6">
        <f>SUM(Z992:Z993)</f>
        <v>2.6463333333333336</v>
      </c>
    </row>
    <row r="995" spans="17:26">
      <c r="R995" s="7" t="s">
        <v>294</v>
      </c>
    </row>
    <row r="996" spans="17:26">
      <c r="R996" t="s">
        <v>1296</v>
      </c>
      <c r="V996" s="8" t="s">
        <v>339</v>
      </c>
      <c r="X996" s="10">
        <v>0.75</v>
      </c>
      <c r="Y996" s="12">
        <v>14.83</v>
      </c>
      <c r="Z996" s="12">
        <f>X996*Y996</f>
        <v>11.1225</v>
      </c>
    </row>
    <row r="997" spans="17:26">
      <c r="V997" s="8"/>
      <c r="Z997" s="6">
        <f>SUM(Z996:Z996)</f>
        <v>11.1225</v>
      </c>
    </row>
    <row r="998" spans="17:26">
      <c r="R998" s="7" t="s">
        <v>317</v>
      </c>
    </row>
    <row r="999" spans="17:26">
      <c r="R999" t="s">
        <v>310</v>
      </c>
      <c r="V999" s="8" t="s">
        <v>311</v>
      </c>
      <c r="X999" s="10">
        <v>5</v>
      </c>
      <c r="Y999" s="12">
        <f>Z994</f>
        <v>2.6463333333333336</v>
      </c>
      <c r="Z999" s="12">
        <f>X999%*Y999</f>
        <v>0.13231666666666669</v>
      </c>
    </row>
    <row r="1000" spans="17:26">
      <c r="R1000" t="s">
        <v>1302</v>
      </c>
      <c r="V1000" s="8" t="s">
        <v>337</v>
      </c>
      <c r="W1000" s="9">
        <v>0.5</v>
      </c>
      <c r="X1000" s="10">
        <f>W1000*8/$T$989</f>
        <v>3.3333333333333333E-2</v>
      </c>
      <c r="Y1000" s="12">
        <v>262.31</v>
      </c>
      <c r="Z1000" s="12">
        <f>X1000*Y1000</f>
        <v>8.743666666666666</v>
      </c>
    </row>
    <row r="1001" spans="17:26">
      <c r="Q1001" s="14"/>
      <c r="R1001" s="14"/>
      <c r="S1001" s="14"/>
      <c r="T1001" s="14"/>
      <c r="U1001" s="14"/>
      <c r="V1001" s="14"/>
      <c r="W1001" s="14"/>
      <c r="X1001" s="14"/>
      <c r="Y1001" s="14"/>
      <c r="Z1001" s="16">
        <f>SUM(Z999:Z1000)</f>
        <v>8.8759833333333322</v>
      </c>
    </row>
    <row r="1003" spans="17:26">
      <c r="Q1003" s="2" t="s">
        <v>333</v>
      </c>
      <c r="R1003" s="2"/>
      <c r="S1003" s="2" t="s">
        <v>1305</v>
      </c>
      <c r="T1003" s="2"/>
      <c r="U1003" s="2"/>
      <c r="V1003" s="2"/>
      <c r="W1003" s="2"/>
      <c r="X1003" s="2"/>
      <c r="Y1003" s="2"/>
    </row>
    <row r="1004" spans="17:26">
      <c r="Q1004" s="2" t="s">
        <v>278</v>
      </c>
      <c r="R1004" s="2" t="s">
        <v>416</v>
      </c>
      <c r="S1004" s="4" t="s">
        <v>280</v>
      </c>
      <c r="T1004" s="5">
        <v>170</v>
      </c>
      <c r="U1004" s="4" t="s">
        <v>281</v>
      </c>
      <c r="V1004" s="5">
        <f>T1004</f>
        <v>170</v>
      </c>
      <c r="W1004" s="2" t="s">
        <v>282</v>
      </c>
      <c r="Y1004" s="4" t="s">
        <v>203</v>
      </c>
      <c r="Z1004" s="6">
        <f>Z1009+Z1012+Z1018</f>
        <v>23.570241176470589</v>
      </c>
    </row>
    <row r="1005" spans="17:26">
      <c r="Q1005" s="2" t="s">
        <v>283</v>
      </c>
      <c r="R1005" s="2" t="s">
        <v>284</v>
      </c>
      <c r="V1005" s="4" t="s">
        <v>122</v>
      </c>
      <c r="W1005" s="4" t="s">
        <v>285</v>
      </c>
      <c r="X1005" s="4" t="s">
        <v>286</v>
      </c>
      <c r="Y1005" s="4" t="s">
        <v>287</v>
      </c>
      <c r="Z1005" s="4" t="s">
        <v>288</v>
      </c>
    </row>
    <row r="1006" spans="17:26">
      <c r="R1006" s="7" t="s">
        <v>289</v>
      </c>
    </row>
    <row r="1007" spans="17:26">
      <c r="R1007" t="s">
        <v>1295</v>
      </c>
      <c r="V1007" s="8" t="s">
        <v>291</v>
      </c>
      <c r="W1007" s="9">
        <v>2</v>
      </c>
      <c r="X1007" s="10">
        <f>W1007*8/$T$1004</f>
        <v>9.4117647058823528E-2</v>
      </c>
      <c r="Y1007" s="12">
        <v>29.44</v>
      </c>
      <c r="Z1007" s="12">
        <f>X1007*Y1007</f>
        <v>2.7708235294117647</v>
      </c>
    </row>
    <row r="1008" spans="17:26">
      <c r="R1008" t="s">
        <v>293</v>
      </c>
      <c r="V1008" s="8" t="s">
        <v>291</v>
      </c>
      <c r="W1008" s="9">
        <v>1</v>
      </c>
      <c r="X1008" s="10">
        <f>W1008*8/$T$1004</f>
        <v>4.7058823529411764E-2</v>
      </c>
      <c r="Y1008" s="12">
        <v>20.51</v>
      </c>
      <c r="Z1008" s="12">
        <f>X1008*Y1008</f>
        <v>0.9651764705882353</v>
      </c>
    </row>
    <row r="1009" spans="17:26">
      <c r="Z1009" s="6">
        <f>SUM(Z1007:Z1008)</f>
        <v>3.7359999999999998</v>
      </c>
    </row>
    <row r="1010" spans="17:26">
      <c r="R1010" s="7" t="s">
        <v>294</v>
      </c>
    </row>
    <row r="1011" spans="17:26">
      <c r="R1011" t="s">
        <v>1296</v>
      </c>
      <c r="V1011" s="8" t="s">
        <v>339</v>
      </c>
      <c r="X1011" s="10">
        <v>0.75</v>
      </c>
      <c r="Y1011" s="12">
        <v>14.83</v>
      </c>
      <c r="Z1011" s="12">
        <f>X1011*Y1011</f>
        <v>11.1225</v>
      </c>
    </row>
    <row r="1012" spans="17:26">
      <c r="V1012" s="8"/>
      <c r="Z1012" s="6">
        <f>SUM(Z1011:Z1011)</f>
        <v>11.1225</v>
      </c>
    </row>
    <row r="1013" spans="17:26">
      <c r="R1013" s="7" t="s">
        <v>317</v>
      </c>
    </row>
    <row r="1014" spans="17:26">
      <c r="R1014" t="s">
        <v>310</v>
      </c>
      <c r="V1014" s="8" t="s">
        <v>311</v>
      </c>
      <c r="X1014" s="10">
        <v>5</v>
      </c>
      <c r="Y1014" s="12">
        <f>Z1009</f>
        <v>3.7359999999999998</v>
      </c>
      <c r="Z1014" s="12">
        <f>X1014%*Y1014</f>
        <v>0.18679999999999999</v>
      </c>
    </row>
    <row r="1015" spans="17:26">
      <c r="R1015" t="s">
        <v>1306</v>
      </c>
      <c r="V1015" s="8" t="s">
        <v>337</v>
      </c>
      <c r="W1015" s="9">
        <v>1</v>
      </c>
      <c r="X1015" s="10">
        <f>W1015*8/$T$1004</f>
        <v>4.7058823529411764E-2</v>
      </c>
      <c r="Y1015" s="12">
        <v>25</v>
      </c>
      <c r="Z1015" s="12">
        <f>X1015*Y1015</f>
        <v>1.1764705882352942</v>
      </c>
    </row>
    <row r="1016" spans="17:26">
      <c r="R1016" t="s">
        <v>1302</v>
      </c>
      <c r="V1016" s="8" t="s">
        <v>337</v>
      </c>
      <c r="W1016" s="9">
        <v>0.5</v>
      </c>
      <c r="X1016" s="10">
        <f>W1016*8/$T$1004</f>
        <v>2.3529411764705882E-2</v>
      </c>
      <c r="Y1016" s="12">
        <v>262.31</v>
      </c>
      <c r="Z1016" s="12">
        <f>X1016*Y1016</f>
        <v>6.1719999999999997</v>
      </c>
    </row>
    <row r="1017" spans="17:26">
      <c r="R1017" t="s">
        <v>1307</v>
      </c>
      <c r="V1017" s="8" t="s">
        <v>337</v>
      </c>
      <c r="W1017" s="9">
        <v>1</v>
      </c>
      <c r="X1017" s="10">
        <f>W1017*8/$T$1004</f>
        <v>4.7058823529411764E-2</v>
      </c>
      <c r="Y1017" s="12">
        <v>25</v>
      </c>
      <c r="Z1017" s="12">
        <f>X1017*Y1017</f>
        <v>1.1764705882352942</v>
      </c>
    </row>
    <row r="1018" spans="17:26">
      <c r="Q1018" s="14"/>
      <c r="R1018" s="14"/>
      <c r="S1018" s="14"/>
      <c r="T1018" s="14"/>
      <c r="U1018" s="14"/>
      <c r="V1018" s="14"/>
      <c r="W1018" s="14"/>
      <c r="X1018" s="14"/>
      <c r="Y1018" s="14"/>
      <c r="Z1018" s="16">
        <f>SUM(Z1014:Z1017)</f>
        <v>8.7117411764705874</v>
      </c>
    </row>
    <row r="1020" spans="17:26">
      <c r="Q1020" s="2" t="s">
        <v>333</v>
      </c>
      <c r="R1020" s="2"/>
      <c r="S1020" s="2" t="s">
        <v>1308</v>
      </c>
      <c r="T1020" s="2"/>
      <c r="U1020" s="2"/>
      <c r="V1020" s="2"/>
      <c r="W1020" s="2"/>
      <c r="X1020" s="2"/>
      <c r="Y1020" s="2"/>
    </row>
    <row r="1021" spans="17:26">
      <c r="Q1021" s="2" t="s">
        <v>278</v>
      </c>
      <c r="R1021" s="2" t="s">
        <v>416</v>
      </c>
      <c r="S1021" s="4" t="s">
        <v>280</v>
      </c>
      <c r="T1021" s="5">
        <v>120</v>
      </c>
      <c r="U1021" s="4" t="s">
        <v>281</v>
      </c>
      <c r="V1021" s="5">
        <f>T1021</f>
        <v>120</v>
      </c>
      <c r="W1021" s="2" t="s">
        <v>282</v>
      </c>
      <c r="Y1021" s="4" t="s">
        <v>203</v>
      </c>
      <c r="Z1021" s="6">
        <f>Z1026+Z1029+Z1033</f>
        <v>32.106333333333332</v>
      </c>
    </row>
    <row r="1022" spans="17:26">
      <c r="Q1022" s="2" t="s">
        <v>283</v>
      </c>
      <c r="R1022" s="2" t="s">
        <v>284</v>
      </c>
      <c r="V1022" s="4" t="s">
        <v>122</v>
      </c>
      <c r="W1022" s="4" t="s">
        <v>285</v>
      </c>
      <c r="X1022" s="4" t="s">
        <v>286</v>
      </c>
      <c r="Y1022" s="4" t="s">
        <v>287</v>
      </c>
      <c r="Z1022" s="4" t="s">
        <v>288</v>
      </c>
    </row>
    <row r="1023" spans="17:26">
      <c r="R1023" s="7" t="s">
        <v>289</v>
      </c>
    </row>
    <row r="1024" spans="17:26">
      <c r="R1024" t="s">
        <v>1295</v>
      </c>
      <c r="V1024" s="8" t="s">
        <v>291</v>
      </c>
      <c r="W1024" s="9">
        <v>1</v>
      </c>
      <c r="X1024" s="10">
        <f>W1024*8/$T$1021</f>
        <v>6.6666666666666666E-2</v>
      </c>
      <c r="Y1024" s="12">
        <v>29.44</v>
      </c>
      <c r="Z1024" s="12">
        <f>X1024*Y1024</f>
        <v>1.9626666666666668</v>
      </c>
    </row>
    <row r="1025" spans="17:26">
      <c r="R1025" t="s">
        <v>293</v>
      </c>
      <c r="V1025" s="8" t="s">
        <v>291</v>
      </c>
      <c r="W1025" s="9">
        <v>1</v>
      </c>
      <c r="X1025" s="10">
        <f>W1025*8/$T$1021</f>
        <v>6.6666666666666666E-2</v>
      </c>
      <c r="Y1025" s="12">
        <v>20.51</v>
      </c>
      <c r="Z1025" s="12">
        <f>X1025*Y1025</f>
        <v>1.3673333333333335</v>
      </c>
    </row>
    <row r="1026" spans="17:26">
      <c r="Z1026" s="6">
        <f>SUM(Z1024:Z1025)</f>
        <v>3.33</v>
      </c>
    </row>
    <row r="1027" spans="17:26">
      <c r="R1027" s="7" t="s">
        <v>294</v>
      </c>
    </row>
    <row r="1028" spans="17:26">
      <c r="R1028" t="s">
        <v>1296</v>
      </c>
      <c r="V1028" s="8" t="s">
        <v>339</v>
      </c>
      <c r="X1028" s="10">
        <v>0.75</v>
      </c>
      <c r="Y1028" s="12">
        <v>14.83</v>
      </c>
      <c r="Z1028" s="12">
        <f>X1028*Y1028</f>
        <v>11.1225</v>
      </c>
    </row>
    <row r="1029" spans="17:26">
      <c r="V1029" s="8"/>
      <c r="Z1029" s="6">
        <f>SUM(Z1028:Z1028)</f>
        <v>11.1225</v>
      </c>
    </row>
    <row r="1030" spans="17:26">
      <c r="R1030" s="7" t="s">
        <v>317</v>
      </c>
    </row>
    <row r="1031" spans="17:26">
      <c r="R1031" t="s">
        <v>310</v>
      </c>
      <c r="V1031" s="8" t="s">
        <v>311</v>
      </c>
      <c r="X1031" s="10">
        <v>5</v>
      </c>
      <c r="Y1031" s="12">
        <f>Z1026</f>
        <v>3.33</v>
      </c>
      <c r="Z1031" s="12">
        <f>X1031%*Y1031</f>
        <v>0.16650000000000001</v>
      </c>
    </row>
    <row r="1032" spans="17:26">
      <c r="R1032" t="s">
        <v>1302</v>
      </c>
      <c r="V1032" s="8" t="s">
        <v>337</v>
      </c>
      <c r="W1032" s="9">
        <v>1</v>
      </c>
      <c r="X1032" s="10">
        <f>W1032*8/$T$1021</f>
        <v>6.6666666666666666E-2</v>
      </c>
      <c r="Y1032" s="12">
        <v>262.31</v>
      </c>
      <c r="Z1032" s="12">
        <f>X1032*Y1032</f>
        <v>17.487333333333332</v>
      </c>
    </row>
    <row r="1033" spans="17:26">
      <c r="Q1033" s="14"/>
      <c r="R1033" s="14"/>
      <c r="S1033" s="14"/>
      <c r="T1033" s="14"/>
      <c r="U1033" s="14"/>
      <c r="V1033" s="14"/>
      <c r="W1033" s="14"/>
      <c r="X1033" s="14"/>
      <c r="Y1033" s="14"/>
      <c r="Z1033" s="16">
        <f>SUM(Z1031:Z1032)</f>
        <v>17.653833333333331</v>
      </c>
    </row>
    <row r="1035" spans="17:26">
      <c r="Q1035" s="2" t="s">
        <v>333</v>
      </c>
      <c r="R1035" s="2"/>
      <c r="S1035" s="2" t="s">
        <v>1309</v>
      </c>
      <c r="T1035" s="2"/>
      <c r="U1035" s="2"/>
      <c r="V1035" s="2"/>
      <c r="W1035" s="2"/>
      <c r="X1035" s="2"/>
      <c r="Y1035" s="2"/>
    </row>
    <row r="1036" spans="17:26">
      <c r="Q1036" s="2" t="s">
        <v>278</v>
      </c>
      <c r="R1036" s="2" t="s">
        <v>416</v>
      </c>
      <c r="S1036" s="4" t="s">
        <v>280</v>
      </c>
      <c r="T1036" s="5">
        <v>180</v>
      </c>
      <c r="U1036" s="4" t="s">
        <v>281</v>
      </c>
      <c r="V1036" s="5">
        <f>T1036</f>
        <v>180</v>
      </c>
      <c r="W1036" s="2" t="s">
        <v>282</v>
      </c>
      <c r="Y1036" s="4" t="s">
        <v>203</v>
      </c>
      <c r="Z1036" s="6">
        <f>Z1041+Z1044+Z1048</f>
        <v>7.7570555555555556</v>
      </c>
    </row>
    <row r="1037" spans="17:26">
      <c r="Q1037" s="2" t="s">
        <v>283</v>
      </c>
      <c r="R1037" s="2" t="s">
        <v>284</v>
      </c>
      <c r="V1037" s="4" t="s">
        <v>122</v>
      </c>
      <c r="W1037" s="4" t="s">
        <v>285</v>
      </c>
      <c r="X1037" s="4" t="s">
        <v>286</v>
      </c>
      <c r="Y1037" s="4" t="s">
        <v>287</v>
      </c>
      <c r="Z1037" s="4" t="s">
        <v>288</v>
      </c>
    </row>
    <row r="1038" spans="17:26">
      <c r="R1038" s="7" t="s">
        <v>289</v>
      </c>
    </row>
    <row r="1039" spans="17:26">
      <c r="R1039" t="s">
        <v>1295</v>
      </c>
      <c r="V1039" s="8" t="s">
        <v>291</v>
      </c>
      <c r="W1039" s="9">
        <v>1</v>
      </c>
      <c r="X1039" s="10">
        <f>W1039*8/$T$1036</f>
        <v>4.4444444444444446E-2</v>
      </c>
      <c r="Y1039" s="12">
        <v>29.44</v>
      </c>
      <c r="Z1039" s="12">
        <f>X1039*Y1039</f>
        <v>1.3084444444444445</v>
      </c>
    </row>
    <row r="1040" spans="17:26">
      <c r="R1040" t="s">
        <v>293</v>
      </c>
      <c r="V1040" s="8" t="s">
        <v>291</v>
      </c>
      <c r="W1040" s="9">
        <v>1</v>
      </c>
      <c r="X1040" s="10">
        <f>W1040*8/$T$1036</f>
        <v>4.4444444444444446E-2</v>
      </c>
      <c r="Y1040" s="12">
        <v>20.51</v>
      </c>
      <c r="Z1040" s="12">
        <f>X1040*Y1040</f>
        <v>0.91155555555555567</v>
      </c>
    </row>
    <row r="1041" spans="17:26">
      <c r="Z1041" s="6">
        <f>SUM(Z1039:Z1040)</f>
        <v>2.2200000000000002</v>
      </c>
    </row>
    <row r="1042" spans="17:26">
      <c r="R1042" s="7" t="s">
        <v>294</v>
      </c>
    </row>
    <row r="1043" spans="17:26">
      <c r="R1043" t="s">
        <v>1296</v>
      </c>
      <c r="V1043" s="8" t="s">
        <v>339</v>
      </c>
      <c r="X1043" s="10">
        <v>0.15</v>
      </c>
      <c r="Y1043" s="12">
        <v>14.83</v>
      </c>
      <c r="Z1043" s="12">
        <f>X1043*Y1043</f>
        <v>2.2244999999999999</v>
      </c>
    </row>
    <row r="1044" spans="17:26">
      <c r="V1044" s="8"/>
      <c r="Z1044" s="6">
        <f>SUM(Z1043:Z1043)</f>
        <v>2.2244999999999999</v>
      </c>
    </row>
    <row r="1045" spans="17:26">
      <c r="R1045" s="7" t="s">
        <v>317</v>
      </c>
    </row>
    <row r="1046" spans="17:26">
      <c r="R1046" t="s">
        <v>310</v>
      </c>
      <c r="V1046" s="8" t="s">
        <v>311</v>
      </c>
      <c r="X1046" s="10">
        <v>5</v>
      </c>
      <c r="Y1046" s="12">
        <f>Z1041</f>
        <v>2.2200000000000002</v>
      </c>
      <c r="Z1046" s="12">
        <f>X1046%*Y1046</f>
        <v>0.11100000000000002</v>
      </c>
    </row>
    <row r="1047" spans="17:26">
      <c r="R1047" t="s">
        <v>1299</v>
      </c>
      <c r="V1047" s="8" t="s">
        <v>337</v>
      </c>
      <c r="W1047" s="9">
        <v>0.5</v>
      </c>
      <c r="X1047" s="10">
        <f>W1047*8/$T$1036</f>
        <v>2.2222222222222223E-2</v>
      </c>
      <c r="Y1047" s="12">
        <v>144.07</v>
      </c>
      <c r="Z1047" s="12">
        <f>X1047*Y1047</f>
        <v>3.2015555555555557</v>
      </c>
    </row>
    <row r="1048" spans="17:26">
      <c r="Q1048" s="14"/>
      <c r="R1048" s="14"/>
      <c r="S1048" s="14"/>
      <c r="T1048" s="14"/>
      <c r="U1048" s="14"/>
      <c r="V1048" s="14"/>
      <c r="W1048" s="14"/>
      <c r="X1048" s="14"/>
      <c r="Y1048" s="14"/>
      <c r="Z1048" s="16">
        <f>SUM(Z1046:Z1047)</f>
        <v>3.3125555555555559</v>
      </c>
    </row>
    <row r="1050" spans="17:26">
      <c r="Q1050" s="2" t="s">
        <v>333</v>
      </c>
      <c r="R1050" s="2"/>
      <c r="S1050" s="2" t="s">
        <v>1310</v>
      </c>
      <c r="T1050" s="2"/>
      <c r="U1050" s="2"/>
      <c r="V1050" s="2"/>
      <c r="W1050" s="2"/>
      <c r="X1050" s="2"/>
      <c r="Y1050" s="2"/>
    </row>
    <row r="1051" spans="17:26">
      <c r="Q1051" s="2" t="s">
        <v>278</v>
      </c>
      <c r="R1051" s="2" t="s">
        <v>416</v>
      </c>
      <c r="S1051" s="4" t="s">
        <v>280</v>
      </c>
      <c r="T1051" s="5">
        <v>120</v>
      </c>
      <c r="U1051" s="4" t="s">
        <v>281</v>
      </c>
      <c r="V1051" s="5">
        <f>T1051</f>
        <v>120</v>
      </c>
      <c r="W1051" s="2" t="s">
        <v>282</v>
      </c>
      <c r="Y1051" s="4" t="s">
        <v>203</v>
      </c>
      <c r="Z1051" s="6">
        <f>Z1056+Z1059+Z1063</f>
        <v>18.990833333333335</v>
      </c>
    </row>
    <row r="1052" spans="17:26">
      <c r="Q1052" s="2" t="s">
        <v>283</v>
      </c>
      <c r="R1052" s="2" t="s">
        <v>284</v>
      </c>
      <c r="V1052" s="4" t="s">
        <v>122</v>
      </c>
      <c r="W1052" s="4" t="s">
        <v>285</v>
      </c>
      <c r="X1052" s="4" t="s">
        <v>286</v>
      </c>
      <c r="Y1052" s="4" t="s">
        <v>287</v>
      </c>
      <c r="Z1052" s="4" t="s">
        <v>288</v>
      </c>
    </row>
    <row r="1053" spans="17:26">
      <c r="R1053" s="7" t="s">
        <v>289</v>
      </c>
    </row>
    <row r="1054" spans="17:26">
      <c r="R1054" t="s">
        <v>1295</v>
      </c>
      <c r="V1054" s="8" t="s">
        <v>291</v>
      </c>
      <c r="W1054" s="9">
        <v>1</v>
      </c>
      <c r="X1054" s="10">
        <f>W1054*8/$T$1051</f>
        <v>6.6666666666666666E-2</v>
      </c>
      <c r="Y1054" s="12">
        <v>29.44</v>
      </c>
      <c r="Z1054" s="12">
        <f>X1054*Y1054</f>
        <v>1.9626666666666668</v>
      </c>
    </row>
    <row r="1055" spans="17:26">
      <c r="R1055" t="s">
        <v>293</v>
      </c>
      <c r="V1055" s="8" t="s">
        <v>291</v>
      </c>
      <c r="W1055" s="9">
        <v>1</v>
      </c>
      <c r="X1055" s="10">
        <f>W1055*8/$T$1051</f>
        <v>6.6666666666666666E-2</v>
      </c>
      <c r="Y1055" s="12">
        <v>20.51</v>
      </c>
      <c r="Z1055" s="12">
        <f>X1055*Y1055</f>
        <v>1.3673333333333335</v>
      </c>
    </row>
    <row r="1056" spans="17:26">
      <c r="Z1056" s="6">
        <f>SUM(Z1054:Z1055)</f>
        <v>3.33</v>
      </c>
    </row>
    <row r="1057" spans="17:26">
      <c r="R1057" s="7" t="s">
        <v>294</v>
      </c>
    </row>
    <row r="1058" spans="17:26">
      <c r="R1058" t="s">
        <v>1296</v>
      </c>
      <c r="V1058" s="8" t="s">
        <v>339</v>
      </c>
      <c r="X1058" s="10">
        <v>0.75</v>
      </c>
      <c r="Y1058" s="12">
        <v>14.83</v>
      </c>
      <c r="Z1058" s="12">
        <f>X1058*Y1058</f>
        <v>11.1225</v>
      </c>
    </row>
    <row r="1059" spans="17:26">
      <c r="V1059" s="8"/>
      <c r="Z1059" s="6">
        <f>SUM(Z1058:Z1058)</f>
        <v>11.1225</v>
      </c>
    </row>
    <row r="1060" spans="17:26">
      <c r="R1060" s="7" t="s">
        <v>317</v>
      </c>
    </row>
    <row r="1061" spans="17:26">
      <c r="R1061" t="s">
        <v>310</v>
      </c>
      <c r="V1061" s="8" t="s">
        <v>311</v>
      </c>
      <c r="X1061" s="10">
        <v>5</v>
      </c>
      <c r="Y1061" s="12">
        <f>Z1056</f>
        <v>3.33</v>
      </c>
      <c r="Z1061" s="12">
        <f>X1061%*Y1061</f>
        <v>0.16650000000000001</v>
      </c>
    </row>
    <row r="1062" spans="17:26">
      <c r="R1062" t="s">
        <v>1302</v>
      </c>
      <c r="V1062" s="8" t="s">
        <v>337</v>
      </c>
      <c r="W1062" s="9">
        <v>0.25</v>
      </c>
      <c r="X1062" s="10">
        <f>W1062*8/$T$1051</f>
        <v>1.6666666666666666E-2</v>
      </c>
      <c r="Y1062" s="12">
        <v>262.31</v>
      </c>
      <c r="Z1062" s="12">
        <f>X1062*Y1062</f>
        <v>4.371833333333333</v>
      </c>
    </row>
    <row r="1063" spans="17:26">
      <c r="Q1063" s="14"/>
      <c r="R1063" s="14"/>
      <c r="S1063" s="14"/>
      <c r="T1063" s="14"/>
      <c r="U1063" s="14"/>
      <c r="V1063" s="14"/>
      <c r="W1063" s="14"/>
      <c r="X1063" s="14"/>
      <c r="Y1063" s="14"/>
      <c r="Z1063" s="16">
        <f>SUM(Z1061:Z1062)</f>
        <v>4.5383333333333331</v>
      </c>
    </row>
    <row r="1065" spans="17:26">
      <c r="Q1065" s="2" t="s">
        <v>333</v>
      </c>
      <c r="R1065" s="2"/>
      <c r="S1065" s="2" t="s">
        <v>1311</v>
      </c>
      <c r="T1065" s="2"/>
      <c r="U1065" s="2"/>
      <c r="V1065" s="2"/>
      <c r="W1065" s="2"/>
      <c r="X1065" s="2"/>
      <c r="Y1065" s="2"/>
    </row>
    <row r="1066" spans="17:26">
      <c r="Q1066" s="2" t="s">
        <v>278</v>
      </c>
      <c r="R1066" s="2" t="s">
        <v>416</v>
      </c>
      <c r="S1066" s="4" t="s">
        <v>280</v>
      </c>
      <c r="T1066" s="5">
        <v>350</v>
      </c>
      <c r="U1066" s="4" t="s">
        <v>281</v>
      </c>
      <c r="V1066" s="5">
        <f>T1066</f>
        <v>350</v>
      </c>
      <c r="W1066" s="2" t="s">
        <v>282</v>
      </c>
      <c r="Y1066" s="4" t="s">
        <v>203</v>
      </c>
      <c r="Z1066" s="6">
        <f>Z1071+Z1074+Z1079</f>
        <v>8.990042857142857</v>
      </c>
    </row>
    <row r="1067" spans="17:26">
      <c r="Q1067" s="2" t="s">
        <v>283</v>
      </c>
      <c r="R1067" s="2" t="s">
        <v>284</v>
      </c>
      <c r="V1067" s="4" t="s">
        <v>122</v>
      </c>
      <c r="W1067" s="4" t="s">
        <v>285</v>
      </c>
      <c r="X1067" s="4" t="s">
        <v>286</v>
      </c>
      <c r="Y1067" s="4" t="s">
        <v>287</v>
      </c>
      <c r="Z1067" s="4" t="s">
        <v>288</v>
      </c>
    </row>
    <row r="1068" spans="17:26">
      <c r="R1068" s="7" t="s">
        <v>289</v>
      </c>
    </row>
    <row r="1069" spans="17:26">
      <c r="R1069" t="s">
        <v>1295</v>
      </c>
      <c r="V1069" s="8" t="s">
        <v>291</v>
      </c>
      <c r="W1069" s="9">
        <v>1</v>
      </c>
      <c r="X1069" s="10">
        <f>W1069*8/$T$1066</f>
        <v>2.2857142857142857E-2</v>
      </c>
      <c r="Y1069" s="12">
        <v>29.44</v>
      </c>
      <c r="Z1069" s="12">
        <f>X1069*Y1069</f>
        <v>0.6729142857142858</v>
      </c>
    </row>
    <row r="1070" spans="17:26">
      <c r="R1070" t="s">
        <v>293</v>
      </c>
      <c r="V1070" s="8" t="s">
        <v>291</v>
      </c>
      <c r="W1070" s="9">
        <v>1</v>
      </c>
      <c r="X1070" s="10">
        <f>W1070*8/$T$1066</f>
        <v>2.2857142857142857E-2</v>
      </c>
      <c r="Y1070" s="12">
        <v>20.51</v>
      </c>
      <c r="Z1070" s="12">
        <f>X1070*Y1070</f>
        <v>0.46880000000000005</v>
      </c>
    </row>
    <row r="1071" spans="17:26">
      <c r="Z1071" s="6">
        <f>SUM(Z1069:Z1070)</f>
        <v>1.1417142857142859</v>
      </c>
    </row>
    <row r="1072" spans="17:26">
      <c r="R1072" s="7" t="s">
        <v>294</v>
      </c>
    </row>
    <row r="1073" spans="17:26">
      <c r="R1073" t="s">
        <v>1296</v>
      </c>
      <c r="V1073" s="8" t="s">
        <v>339</v>
      </c>
      <c r="X1073" s="10">
        <v>0.15</v>
      </c>
      <c r="Y1073" s="12">
        <v>14.83</v>
      </c>
      <c r="Z1073" s="12">
        <f>X1073*Y1073</f>
        <v>2.2244999999999999</v>
      </c>
    </row>
    <row r="1074" spans="17:26">
      <c r="V1074" s="8"/>
      <c r="Z1074" s="6">
        <f>SUM(Z1073:Z1073)</f>
        <v>2.2244999999999999</v>
      </c>
    </row>
    <row r="1075" spans="17:26">
      <c r="R1075" s="7" t="s">
        <v>317</v>
      </c>
    </row>
    <row r="1076" spans="17:26">
      <c r="R1076" t="s">
        <v>310</v>
      </c>
      <c r="V1076" s="8" t="s">
        <v>311</v>
      </c>
      <c r="X1076" s="10">
        <v>5</v>
      </c>
      <c r="Y1076" s="12">
        <f>Z1071</f>
        <v>1.1417142857142859</v>
      </c>
      <c r="Z1076" s="12">
        <f>X1076%*Y1076</f>
        <v>5.7085714285714295E-2</v>
      </c>
    </row>
    <row r="1077" spans="17:26">
      <c r="R1077" t="s">
        <v>1297</v>
      </c>
      <c r="V1077" s="8" t="s">
        <v>337</v>
      </c>
      <c r="W1077" s="9">
        <v>0.75</v>
      </c>
      <c r="X1077" s="10">
        <f>W1077*8/$T$1066</f>
        <v>1.7142857142857144E-2</v>
      </c>
      <c r="Y1077" s="12">
        <v>237.29</v>
      </c>
      <c r="Z1077" s="12">
        <f>X1077*Y1077</f>
        <v>4.0678285714285716</v>
      </c>
    </row>
    <row r="1078" spans="17:26">
      <c r="R1078" t="s">
        <v>1302</v>
      </c>
      <c r="V1078" s="8" t="s">
        <v>337</v>
      </c>
      <c r="W1078" s="9">
        <v>0.25</v>
      </c>
      <c r="X1078" s="10">
        <f>W1078*8/$T$1066</f>
        <v>5.7142857142857143E-3</v>
      </c>
      <c r="Y1078" s="12">
        <v>262.31</v>
      </c>
      <c r="Z1078" s="12">
        <f>X1078*Y1078</f>
        <v>1.4989142857142856</v>
      </c>
    </row>
    <row r="1079" spans="17:26">
      <c r="Q1079" s="14"/>
      <c r="R1079" s="14"/>
      <c r="S1079" s="14"/>
      <c r="T1079" s="14"/>
      <c r="U1079" s="14"/>
      <c r="V1079" s="14"/>
      <c r="W1079" s="14"/>
      <c r="X1079" s="14"/>
      <c r="Y1079" s="14"/>
      <c r="Z1079" s="16">
        <f>SUM(Z1076:Z1078)</f>
        <v>5.6238285714285716</v>
      </c>
    </row>
    <row r="1081" spans="17:26">
      <c r="Q1081" s="2" t="s">
        <v>333</v>
      </c>
      <c r="R1081" s="2"/>
      <c r="S1081" s="2" t="s">
        <v>1312</v>
      </c>
      <c r="T1081" s="2"/>
      <c r="U1081" s="2"/>
      <c r="V1081" s="2"/>
      <c r="W1081" s="2"/>
      <c r="X1081" s="2"/>
      <c r="Y1081" s="2"/>
    </row>
    <row r="1082" spans="17:26">
      <c r="Q1082" s="2" t="s">
        <v>278</v>
      </c>
      <c r="R1082" s="2" t="s">
        <v>416</v>
      </c>
      <c r="S1082" s="4" t="s">
        <v>280</v>
      </c>
      <c r="T1082" s="5">
        <v>50</v>
      </c>
      <c r="U1082" s="4" t="s">
        <v>281</v>
      </c>
      <c r="V1082" s="5">
        <f>T1082</f>
        <v>50</v>
      </c>
      <c r="W1082" s="2" t="s">
        <v>282</v>
      </c>
      <c r="Y1082" s="4" t="s">
        <v>203</v>
      </c>
      <c r="Z1082" s="6">
        <f>Z1087+Z1090+Z1095</f>
        <v>53.809400000000004</v>
      </c>
    </row>
    <row r="1083" spans="17:26">
      <c r="Q1083" s="2" t="s">
        <v>283</v>
      </c>
      <c r="R1083" s="2" t="s">
        <v>284</v>
      </c>
      <c r="V1083" s="4" t="s">
        <v>122</v>
      </c>
      <c r="W1083" s="4" t="s">
        <v>285</v>
      </c>
      <c r="X1083" s="4" t="s">
        <v>286</v>
      </c>
      <c r="Y1083" s="4" t="s">
        <v>287</v>
      </c>
      <c r="Z1083" s="4" t="s">
        <v>288</v>
      </c>
    </row>
    <row r="1084" spans="17:26">
      <c r="R1084" s="7" t="s">
        <v>289</v>
      </c>
    </row>
    <row r="1085" spans="17:26">
      <c r="R1085" t="s">
        <v>1295</v>
      </c>
      <c r="V1085" s="8" t="s">
        <v>291</v>
      </c>
      <c r="W1085" s="9">
        <v>1</v>
      </c>
      <c r="X1085" s="10">
        <f>W1085*8/$T$1082</f>
        <v>0.16</v>
      </c>
      <c r="Y1085" s="12">
        <v>29.44</v>
      </c>
      <c r="Z1085" s="12">
        <f>X1085*Y1085</f>
        <v>4.7103999999999999</v>
      </c>
    </row>
    <row r="1086" spans="17:26">
      <c r="R1086" t="s">
        <v>293</v>
      </c>
      <c r="V1086" s="8" t="s">
        <v>291</v>
      </c>
      <c r="W1086" s="9">
        <v>1</v>
      </c>
      <c r="X1086" s="10">
        <f>W1086*8/$T$1082</f>
        <v>0.16</v>
      </c>
      <c r="Y1086" s="12">
        <v>20.51</v>
      </c>
      <c r="Z1086" s="12">
        <f>X1086*Y1086</f>
        <v>3.2816000000000005</v>
      </c>
    </row>
    <row r="1087" spans="17:26">
      <c r="Z1087" s="6">
        <f>SUM(Z1085:Z1086)</f>
        <v>7.9920000000000009</v>
      </c>
    </row>
    <row r="1088" spans="17:26">
      <c r="R1088" s="7" t="s">
        <v>294</v>
      </c>
    </row>
    <row r="1089" spans="17:26">
      <c r="R1089" t="s">
        <v>1296</v>
      </c>
      <c r="V1089" s="8" t="s">
        <v>339</v>
      </c>
      <c r="X1089" s="10">
        <v>0.3</v>
      </c>
      <c r="Y1089" s="12">
        <v>14.83</v>
      </c>
      <c r="Z1089" s="12">
        <f>X1089*Y1089</f>
        <v>4.4489999999999998</v>
      </c>
    </row>
    <row r="1090" spans="17:26">
      <c r="V1090" s="8"/>
      <c r="Z1090" s="6">
        <f>SUM(Z1089:Z1089)</f>
        <v>4.4489999999999998</v>
      </c>
    </row>
    <row r="1091" spans="17:26">
      <c r="R1091" s="7" t="s">
        <v>317</v>
      </c>
    </row>
    <row r="1092" spans="17:26">
      <c r="R1092" t="s">
        <v>310</v>
      </c>
      <c r="V1092" s="8" t="s">
        <v>311</v>
      </c>
      <c r="X1092" s="10">
        <v>5</v>
      </c>
      <c r="Y1092" s="12">
        <f>Z1087</f>
        <v>7.9920000000000009</v>
      </c>
      <c r="Z1092" s="12">
        <f>X1092%*Y1092</f>
        <v>0.39960000000000007</v>
      </c>
    </row>
    <row r="1093" spans="17:26">
      <c r="R1093" t="s">
        <v>1297</v>
      </c>
      <c r="V1093" s="8" t="s">
        <v>337</v>
      </c>
      <c r="W1093" s="9">
        <v>0.25</v>
      </c>
      <c r="X1093" s="10">
        <f>W1093*8/$T$1082</f>
        <v>0.04</v>
      </c>
      <c r="Y1093" s="12">
        <v>237.29</v>
      </c>
      <c r="Z1093" s="12">
        <f>X1093*Y1093</f>
        <v>9.4916</v>
      </c>
    </row>
    <row r="1094" spans="17:26">
      <c r="R1094" t="s">
        <v>1302</v>
      </c>
      <c r="V1094" s="8" t="s">
        <v>337</v>
      </c>
      <c r="W1094" s="9">
        <v>0.75</v>
      </c>
      <c r="X1094" s="10">
        <f>W1094*8/$T$1082</f>
        <v>0.12</v>
      </c>
      <c r="Y1094" s="12">
        <v>262.31</v>
      </c>
      <c r="Z1094" s="12">
        <f>X1094*Y1094</f>
        <v>31.4772</v>
      </c>
    </row>
    <row r="1095" spans="17:26">
      <c r="Q1095" s="14"/>
      <c r="R1095" s="14"/>
      <c r="S1095" s="14"/>
      <c r="T1095" s="14"/>
      <c r="U1095" s="14"/>
      <c r="V1095" s="14"/>
      <c r="W1095" s="14"/>
      <c r="X1095" s="14"/>
      <c r="Y1095" s="14"/>
      <c r="Z1095" s="16">
        <f>SUM(Z1092:Z1094)</f>
        <v>41.368400000000001</v>
      </c>
    </row>
    <row r="1097" spans="17:26">
      <c r="Q1097" s="2" t="s">
        <v>333</v>
      </c>
      <c r="R1097" s="2"/>
      <c r="S1097" s="2" t="s">
        <v>1313</v>
      </c>
      <c r="T1097" s="2"/>
      <c r="U1097" s="2"/>
      <c r="V1097" s="2"/>
      <c r="W1097" s="2"/>
      <c r="X1097" s="2"/>
      <c r="Y1097" s="2"/>
    </row>
    <row r="1098" spans="17:26">
      <c r="Q1098" s="2" t="s">
        <v>278</v>
      </c>
      <c r="R1098" s="2" t="s">
        <v>416</v>
      </c>
      <c r="S1098" s="4" t="s">
        <v>280</v>
      </c>
      <c r="T1098" s="5">
        <v>400</v>
      </c>
      <c r="U1098" s="4" t="s">
        <v>281</v>
      </c>
      <c r="V1098" s="5">
        <f>T1098</f>
        <v>400</v>
      </c>
      <c r="W1098" s="2" t="s">
        <v>282</v>
      </c>
      <c r="Y1098" s="4" t="s">
        <v>203</v>
      </c>
      <c r="Z1098" s="6">
        <f>Z1103+Z1106+Z1111</f>
        <v>8.1443499999999993</v>
      </c>
    </row>
    <row r="1099" spans="17:26">
      <c r="Q1099" s="2" t="s">
        <v>283</v>
      </c>
      <c r="R1099" s="2" t="s">
        <v>284</v>
      </c>
      <c r="V1099" s="4" t="s">
        <v>122</v>
      </c>
      <c r="W1099" s="4" t="s">
        <v>285</v>
      </c>
      <c r="X1099" s="4" t="s">
        <v>286</v>
      </c>
      <c r="Y1099" s="4" t="s">
        <v>287</v>
      </c>
      <c r="Z1099" s="4" t="s">
        <v>288</v>
      </c>
    </row>
    <row r="1100" spans="17:26">
      <c r="R1100" s="7" t="s">
        <v>289</v>
      </c>
    </row>
    <row r="1101" spans="17:26">
      <c r="R1101" t="s">
        <v>1295</v>
      </c>
      <c r="V1101" s="8" t="s">
        <v>291</v>
      </c>
      <c r="W1101" s="9">
        <v>1</v>
      </c>
      <c r="X1101" s="10">
        <f>W1101*8/$T$1098</f>
        <v>0.02</v>
      </c>
      <c r="Y1101" s="12">
        <v>29.44</v>
      </c>
      <c r="Z1101" s="12">
        <f>X1101*Y1101</f>
        <v>0.58879999999999999</v>
      </c>
    </row>
    <row r="1102" spans="17:26">
      <c r="R1102" t="s">
        <v>293</v>
      </c>
      <c r="V1102" s="8" t="s">
        <v>291</v>
      </c>
      <c r="W1102" s="9">
        <v>1</v>
      </c>
      <c r="X1102" s="10">
        <f>W1102*8/$T$1098</f>
        <v>0.02</v>
      </c>
      <c r="Y1102" s="12">
        <v>20.51</v>
      </c>
      <c r="Z1102" s="12">
        <f>X1102*Y1102</f>
        <v>0.41020000000000006</v>
      </c>
    </row>
    <row r="1103" spans="17:26">
      <c r="Z1103" s="6">
        <f>SUM(Z1101:Z1102)</f>
        <v>0.99900000000000011</v>
      </c>
    </row>
    <row r="1104" spans="17:26">
      <c r="R1104" s="7" t="s">
        <v>294</v>
      </c>
    </row>
    <row r="1105" spans="17:26">
      <c r="R1105" t="s">
        <v>1296</v>
      </c>
      <c r="V1105" s="8" t="s">
        <v>339</v>
      </c>
      <c r="X1105" s="10">
        <v>0.15</v>
      </c>
      <c r="Y1105" s="12">
        <v>14.83</v>
      </c>
      <c r="Z1105" s="12">
        <f>X1105*Y1105</f>
        <v>2.2244999999999999</v>
      </c>
    </row>
    <row r="1106" spans="17:26">
      <c r="V1106" s="8"/>
      <c r="Z1106" s="6">
        <f>SUM(Z1105:Z1105)</f>
        <v>2.2244999999999999</v>
      </c>
    </row>
    <row r="1107" spans="17:26">
      <c r="R1107" s="7" t="s">
        <v>317</v>
      </c>
    </row>
    <row r="1108" spans="17:26">
      <c r="R1108" t="s">
        <v>310</v>
      </c>
      <c r="V1108" s="8" t="s">
        <v>311</v>
      </c>
      <c r="X1108" s="10">
        <v>5</v>
      </c>
      <c r="Y1108" s="12">
        <f>Z1103</f>
        <v>0.99900000000000011</v>
      </c>
      <c r="Z1108" s="12">
        <f>X1108%*Y1108</f>
        <v>4.9950000000000008E-2</v>
      </c>
    </row>
    <row r="1109" spans="17:26">
      <c r="R1109" t="s">
        <v>1297</v>
      </c>
      <c r="V1109" s="8" t="s">
        <v>337</v>
      </c>
      <c r="W1109" s="9">
        <v>0.75</v>
      </c>
      <c r="X1109" s="10">
        <f>W1109*8/$T$1098</f>
        <v>1.4999999999999999E-2</v>
      </c>
      <c r="Y1109" s="12">
        <v>237.29</v>
      </c>
      <c r="Z1109" s="12">
        <f>X1109*Y1109</f>
        <v>3.5593499999999998</v>
      </c>
    </row>
    <row r="1110" spans="17:26">
      <c r="R1110" t="s">
        <v>1302</v>
      </c>
      <c r="V1110" s="8" t="s">
        <v>337</v>
      </c>
      <c r="W1110" s="9">
        <v>0.25</v>
      </c>
      <c r="X1110" s="10">
        <f>W1110*8/$T$1098</f>
        <v>5.0000000000000001E-3</v>
      </c>
      <c r="Y1110" s="12">
        <v>262.31</v>
      </c>
      <c r="Z1110" s="12">
        <f>X1110*Y1110</f>
        <v>1.31155</v>
      </c>
    </row>
    <row r="1111" spans="17:26">
      <c r="Q1111" s="14"/>
      <c r="R1111" s="14"/>
      <c r="S1111" s="14"/>
      <c r="T1111" s="14"/>
      <c r="U1111" s="14"/>
      <c r="V1111" s="14"/>
      <c r="W1111" s="14"/>
      <c r="X1111" s="14"/>
      <c r="Y1111" s="14"/>
      <c r="Z1111" s="16">
        <f>SUM(Z1108:Z1110)</f>
        <v>4.9208499999999997</v>
      </c>
    </row>
    <row r="1113" spans="17:26">
      <c r="Q1113" s="2" t="s">
        <v>333</v>
      </c>
      <c r="R1113" s="2"/>
      <c r="S1113" s="2" t="s">
        <v>1314</v>
      </c>
      <c r="T1113" s="2"/>
      <c r="U1113" s="2"/>
      <c r="V1113" s="2"/>
      <c r="W1113" s="2"/>
      <c r="X1113" s="2"/>
      <c r="Y1113" s="2"/>
    </row>
    <row r="1114" spans="17:26">
      <c r="Q1114" s="2" t="s">
        <v>278</v>
      </c>
      <c r="R1114" s="2" t="s">
        <v>279</v>
      </c>
      <c r="S1114" s="4" t="s">
        <v>280</v>
      </c>
      <c r="T1114" s="5">
        <v>75</v>
      </c>
      <c r="U1114" s="4" t="s">
        <v>281</v>
      </c>
      <c r="V1114" s="5">
        <f>T1114</f>
        <v>75</v>
      </c>
      <c r="W1114" s="2" t="s">
        <v>282</v>
      </c>
      <c r="Y1114" s="4" t="s">
        <v>133</v>
      </c>
      <c r="Z1114" s="6">
        <f>Z1119+Z1122+Z1126</f>
        <v>23.186366666666668</v>
      </c>
    </row>
    <row r="1115" spans="17:26">
      <c r="Q1115" s="2" t="s">
        <v>283</v>
      </c>
      <c r="R1115" s="2" t="s">
        <v>284</v>
      </c>
      <c r="V1115" s="4" t="s">
        <v>122</v>
      </c>
      <c r="W1115" s="4" t="s">
        <v>285</v>
      </c>
      <c r="X1115" s="4" t="s">
        <v>286</v>
      </c>
      <c r="Y1115" s="4" t="s">
        <v>287</v>
      </c>
      <c r="Z1115" s="4" t="s">
        <v>288</v>
      </c>
    </row>
    <row r="1116" spans="17:26">
      <c r="R1116" s="7" t="s">
        <v>289</v>
      </c>
    </row>
    <row r="1117" spans="17:26">
      <c r="R1117" t="s">
        <v>1295</v>
      </c>
      <c r="V1117" s="8" t="s">
        <v>291</v>
      </c>
      <c r="W1117" s="9">
        <v>1</v>
      </c>
      <c r="X1117" s="10">
        <f>W1117*8/$T$1114</f>
        <v>0.10666666666666667</v>
      </c>
      <c r="Y1117" s="12">
        <v>29.44</v>
      </c>
      <c r="Z1117" s="12">
        <f>X1117*Y1117</f>
        <v>3.1402666666666672</v>
      </c>
    </row>
    <row r="1118" spans="17:26">
      <c r="R1118" t="s">
        <v>293</v>
      </c>
      <c r="V1118" s="8" t="s">
        <v>291</v>
      </c>
      <c r="W1118" s="9">
        <v>1</v>
      </c>
      <c r="X1118" s="10">
        <f>W1118*8/$T$1114</f>
        <v>0.10666666666666667</v>
      </c>
      <c r="Y1118" s="12">
        <v>20.51</v>
      </c>
      <c r="Z1118" s="12">
        <f>X1118*Y1118</f>
        <v>2.1877333333333335</v>
      </c>
    </row>
    <row r="1119" spans="17:26">
      <c r="Z1119" s="6">
        <f>SUM(Z1117:Z1118)</f>
        <v>5.3280000000000012</v>
      </c>
    </row>
    <row r="1120" spans="17:26">
      <c r="R1120" s="7" t="s">
        <v>294</v>
      </c>
    </row>
    <row r="1121" spans="17:26">
      <c r="R1121" t="s">
        <v>1296</v>
      </c>
      <c r="V1121" s="8" t="s">
        <v>339</v>
      </c>
      <c r="X1121" s="10">
        <v>0.15</v>
      </c>
      <c r="Y1121" s="12">
        <v>14.83</v>
      </c>
      <c r="Z1121" s="12">
        <f>X1121*Y1121</f>
        <v>2.2244999999999999</v>
      </c>
    </row>
    <row r="1122" spans="17:26">
      <c r="V1122" s="8"/>
      <c r="Z1122" s="6">
        <f>SUM(Z1121:Z1121)</f>
        <v>2.2244999999999999</v>
      </c>
    </row>
    <row r="1123" spans="17:26">
      <c r="R1123" s="7" t="s">
        <v>317</v>
      </c>
    </row>
    <row r="1124" spans="17:26">
      <c r="R1124" t="s">
        <v>310</v>
      </c>
      <c r="V1124" s="8" t="s">
        <v>311</v>
      </c>
      <c r="X1124" s="10">
        <v>5</v>
      </c>
      <c r="Y1124" s="12">
        <f>Z1119</f>
        <v>5.3280000000000012</v>
      </c>
      <c r="Z1124" s="12">
        <f>X1124%*Y1124</f>
        <v>0.26640000000000008</v>
      </c>
    </row>
    <row r="1125" spans="17:26">
      <c r="R1125" t="s">
        <v>1299</v>
      </c>
      <c r="V1125" s="8" t="s">
        <v>337</v>
      </c>
      <c r="W1125" s="9">
        <v>1</v>
      </c>
      <c r="X1125" s="10">
        <f>W1125*8/$T$1114</f>
        <v>0.10666666666666667</v>
      </c>
      <c r="Y1125" s="12">
        <v>144.07</v>
      </c>
      <c r="Z1125" s="12">
        <f>X1125*Y1125</f>
        <v>15.367466666666667</v>
      </c>
    </row>
    <row r="1126" spans="17:26">
      <c r="Q1126" s="14"/>
      <c r="R1126" s="14"/>
      <c r="S1126" s="14"/>
      <c r="T1126" s="14"/>
      <c r="U1126" s="14"/>
      <c r="V1126" s="14"/>
      <c r="W1126" s="14"/>
      <c r="X1126" s="14"/>
      <c r="Y1126" s="14"/>
      <c r="Z1126" s="16">
        <f>SUM(Z1124:Z1125)</f>
        <v>15.633866666666668</v>
      </c>
    </row>
    <row r="1128" spans="17:26">
      <c r="Q1128" s="2" t="s">
        <v>333</v>
      </c>
      <c r="R1128" s="2"/>
      <c r="S1128" s="2" t="s">
        <v>1315</v>
      </c>
      <c r="T1128" s="2"/>
      <c r="U1128" s="2"/>
      <c r="V1128" s="2"/>
      <c r="W1128" s="2"/>
      <c r="X1128" s="2"/>
      <c r="Y1128" s="2"/>
    </row>
    <row r="1129" spans="17:26">
      <c r="Q1129" s="2" t="s">
        <v>278</v>
      </c>
      <c r="R1129" s="2" t="s">
        <v>416</v>
      </c>
      <c r="S1129" s="4" t="s">
        <v>280</v>
      </c>
      <c r="T1129" s="5">
        <v>120</v>
      </c>
      <c r="U1129" s="4" t="s">
        <v>281</v>
      </c>
      <c r="V1129" s="5">
        <f>T1129</f>
        <v>120</v>
      </c>
      <c r="W1129" s="2" t="s">
        <v>282</v>
      </c>
      <c r="Y1129" s="4" t="s">
        <v>203</v>
      </c>
      <c r="Z1129" s="6">
        <f>Z1135+Z1139+Z1145</f>
        <v>38.941699999999997</v>
      </c>
    </row>
    <row r="1130" spans="17:26">
      <c r="Q1130" s="2" t="s">
        <v>283</v>
      </c>
      <c r="R1130" s="2" t="s">
        <v>284</v>
      </c>
      <c r="V1130" s="4" t="s">
        <v>122</v>
      </c>
      <c r="W1130" s="4" t="s">
        <v>285</v>
      </c>
      <c r="X1130" s="4" t="s">
        <v>286</v>
      </c>
      <c r="Y1130" s="4" t="s">
        <v>287</v>
      </c>
      <c r="Z1130" s="4" t="s">
        <v>288</v>
      </c>
    </row>
    <row r="1131" spans="17:26">
      <c r="R1131" s="7" t="s">
        <v>289</v>
      </c>
    </row>
    <row r="1132" spans="17:26">
      <c r="R1132" t="s">
        <v>1295</v>
      </c>
      <c r="V1132" s="8" t="s">
        <v>291</v>
      </c>
      <c r="W1132" s="9">
        <v>1</v>
      </c>
      <c r="X1132" s="10">
        <f>W1132*8/$T$1129</f>
        <v>6.6666666666666666E-2</v>
      </c>
      <c r="Y1132" s="12">
        <v>29.44</v>
      </c>
      <c r="Z1132" s="12">
        <f>X1132*Y1132</f>
        <v>1.9626666666666668</v>
      </c>
    </row>
    <row r="1133" spans="17:26">
      <c r="R1133" t="s">
        <v>292</v>
      </c>
      <c r="V1133" s="8" t="s">
        <v>291</v>
      </c>
      <c r="W1133" s="9">
        <v>1</v>
      </c>
      <c r="X1133" s="10">
        <f>W1133*8/$T$1129</f>
        <v>6.6666666666666666E-2</v>
      </c>
      <c r="Y1133" s="12">
        <v>22.66</v>
      </c>
      <c r="Z1133" s="12">
        <f>X1133*Y1133</f>
        <v>1.5106666666666666</v>
      </c>
    </row>
    <row r="1134" spans="17:26">
      <c r="R1134" t="s">
        <v>293</v>
      </c>
      <c r="V1134" s="8" t="s">
        <v>291</v>
      </c>
      <c r="W1134" s="9">
        <v>1</v>
      </c>
      <c r="X1134" s="10">
        <f>W1134*8/$T$1129</f>
        <v>6.6666666666666666E-2</v>
      </c>
      <c r="Y1134" s="12">
        <v>20.51</v>
      </c>
      <c r="Z1134" s="12">
        <f>X1134*Y1134</f>
        <v>1.3673333333333335</v>
      </c>
    </row>
    <row r="1135" spans="17:26">
      <c r="Z1135" s="6">
        <f>SUM(Z1132:Z1134)</f>
        <v>4.8406666666666673</v>
      </c>
    </row>
    <row r="1136" spans="17:26">
      <c r="R1136" s="7" t="s">
        <v>294</v>
      </c>
    </row>
    <row r="1137" spans="17:26">
      <c r="R1137" t="s">
        <v>1296</v>
      </c>
      <c r="V1137" s="8" t="s">
        <v>339</v>
      </c>
      <c r="X1137" s="10">
        <v>0.5</v>
      </c>
      <c r="Y1137" s="12">
        <v>14.83</v>
      </c>
      <c r="Z1137" s="12">
        <f>X1137*Y1137</f>
        <v>7.415</v>
      </c>
    </row>
    <row r="1138" spans="17:26">
      <c r="R1138" t="s">
        <v>1316</v>
      </c>
      <c r="V1138" s="8" t="s">
        <v>149</v>
      </c>
      <c r="X1138" s="10">
        <v>0.5</v>
      </c>
      <c r="Y1138" s="12">
        <v>33.47</v>
      </c>
      <c r="Z1138" s="12">
        <f>X1138*Y1138</f>
        <v>16.734999999999999</v>
      </c>
    </row>
    <row r="1139" spans="17:26">
      <c r="V1139" s="8"/>
      <c r="Z1139" s="6">
        <f>SUM(Z1137:Z1138)</f>
        <v>24.15</v>
      </c>
    </row>
    <row r="1140" spans="17:26">
      <c r="R1140" s="7" t="s">
        <v>317</v>
      </c>
    </row>
    <row r="1141" spans="17:26">
      <c r="R1141" t="s">
        <v>310</v>
      </c>
      <c r="V1141" s="8" t="s">
        <v>311</v>
      </c>
      <c r="X1141" s="10">
        <v>5</v>
      </c>
      <c r="Y1141" s="12">
        <f>Z1135</f>
        <v>4.8406666666666673</v>
      </c>
      <c r="Z1141" s="12">
        <f>X1141%*Y1141</f>
        <v>0.24203333333333338</v>
      </c>
    </row>
    <row r="1142" spans="17:26">
      <c r="R1142" t="s">
        <v>1297</v>
      </c>
      <c r="V1142" s="8" t="s">
        <v>337</v>
      </c>
      <c r="W1142" s="9">
        <v>0.5</v>
      </c>
      <c r="X1142" s="10">
        <f>W1142*8/$T$1129</f>
        <v>3.3333333333333333E-2</v>
      </c>
      <c r="Y1142" s="12">
        <v>237.29</v>
      </c>
      <c r="Z1142" s="12">
        <f>X1142*Y1142</f>
        <v>7.9096666666666664</v>
      </c>
    </row>
    <row r="1143" spans="17:26">
      <c r="R1143" t="s">
        <v>1317</v>
      </c>
      <c r="V1143" s="8" t="s">
        <v>337</v>
      </c>
      <c r="W1143" s="9">
        <v>0.5</v>
      </c>
      <c r="X1143" s="10">
        <f>W1143*8/$T$1129</f>
        <v>3.3333333333333333E-2</v>
      </c>
      <c r="Y1143" s="12">
        <v>28.98</v>
      </c>
      <c r="Z1143" s="12">
        <f>X1143*Y1143</f>
        <v>0.96599999999999997</v>
      </c>
    </row>
    <row r="1144" spans="17:26">
      <c r="R1144" t="s">
        <v>1307</v>
      </c>
      <c r="V1144" s="8" t="s">
        <v>337</v>
      </c>
      <c r="W1144" s="9">
        <v>0.5</v>
      </c>
      <c r="X1144" s="10">
        <f>W1144*8/$T$1129</f>
        <v>3.3333333333333333E-2</v>
      </c>
      <c r="Y1144" s="12">
        <v>25</v>
      </c>
      <c r="Z1144" s="12">
        <f>X1144*Y1144</f>
        <v>0.83333333333333337</v>
      </c>
    </row>
    <row r="1145" spans="17:26">
      <c r="Q1145" s="14"/>
      <c r="R1145" s="14"/>
      <c r="S1145" s="14"/>
      <c r="T1145" s="14"/>
      <c r="U1145" s="14"/>
      <c r="V1145" s="14"/>
      <c r="W1145" s="14"/>
      <c r="X1145" s="14"/>
      <c r="Y1145" s="14"/>
      <c r="Z1145" s="16">
        <f>SUM(Z1141:Z1144)</f>
        <v>9.9510333333333332</v>
      </c>
    </row>
    <row r="1147" spans="17:26">
      <c r="Q1147" s="2" t="s">
        <v>333</v>
      </c>
      <c r="R1147" s="2"/>
      <c r="S1147" s="2" t="s">
        <v>1318</v>
      </c>
      <c r="T1147" s="2"/>
      <c r="U1147" s="2"/>
      <c r="V1147" s="2"/>
      <c r="W1147" s="2"/>
      <c r="X1147" s="2"/>
      <c r="Y1147" s="2"/>
    </row>
    <row r="1148" spans="17:26">
      <c r="Q1148" s="2" t="s">
        <v>278</v>
      </c>
      <c r="R1148" s="2" t="s">
        <v>279</v>
      </c>
      <c r="S1148" s="4" t="s">
        <v>280</v>
      </c>
      <c r="T1148" s="5">
        <v>620</v>
      </c>
      <c r="U1148" s="4" t="s">
        <v>281</v>
      </c>
      <c r="V1148" s="5">
        <f>T1148</f>
        <v>620</v>
      </c>
      <c r="W1148" s="2" t="s">
        <v>282</v>
      </c>
      <c r="Y1148" s="4" t="s">
        <v>133</v>
      </c>
      <c r="Z1148" s="6">
        <f>Z1153+Z1156+Z1161</f>
        <v>22.416445161290326</v>
      </c>
    </row>
    <row r="1149" spans="17:26">
      <c r="Q1149" s="2" t="s">
        <v>283</v>
      </c>
      <c r="R1149" s="2" t="s">
        <v>284</v>
      </c>
      <c r="V1149" s="4" t="s">
        <v>122</v>
      </c>
      <c r="W1149" s="4" t="s">
        <v>285</v>
      </c>
      <c r="X1149" s="4" t="s">
        <v>286</v>
      </c>
      <c r="Y1149" s="4" t="s">
        <v>287</v>
      </c>
      <c r="Z1149" s="4" t="s">
        <v>288</v>
      </c>
    </row>
    <row r="1150" spans="17:26">
      <c r="R1150" s="7" t="s">
        <v>289</v>
      </c>
    </row>
    <row r="1151" spans="17:26">
      <c r="R1151" t="s">
        <v>1295</v>
      </c>
      <c r="V1151" s="8" t="s">
        <v>291</v>
      </c>
      <c r="W1151" s="9">
        <v>7</v>
      </c>
      <c r="X1151" s="10">
        <f>W1151*8/$T$1148</f>
        <v>9.0322580645161285E-2</v>
      </c>
      <c r="Y1151" s="12">
        <v>29.44</v>
      </c>
      <c r="Z1151" s="12">
        <f>X1151*Y1151</f>
        <v>2.6590967741935483</v>
      </c>
    </row>
    <row r="1152" spans="17:26">
      <c r="R1152" t="s">
        <v>293</v>
      </c>
      <c r="V1152" s="8" t="s">
        <v>291</v>
      </c>
      <c r="W1152" s="9">
        <v>2</v>
      </c>
      <c r="X1152" s="10">
        <f>W1152*8/$T$1148</f>
        <v>2.5806451612903226E-2</v>
      </c>
      <c r="Y1152" s="12">
        <v>20.51</v>
      </c>
      <c r="Z1152" s="12">
        <f>X1152*Y1152</f>
        <v>0.52929032258064523</v>
      </c>
    </row>
    <row r="1153" spans="17:26">
      <c r="Z1153" s="6">
        <f>SUM(Z1151:Z1152)</f>
        <v>3.1883870967741936</v>
      </c>
    </row>
    <row r="1154" spans="17:26">
      <c r="R1154" s="7" t="s">
        <v>294</v>
      </c>
    </row>
    <row r="1155" spans="17:26">
      <c r="R1155" t="s">
        <v>1296</v>
      </c>
      <c r="V1155" s="8" t="s">
        <v>339</v>
      </c>
      <c r="X1155" s="10">
        <v>0.46</v>
      </c>
      <c r="Y1155" s="12">
        <v>14.83</v>
      </c>
      <c r="Z1155" s="12">
        <f>X1155*Y1155</f>
        <v>6.8218000000000005</v>
      </c>
    </row>
    <row r="1156" spans="17:26">
      <c r="V1156" s="8"/>
      <c r="Z1156" s="6">
        <f>SUM(Z1155:Z1155)</f>
        <v>6.8218000000000005</v>
      </c>
    </row>
    <row r="1157" spans="17:26">
      <c r="R1157" s="7" t="s">
        <v>317</v>
      </c>
    </row>
    <row r="1158" spans="17:26">
      <c r="R1158" t="s">
        <v>310</v>
      </c>
      <c r="V1158" s="8" t="s">
        <v>311</v>
      </c>
      <c r="X1158" s="10">
        <v>5</v>
      </c>
      <c r="Y1158" s="12">
        <f>Z1153</f>
        <v>3.1883870967741936</v>
      </c>
      <c r="Z1158" s="12">
        <f>X1158%*Y1158</f>
        <v>0.1594193548387097</v>
      </c>
    </row>
    <row r="1159" spans="17:26">
      <c r="R1159" t="s">
        <v>336</v>
      </c>
      <c r="V1159" s="8" t="s">
        <v>337</v>
      </c>
      <c r="W1159" s="9">
        <v>6</v>
      </c>
      <c r="X1159" s="10">
        <f>W1159*8/$T$1148</f>
        <v>7.7419354838709681E-2</v>
      </c>
      <c r="Y1159" s="12">
        <v>118.64</v>
      </c>
      <c r="Z1159" s="12">
        <f>X1159*Y1159</f>
        <v>9.185032258064517</v>
      </c>
    </row>
    <row r="1160" spans="17:26">
      <c r="R1160" t="s">
        <v>1297</v>
      </c>
      <c r="V1160" s="8" t="s">
        <v>337</v>
      </c>
      <c r="W1160" s="9">
        <v>1</v>
      </c>
      <c r="X1160" s="10">
        <f>W1160*8/$T$1148</f>
        <v>1.2903225806451613E-2</v>
      </c>
      <c r="Y1160" s="12">
        <v>237.29</v>
      </c>
      <c r="Z1160" s="12">
        <f>X1160*Y1160</f>
        <v>3.0618064516129033</v>
      </c>
    </row>
    <row r="1161" spans="17:26">
      <c r="Q1161" s="14"/>
      <c r="R1161" s="14"/>
      <c r="S1161" s="14"/>
      <c r="T1161" s="14"/>
      <c r="U1161" s="14"/>
      <c r="V1161" s="14"/>
      <c r="W1161" s="14"/>
      <c r="X1161" s="14"/>
      <c r="Y1161" s="14"/>
      <c r="Z1161" s="16">
        <f>SUM(Z1158:Z1160)</f>
        <v>12.40625806451613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32FE-5415-416A-88FF-378DA25EAC41}">
  <sheetPr>
    <tabColor rgb="FF00B0F0"/>
  </sheetPr>
  <dimension ref="A1:BA726"/>
  <sheetViews>
    <sheetView topLeftCell="A11" workbookViewId="0">
      <selection activeCell="G5" sqref="G5"/>
    </sheetView>
  </sheetViews>
  <sheetFormatPr defaultRowHeight="15"/>
  <cols>
    <col min="1" max="1" width="28.7109375" customWidth="1"/>
    <col min="5" max="5" width="11.140625" customWidth="1"/>
    <col min="6" max="6" width="16.5703125" customWidth="1"/>
    <col min="7" max="7" width="13.5703125" customWidth="1"/>
    <col min="9" max="9" width="29" customWidth="1"/>
    <col min="10" max="10" width="11.85546875" customWidth="1"/>
    <col min="11" max="11" width="15.28515625" bestFit="1" customWidth="1"/>
    <col min="12" max="12" width="10.85546875" bestFit="1" customWidth="1"/>
    <col min="20" max="20" width="10.42578125" bestFit="1" customWidth="1"/>
    <col min="21" max="21" width="12.28515625" customWidth="1"/>
    <col min="22" max="22" width="14.85546875" customWidth="1"/>
    <col min="27" max="27" width="9.28515625" bestFit="1" customWidth="1"/>
    <col min="28" max="28" width="11" customWidth="1"/>
    <col min="29" max="29" width="11.140625" customWidth="1"/>
    <col min="31" max="31" width="13.7109375" bestFit="1" customWidth="1"/>
    <col min="32" max="32" width="14.85546875" bestFit="1" customWidth="1"/>
    <col min="33" max="33" width="10.42578125" customWidth="1"/>
    <col min="39" max="39" width="10.42578125" bestFit="1" customWidth="1"/>
  </cols>
  <sheetData>
    <row r="1" spans="1:45">
      <c r="B1" s="4" t="s">
        <v>1222</v>
      </c>
      <c r="C1" s="4" t="s">
        <v>122</v>
      </c>
      <c r="D1" s="4" t="s">
        <v>123</v>
      </c>
      <c r="E1" s="4" t="s">
        <v>124</v>
      </c>
      <c r="F1" s="4" t="s">
        <v>453</v>
      </c>
      <c r="G1" s="4" t="s">
        <v>454</v>
      </c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45">
      <c r="A2" s="1"/>
      <c r="I2" s="25" t="s">
        <v>1319</v>
      </c>
      <c r="J2" s="25">
        <f>'Datos iniciales '!E72</f>
        <v>300</v>
      </c>
      <c r="M2" s="2"/>
      <c r="N2" s="2"/>
      <c r="O2" s="2"/>
      <c r="P2" s="2"/>
      <c r="X2" s="2"/>
      <c r="Y2" s="2"/>
      <c r="Z2" s="2"/>
      <c r="AA2" s="2"/>
      <c r="AJ2" s="2"/>
      <c r="AK2" s="2"/>
      <c r="AL2" s="2"/>
      <c r="AM2" s="2"/>
      <c r="AQ2" s="10"/>
    </row>
    <row r="3" spans="1:45">
      <c r="A3" s="1" t="s">
        <v>590</v>
      </c>
      <c r="I3" s="25" t="s">
        <v>1320</v>
      </c>
      <c r="J3" s="25">
        <f>'Datos iniciales '!E73</f>
        <v>10</v>
      </c>
      <c r="M3" s="2"/>
      <c r="N3" s="2"/>
      <c r="O3" s="4"/>
      <c r="P3" s="5"/>
      <c r="Q3" s="4"/>
      <c r="R3" s="5"/>
      <c r="S3" s="2"/>
      <c r="U3" s="4"/>
      <c r="V3" s="6"/>
      <c r="X3" s="2"/>
      <c r="Y3" s="2"/>
      <c r="Z3" s="4"/>
      <c r="AA3" s="5"/>
      <c r="AB3" s="4"/>
      <c r="AC3" s="5"/>
      <c r="AD3" s="2"/>
      <c r="AF3" s="4"/>
      <c r="AG3" s="6"/>
      <c r="AJ3" s="2"/>
      <c r="AK3" s="2"/>
      <c r="AL3" s="4"/>
      <c r="AM3" s="5"/>
      <c r="AN3" s="4"/>
      <c r="AO3" s="5"/>
      <c r="AP3" s="2"/>
      <c r="AQ3" s="10"/>
      <c r="AR3" s="4"/>
      <c r="AS3" s="6"/>
    </row>
    <row r="4" spans="1:45">
      <c r="A4" s="185" t="s">
        <v>1321</v>
      </c>
      <c r="E4" s="12"/>
      <c r="G4" s="304">
        <f>SUM(F5:F7)</f>
        <v>22486.831503214984</v>
      </c>
      <c r="I4" s="25" t="s">
        <v>1322</v>
      </c>
      <c r="J4" s="25">
        <f>'Datos iniciales '!E74</f>
        <v>10</v>
      </c>
      <c r="M4" s="2" t="s">
        <v>277</v>
      </c>
      <c r="N4" s="2"/>
      <c r="O4" s="2" t="s">
        <v>1323</v>
      </c>
      <c r="P4" s="2"/>
      <c r="Q4" s="2"/>
      <c r="R4" s="2"/>
      <c r="S4" s="2"/>
      <c r="T4" s="2"/>
      <c r="U4" s="2"/>
      <c r="AK4" s="2"/>
      <c r="AO4" s="4"/>
      <c r="AP4" s="4"/>
      <c r="AQ4" s="90"/>
      <c r="AR4" s="4"/>
      <c r="AS4" s="4"/>
    </row>
    <row r="5" spans="1:45">
      <c r="A5" t="s">
        <v>827</v>
      </c>
      <c r="B5">
        <v>1.5</v>
      </c>
      <c r="C5" s="8" t="s">
        <v>133</v>
      </c>
      <c r="D5">
        <f>B5*$J$2</f>
        <v>450</v>
      </c>
      <c r="E5" s="12">
        <f>U8</f>
        <v>13.478588693356565</v>
      </c>
      <c r="F5" s="9">
        <f>D5*E5</f>
        <v>6065.3649120104546</v>
      </c>
      <c r="I5" s="25" t="s">
        <v>1324</v>
      </c>
      <c r="J5" s="25">
        <f>'Datos iniciales '!E75</f>
        <v>10</v>
      </c>
      <c r="M5" s="2" t="s">
        <v>278</v>
      </c>
      <c r="N5" s="2" t="s">
        <v>279</v>
      </c>
      <c r="O5" s="4" t="s">
        <v>280</v>
      </c>
      <c r="P5" s="5">
        <v>1</v>
      </c>
      <c r="Q5" s="4" t="s">
        <v>281</v>
      </c>
      <c r="R5" s="5">
        <f>P5</f>
        <v>1</v>
      </c>
      <c r="S5" s="2" t="s">
        <v>282</v>
      </c>
      <c r="U5" s="4" t="s">
        <v>133</v>
      </c>
      <c r="V5" s="6">
        <f>V11</f>
        <v>74.956105010716612</v>
      </c>
      <c r="X5" s="2" t="s">
        <v>964</v>
      </c>
      <c r="Y5" s="2"/>
      <c r="Z5" s="2" t="s">
        <v>827</v>
      </c>
      <c r="AA5" s="2"/>
      <c r="AB5" s="2"/>
      <c r="AC5" s="2"/>
      <c r="AD5" s="2"/>
      <c r="AE5" s="2"/>
      <c r="AF5" s="2"/>
      <c r="AK5" s="7"/>
      <c r="AQ5" s="10"/>
    </row>
    <row r="6" spans="1:45">
      <c r="A6" t="s">
        <v>829</v>
      </c>
      <c r="B6">
        <v>0.5</v>
      </c>
      <c r="C6" s="8" t="s">
        <v>149</v>
      </c>
      <c r="D6">
        <f t="shared" ref="D6:D7" si="0">B6*$J$2</f>
        <v>150</v>
      </c>
      <c r="E6" s="12">
        <f t="shared" ref="E6:E7" si="1">U9</f>
        <v>73.852121493356563</v>
      </c>
      <c r="F6" s="9">
        <f>D6*E6</f>
        <v>11077.818224003484</v>
      </c>
      <c r="I6" s="25" t="s">
        <v>1322</v>
      </c>
      <c r="J6" s="25">
        <f>'Datos iniciales '!E76</f>
        <v>10</v>
      </c>
      <c r="M6" s="2" t="s">
        <v>283</v>
      </c>
      <c r="N6" s="2" t="s">
        <v>284</v>
      </c>
      <c r="R6" s="4" t="s">
        <v>122</v>
      </c>
      <c r="S6" s="4" t="s">
        <v>285</v>
      </c>
      <c r="T6" s="4" t="s">
        <v>286</v>
      </c>
      <c r="U6" s="4" t="s">
        <v>287</v>
      </c>
      <c r="V6" s="4" t="s">
        <v>288</v>
      </c>
      <c r="X6" s="2" t="s">
        <v>278</v>
      </c>
      <c r="Y6" s="2" t="s">
        <v>279</v>
      </c>
      <c r="Z6" s="4" t="s">
        <v>280</v>
      </c>
      <c r="AA6" s="5">
        <v>100</v>
      </c>
      <c r="AB6" s="4" t="s">
        <v>281</v>
      </c>
      <c r="AC6" s="5">
        <f>AA6</f>
        <v>100</v>
      </c>
      <c r="AD6" s="2" t="s">
        <v>282</v>
      </c>
      <c r="AF6" s="4" t="s">
        <v>133</v>
      </c>
      <c r="AG6" s="6">
        <f>AG12+AG16+AG19</f>
        <v>13.478588693356565</v>
      </c>
      <c r="AO6" s="8"/>
      <c r="AQ6" s="18"/>
      <c r="AR6" s="55"/>
      <c r="AS6" s="12"/>
    </row>
    <row r="7" spans="1:45">
      <c r="A7" t="s">
        <v>831</v>
      </c>
      <c r="B7">
        <v>0.15</v>
      </c>
      <c r="C7" s="8" t="s">
        <v>149</v>
      </c>
      <c r="D7">
        <f t="shared" si="0"/>
        <v>45</v>
      </c>
      <c r="E7" s="12">
        <f t="shared" si="1"/>
        <v>118.74774149335656</v>
      </c>
      <c r="F7" s="9">
        <f>D7*E7</f>
        <v>5343.6483672010454</v>
      </c>
      <c r="I7" s="25" t="s">
        <v>1325</v>
      </c>
      <c r="J7" s="25">
        <f>'Datos iniciales '!E77</f>
        <v>1</v>
      </c>
      <c r="N7" s="7" t="s">
        <v>737</v>
      </c>
      <c r="X7" s="2" t="s">
        <v>283</v>
      </c>
      <c r="Y7" s="2" t="s">
        <v>284</v>
      </c>
      <c r="AC7" s="4" t="s">
        <v>122</v>
      </c>
      <c r="AD7" s="4" t="s">
        <v>285</v>
      </c>
      <c r="AE7" s="4" t="s">
        <v>286</v>
      </c>
      <c r="AF7" s="4" t="s">
        <v>287</v>
      </c>
      <c r="AG7" s="4" t="s">
        <v>288</v>
      </c>
      <c r="AO7" s="8"/>
      <c r="AP7" s="9"/>
      <c r="AQ7" s="10"/>
      <c r="AS7" s="6"/>
    </row>
    <row r="8" spans="1:45">
      <c r="A8" s="185" t="s">
        <v>1320</v>
      </c>
      <c r="C8" t="s">
        <v>133</v>
      </c>
      <c r="G8" s="6">
        <f>SUM(F9:F21)</f>
        <v>1627.1390580000004</v>
      </c>
      <c r="I8" s="25" t="s">
        <v>1326</v>
      </c>
      <c r="J8" s="25">
        <f>'Datos iniciales '!E78</f>
        <v>10</v>
      </c>
      <c r="N8" t="s">
        <v>827</v>
      </c>
      <c r="R8" s="8" t="s">
        <v>133</v>
      </c>
      <c r="S8" s="9"/>
      <c r="T8" s="10">
        <v>1.5</v>
      </c>
      <c r="U8" s="12">
        <f>AG6</f>
        <v>13.478588693356565</v>
      </c>
      <c r="V8" s="12">
        <f>T8*U8</f>
        <v>20.217883040034849</v>
      </c>
      <c r="Y8" s="7" t="s">
        <v>289</v>
      </c>
    </row>
    <row r="9" spans="1:45">
      <c r="B9" s="10"/>
      <c r="C9" s="8"/>
      <c r="E9" s="12"/>
      <c r="F9" s="9"/>
      <c r="I9" s="25" t="s">
        <v>1327</v>
      </c>
      <c r="J9" s="25">
        <f>'Datos iniciales '!E79</f>
        <v>10</v>
      </c>
      <c r="N9" t="s">
        <v>829</v>
      </c>
      <c r="R9" s="8" t="s">
        <v>149</v>
      </c>
      <c r="S9" s="9"/>
      <c r="T9" s="10">
        <v>0.5</v>
      </c>
      <c r="U9" s="12">
        <f>AG22</f>
        <v>73.852121493356563</v>
      </c>
      <c r="V9" s="12">
        <f>T9*U9</f>
        <v>36.926060746678282</v>
      </c>
      <c r="Y9" t="s">
        <v>650</v>
      </c>
      <c r="AC9" s="8" t="s">
        <v>291</v>
      </c>
      <c r="AD9" s="9">
        <v>0.1</v>
      </c>
      <c r="AE9" s="10">
        <f>AD9*8/$AA$6</f>
        <v>8.0000000000000002E-3</v>
      </c>
      <c r="AF9" s="12">
        <v>34.729999999999997</v>
      </c>
      <c r="AG9" s="12">
        <f>AE9*AF9</f>
        <v>0.27783999999999998</v>
      </c>
      <c r="AK9" s="2"/>
      <c r="AL9" s="2"/>
      <c r="AM9" s="2"/>
      <c r="AN9" s="2"/>
      <c r="AO9" s="2"/>
      <c r="AP9" s="2"/>
      <c r="AQ9" s="2"/>
      <c r="AR9" s="2"/>
    </row>
    <row r="10" spans="1:45">
      <c r="B10" s="10"/>
      <c r="C10" s="8"/>
      <c r="E10" s="12"/>
      <c r="F10" s="9"/>
      <c r="I10" s="25" t="s">
        <v>1328</v>
      </c>
      <c r="J10" s="25">
        <f>'Datos iniciales '!E80</f>
        <v>10</v>
      </c>
      <c r="N10" t="s">
        <v>831</v>
      </c>
      <c r="R10" s="8" t="s">
        <v>149</v>
      </c>
      <c r="S10" s="9"/>
      <c r="T10" s="10">
        <v>0.15</v>
      </c>
      <c r="U10" s="12">
        <f>AG39</f>
        <v>118.74774149335656</v>
      </c>
      <c r="V10" s="12">
        <f>T10*U10</f>
        <v>17.812161224003482</v>
      </c>
      <c r="Y10" t="s">
        <v>679</v>
      </c>
      <c r="AC10" s="8" t="s">
        <v>291</v>
      </c>
      <c r="AD10" s="9">
        <v>1</v>
      </c>
      <c r="AE10" s="10">
        <f>AD10*8/$AA$6</f>
        <v>0.08</v>
      </c>
      <c r="AF10" s="12">
        <v>22.66</v>
      </c>
      <c r="AG10" s="12">
        <f>AE10*AF10</f>
        <v>1.8128</v>
      </c>
      <c r="AK10" s="2"/>
      <c r="AL10" s="4"/>
      <c r="AM10" s="5"/>
      <c r="AN10" s="4"/>
      <c r="AO10" s="5"/>
      <c r="AP10" s="2"/>
      <c r="AR10" s="4"/>
      <c r="AS10" s="6"/>
    </row>
    <row r="11" spans="1:45">
      <c r="A11" t="s">
        <v>1329</v>
      </c>
      <c r="B11" s="10">
        <v>1</v>
      </c>
      <c r="C11" s="8" t="s">
        <v>203</v>
      </c>
      <c r="D11">
        <f>B11*$J$3</f>
        <v>10</v>
      </c>
      <c r="E11" s="12">
        <f t="shared" ref="E10:E21" si="2">U61</f>
        <v>7.9303440000000007</v>
      </c>
      <c r="F11" s="9">
        <f t="shared" ref="F10:F21" si="3">D11*E11</f>
        <v>79.303440000000009</v>
      </c>
      <c r="I11" s="25" t="s">
        <v>1330</v>
      </c>
      <c r="J11" s="25">
        <f>'Datos iniciales '!E81</f>
        <v>1</v>
      </c>
      <c r="M11" s="14"/>
      <c r="N11" s="14"/>
      <c r="O11" s="14"/>
      <c r="P11" s="14"/>
      <c r="Q11" s="14"/>
      <c r="R11" s="14"/>
      <c r="S11" s="14"/>
      <c r="T11" s="14"/>
      <c r="U11" s="14"/>
      <c r="V11" s="16">
        <f>SUM(V8:V10)</f>
        <v>74.956105010716612</v>
      </c>
      <c r="Y11" t="s">
        <v>293</v>
      </c>
      <c r="AC11" s="8" t="s">
        <v>291</v>
      </c>
      <c r="AD11" s="9">
        <v>1</v>
      </c>
      <c r="AE11" s="10">
        <f>AD11*8/$AA$6</f>
        <v>0.08</v>
      </c>
      <c r="AF11" s="12">
        <v>20.51</v>
      </c>
      <c r="AG11" s="12">
        <f>AE11*AF11</f>
        <v>1.6408000000000003</v>
      </c>
      <c r="AK11" s="2"/>
      <c r="AO11" s="4"/>
      <c r="AP11" s="4"/>
      <c r="AQ11" s="4"/>
      <c r="AR11" s="4"/>
      <c r="AS11" s="4"/>
    </row>
    <row r="12" spans="1:45">
      <c r="A12" t="s">
        <v>1331</v>
      </c>
      <c r="B12" s="10">
        <v>0.33</v>
      </c>
      <c r="C12" s="8" t="s">
        <v>203</v>
      </c>
      <c r="D12">
        <f t="shared" ref="D10:D21" si="4">B12*$J$3</f>
        <v>3.3000000000000003</v>
      </c>
      <c r="E12" s="12">
        <f t="shared" si="2"/>
        <v>77.227704800000012</v>
      </c>
      <c r="F12" s="9">
        <f t="shared" si="3"/>
        <v>254.85142584000005</v>
      </c>
      <c r="I12" s="25" t="s">
        <v>1332</v>
      </c>
      <c r="J12" s="25">
        <f>'Datos iniciales '!E82</f>
        <v>10</v>
      </c>
      <c r="R12" s="8"/>
      <c r="S12" s="9"/>
      <c r="T12" s="10"/>
      <c r="U12" s="12"/>
      <c r="V12" s="12"/>
      <c r="AC12" s="8"/>
      <c r="AG12" s="6">
        <f>SUM(AG9:AG11)</f>
        <v>3.7314400000000001</v>
      </c>
      <c r="AK12" s="7"/>
    </row>
    <row r="13" spans="1:45">
      <c r="A13" t="s">
        <v>593</v>
      </c>
      <c r="B13" s="10">
        <v>0.22000000000000003</v>
      </c>
      <c r="C13" s="8" t="s">
        <v>133</v>
      </c>
      <c r="D13">
        <f t="shared" si="4"/>
        <v>2.2000000000000002</v>
      </c>
      <c r="E13" s="12">
        <f t="shared" si="2"/>
        <v>445.66922400000004</v>
      </c>
      <c r="F13" s="9">
        <f t="shared" si="3"/>
        <v>980.47229280000022</v>
      </c>
      <c r="I13" s="25" t="s">
        <v>1333</v>
      </c>
      <c r="J13" s="25">
        <f>'Datos iniciales '!B3</f>
        <v>450</v>
      </c>
      <c r="Y13" s="7" t="s">
        <v>294</v>
      </c>
      <c r="AC13" s="8"/>
      <c r="AO13" s="8"/>
      <c r="AP13" s="9"/>
      <c r="AQ13" s="10"/>
      <c r="AR13" s="12"/>
      <c r="AS13" s="12"/>
    </row>
    <row r="14" spans="1:45">
      <c r="A14" t="s">
        <v>595</v>
      </c>
      <c r="B14" s="10">
        <v>1.44E-2</v>
      </c>
      <c r="C14" s="8" t="s">
        <v>203</v>
      </c>
      <c r="D14">
        <f t="shared" si="4"/>
        <v>0.14399999999999999</v>
      </c>
      <c r="E14" s="12">
        <f t="shared" si="2"/>
        <v>445.66922400000004</v>
      </c>
      <c r="F14" s="9">
        <f t="shared" si="3"/>
        <v>64.176368256000003</v>
      </c>
      <c r="I14" s="25" t="s">
        <v>1334</v>
      </c>
      <c r="J14" s="25">
        <f>'Datos iniciales '!C3</f>
        <v>800</v>
      </c>
      <c r="Y14" t="s">
        <v>655</v>
      </c>
      <c r="AC14" s="8" t="s">
        <v>203</v>
      </c>
      <c r="AE14" s="10">
        <v>3.3000000000000002E-2</v>
      </c>
      <c r="AF14" s="12">
        <v>6.14</v>
      </c>
      <c r="AG14" s="12">
        <f>AE14*AF14</f>
        <v>0.20261999999999999</v>
      </c>
      <c r="AO14" s="8"/>
      <c r="AP14" s="9"/>
      <c r="AQ14" s="10"/>
      <c r="AR14" s="12"/>
      <c r="AS14" s="12"/>
    </row>
    <row r="15" spans="1:45">
      <c r="A15" t="s">
        <v>597</v>
      </c>
      <c r="B15" s="10">
        <v>7.6600000000000001E-2</v>
      </c>
      <c r="C15" s="8" t="s">
        <v>133</v>
      </c>
      <c r="D15">
        <f t="shared" si="4"/>
        <v>0.76600000000000001</v>
      </c>
      <c r="E15" s="12">
        <f t="shared" si="2"/>
        <v>118.01356480000003</v>
      </c>
      <c r="F15" s="9">
        <f t="shared" si="3"/>
        <v>90.398390636800016</v>
      </c>
      <c r="I15" s="25" t="s">
        <v>1335</v>
      </c>
      <c r="J15" s="25">
        <f>INDEX('Datos iniciales '!C5:C8,MATCH(MAX('Datos iniciales '!B5:B8),'Datos iniciales '!B5:B8,0))</f>
        <v>1</v>
      </c>
      <c r="K15" s="9"/>
      <c r="Y15" t="s">
        <v>958</v>
      </c>
      <c r="AC15" s="8" t="s">
        <v>203</v>
      </c>
      <c r="AE15" s="10">
        <v>0.15</v>
      </c>
      <c r="AF15" s="12">
        <v>62.883903289043772</v>
      </c>
      <c r="AG15" s="12">
        <f>AE15*AF15</f>
        <v>9.4325854933565658</v>
      </c>
      <c r="AO15" s="8"/>
      <c r="AP15" s="9"/>
      <c r="AQ15" s="10"/>
      <c r="AR15" s="12"/>
      <c r="AS15" s="12"/>
    </row>
    <row r="16" spans="1:45">
      <c r="A16" t="s">
        <v>599</v>
      </c>
      <c r="B16" s="10">
        <v>8.0000000000000004E-4</v>
      </c>
      <c r="C16" s="8" t="s">
        <v>203</v>
      </c>
      <c r="D16">
        <f t="shared" si="4"/>
        <v>8.0000000000000002E-3</v>
      </c>
      <c r="E16" s="12">
        <f t="shared" si="2"/>
        <v>358</v>
      </c>
      <c r="F16" s="9">
        <f t="shared" si="3"/>
        <v>2.8639999999999999</v>
      </c>
      <c r="J16" s="9"/>
      <c r="AC16" s="8"/>
      <c r="AG16" s="6">
        <f>SUM(AG14:AG15)</f>
        <v>9.6352054933565654</v>
      </c>
      <c r="AO16" s="8"/>
      <c r="AP16" s="9"/>
      <c r="AQ16" s="10"/>
      <c r="AR16" s="12"/>
      <c r="AS16" s="12"/>
    </row>
    <row r="17" spans="1:53">
      <c r="A17" t="s">
        <v>601</v>
      </c>
      <c r="B17" s="10">
        <v>1</v>
      </c>
      <c r="C17" s="8" t="s">
        <v>133</v>
      </c>
      <c r="D17">
        <f t="shared" si="4"/>
        <v>10</v>
      </c>
      <c r="E17" s="12">
        <f t="shared" si="2"/>
        <v>2.9418735999999996</v>
      </c>
      <c r="F17" s="9">
        <f t="shared" si="3"/>
        <v>29.418735999999996</v>
      </c>
      <c r="J17" s="9"/>
      <c r="K17" s="9"/>
      <c r="Y17" s="7" t="s">
        <v>317</v>
      </c>
      <c r="AC17" s="8"/>
      <c r="AD17" s="9"/>
      <c r="AS17" s="6"/>
    </row>
    <row r="18" spans="1:53">
      <c r="A18" t="s">
        <v>603</v>
      </c>
      <c r="B18" s="10">
        <v>0.16070000000000001</v>
      </c>
      <c r="C18" s="8" t="s">
        <v>144</v>
      </c>
      <c r="D18">
        <f t="shared" si="4"/>
        <v>1.6070000000000002</v>
      </c>
      <c r="E18" s="12">
        <f t="shared" si="2"/>
        <v>19.238683200000001</v>
      </c>
      <c r="F18" s="9">
        <f t="shared" si="3"/>
        <v>30.916563902400004</v>
      </c>
      <c r="J18" s="9"/>
      <c r="K18" s="226"/>
      <c r="Y18" t="s">
        <v>310</v>
      </c>
      <c r="AC18" s="8" t="s">
        <v>311</v>
      </c>
      <c r="AD18" s="9"/>
      <c r="AE18" s="10">
        <v>3</v>
      </c>
      <c r="AF18" s="12">
        <f>AG12</f>
        <v>3.7314400000000001</v>
      </c>
      <c r="AG18" s="12">
        <f>AE18%*AF18</f>
        <v>0.11194319999999999</v>
      </c>
      <c r="AK18" s="7"/>
    </row>
    <row r="19" spans="1:53">
      <c r="A19" t="s">
        <v>605</v>
      </c>
      <c r="B19" s="10">
        <v>0.18890000000000001</v>
      </c>
      <c r="C19" s="8" t="s">
        <v>144</v>
      </c>
      <c r="D19">
        <f t="shared" si="4"/>
        <v>1.8890000000000002</v>
      </c>
      <c r="E19" s="12">
        <f t="shared" si="2"/>
        <v>19.238683200000001</v>
      </c>
      <c r="F19" s="9">
        <f t="shared" si="3"/>
        <v>36.341872564800006</v>
      </c>
      <c r="K19" s="9"/>
      <c r="X19" s="14"/>
      <c r="Y19" s="14"/>
      <c r="Z19" s="14"/>
      <c r="AA19" s="14"/>
      <c r="AB19" s="14"/>
      <c r="AC19" s="14"/>
      <c r="AD19" s="14"/>
      <c r="AE19" s="14"/>
      <c r="AF19" s="14"/>
      <c r="AG19" s="16">
        <f>SUM(AG18)</f>
        <v>0.11194319999999999</v>
      </c>
      <c r="AQ19" s="10"/>
      <c r="AR19" s="12"/>
      <c r="AS19" s="12"/>
    </row>
    <row r="20" spans="1:53">
      <c r="A20" t="s">
        <v>607</v>
      </c>
      <c r="B20" s="10">
        <v>7.4000000000000003E-3</v>
      </c>
      <c r="C20" s="8" t="s">
        <v>144</v>
      </c>
      <c r="D20">
        <f t="shared" si="4"/>
        <v>7.400000000000001E-2</v>
      </c>
      <c r="E20" s="12">
        <f t="shared" si="2"/>
        <v>616.64</v>
      </c>
      <c r="F20" s="9">
        <f t="shared" si="3"/>
        <v>45.631360000000008</v>
      </c>
      <c r="K20" s="9"/>
      <c r="AC20" s="8"/>
      <c r="AD20" s="9"/>
      <c r="AE20" s="10"/>
      <c r="AF20" s="12"/>
      <c r="AG20" s="12"/>
      <c r="AQ20" s="10"/>
      <c r="AR20" s="12"/>
      <c r="AS20" s="12"/>
    </row>
    <row r="21" spans="1:53">
      <c r="A21" t="s">
        <v>1336</v>
      </c>
      <c r="B21">
        <v>2.5000000000000001E-2</v>
      </c>
      <c r="C21" s="8" t="s">
        <v>144</v>
      </c>
      <c r="D21">
        <f t="shared" si="4"/>
        <v>0.25</v>
      </c>
      <c r="E21" s="12">
        <f t="shared" si="2"/>
        <v>51.058431999999996</v>
      </c>
      <c r="F21" s="9">
        <f t="shared" si="3"/>
        <v>12.764607999999999</v>
      </c>
      <c r="K21" s="9"/>
      <c r="X21" s="2" t="s">
        <v>964</v>
      </c>
      <c r="Y21" s="2"/>
      <c r="Z21" s="2" t="s">
        <v>829</v>
      </c>
      <c r="AA21" s="2"/>
      <c r="AB21" s="2"/>
      <c r="AC21" s="2"/>
      <c r="AD21" s="2"/>
      <c r="AE21" s="2"/>
      <c r="AF21" s="2"/>
      <c r="AS21" s="6"/>
      <c r="AT21" s="97"/>
      <c r="AU21" s="98"/>
      <c r="AV21" s="98"/>
      <c r="AW21" s="99"/>
      <c r="AX21" s="100"/>
      <c r="AY21" s="100"/>
      <c r="AZ21" s="100"/>
      <c r="BA21" s="101"/>
    </row>
    <row r="22" spans="1:53">
      <c r="A22" s="185" t="s">
        <v>1337</v>
      </c>
      <c r="C22" t="s">
        <v>133</v>
      </c>
      <c r="D22">
        <f>J4</f>
        <v>10</v>
      </c>
      <c r="E22" s="12">
        <f>V236</f>
        <v>169.49</v>
      </c>
      <c r="G22" s="2">
        <f>D22*E22</f>
        <v>1694.9</v>
      </c>
      <c r="K22" s="9"/>
      <c r="X22" s="2" t="s">
        <v>278</v>
      </c>
      <c r="Y22" s="2" t="s">
        <v>279</v>
      </c>
      <c r="Z22" s="4" t="s">
        <v>280</v>
      </c>
      <c r="AA22" s="5">
        <v>20</v>
      </c>
      <c r="AB22" s="4" t="s">
        <v>281</v>
      </c>
      <c r="AC22" s="5">
        <f>AA22</f>
        <v>20</v>
      </c>
      <c r="AD22" s="2" t="s">
        <v>282</v>
      </c>
      <c r="AF22" s="4" t="s">
        <v>133</v>
      </c>
      <c r="AG22" s="6">
        <f>AG28+AG33+AG36</f>
        <v>73.852121493356563</v>
      </c>
      <c r="AK22" s="7"/>
      <c r="AT22" s="102"/>
      <c r="AU22" s="98"/>
      <c r="AV22" s="91"/>
      <c r="AW22" s="103"/>
      <c r="AX22" s="92"/>
      <c r="AY22" s="93"/>
      <c r="AZ22" s="94"/>
      <c r="BA22" s="92"/>
    </row>
    <row r="23" spans="1:53">
      <c r="K23" s="9"/>
      <c r="L23" s="12"/>
      <c r="X23" s="2" t="s">
        <v>283</v>
      </c>
      <c r="Y23" s="2" t="s">
        <v>284</v>
      </c>
      <c r="AC23" s="4" t="s">
        <v>122</v>
      </c>
      <c r="AD23" s="4" t="s">
        <v>285</v>
      </c>
      <c r="AE23" s="4" t="s">
        <v>286</v>
      </c>
      <c r="AF23" s="4" t="s">
        <v>287</v>
      </c>
      <c r="AG23" s="4" t="s">
        <v>288</v>
      </c>
      <c r="AO23" s="8"/>
      <c r="AQ23" s="10"/>
      <c r="AR23" s="12"/>
      <c r="AS23" s="12"/>
      <c r="AT23" s="102"/>
      <c r="AU23" s="95"/>
      <c r="AV23" s="98"/>
      <c r="AW23" s="103"/>
      <c r="AX23" s="92"/>
      <c r="AY23" s="93"/>
      <c r="AZ23" s="94"/>
      <c r="BA23" s="92"/>
    </row>
    <row r="24" spans="1:53">
      <c r="A24" s="185" t="s">
        <v>108</v>
      </c>
      <c r="C24" t="s">
        <v>133</v>
      </c>
      <c r="G24" s="6">
        <f>SUM(F25:F37)</f>
        <v>1627.1390580000004</v>
      </c>
      <c r="L24" s="12"/>
      <c r="Y24" s="7" t="s">
        <v>289</v>
      </c>
      <c r="AO24" s="8"/>
      <c r="AP24" s="9"/>
      <c r="AQ24" s="10"/>
      <c r="AR24" s="12"/>
      <c r="AS24" s="12"/>
      <c r="AT24" s="104"/>
      <c r="AU24" s="104"/>
      <c r="AV24" s="104"/>
      <c r="AW24" s="103"/>
      <c r="AX24" s="92"/>
      <c r="AY24" s="92"/>
      <c r="AZ24" s="92"/>
      <c r="BA24" s="92"/>
    </row>
    <row r="25" spans="1:53">
      <c r="B25" s="10"/>
      <c r="C25" s="8"/>
      <c r="E25" s="12"/>
      <c r="F25" s="9"/>
      <c r="L25" s="12"/>
      <c r="Y25" t="s">
        <v>650</v>
      </c>
      <c r="AC25" s="8" t="s">
        <v>291</v>
      </c>
      <c r="AD25" s="9">
        <v>0.1</v>
      </c>
      <c r="AE25" s="10">
        <f>AD25*8/$AA$22</f>
        <v>0.04</v>
      </c>
      <c r="AF25" s="12">
        <v>34.729999999999997</v>
      </c>
      <c r="AG25" s="12">
        <f>AE25*AF25</f>
        <v>1.3892</v>
      </c>
      <c r="AO25" s="8"/>
      <c r="AP25" s="9"/>
      <c r="AQ25" s="10"/>
      <c r="AR25" s="12"/>
      <c r="AS25" s="12"/>
      <c r="AT25" s="97"/>
      <c r="AU25" s="97"/>
      <c r="AV25" s="103"/>
      <c r="AW25" s="97"/>
      <c r="AX25" s="96"/>
      <c r="AY25" s="96"/>
      <c r="AZ25" s="96"/>
      <c r="BA25" s="96"/>
    </row>
    <row r="26" spans="1:53">
      <c r="B26" s="10"/>
      <c r="C26" s="8"/>
      <c r="E26" s="12"/>
      <c r="F26" s="9"/>
      <c r="L26" s="12"/>
      <c r="Y26" t="s">
        <v>679</v>
      </c>
      <c r="AC26" s="8" t="s">
        <v>291</v>
      </c>
      <c r="AD26" s="9">
        <v>1</v>
      </c>
      <c r="AE26" s="10">
        <f>AD26*8/$AA$22</f>
        <v>0.4</v>
      </c>
      <c r="AF26" s="12">
        <v>22.66</v>
      </c>
      <c r="AG26" s="12">
        <f>AE26*AF26</f>
        <v>9.0640000000000001</v>
      </c>
      <c r="AS26" s="6"/>
      <c r="AT26" s="104"/>
      <c r="AU26" s="104"/>
      <c r="AV26" s="97"/>
      <c r="AW26" s="97"/>
      <c r="AX26" s="96"/>
      <c r="AY26" s="96"/>
      <c r="AZ26" s="96"/>
      <c r="BA26" s="96"/>
    </row>
    <row r="27" spans="1:53">
      <c r="A27" t="s">
        <v>1329</v>
      </c>
      <c r="B27" s="10">
        <v>1</v>
      </c>
      <c r="C27" s="8" t="s">
        <v>203</v>
      </c>
      <c r="D27">
        <f>B27*$J$5</f>
        <v>10</v>
      </c>
      <c r="E27" s="12">
        <f>U61</f>
        <v>7.9303440000000007</v>
      </c>
      <c r="F27" s="9">
        <f t="shared" ref="F26:F37" si="5">D27*E27</f>
        <v>79.303440000000009</v>
      </c>
      <c r="Y27" t="s">
        <v>293</v>
      </c>
      <c r="AC27" s="8" t="s">
        <v>291</v>
      </c>
      <c r="AD27" s="9">
        <v>1</v>
      </c>
      <c r="AE27" s="10">
        <f>AD27*8/$AA$22</f>
        <v>0.4</v>
      </c>
      <c r="AF27" s="12">
        <v>20.51</v>
      </c>
      <c r="AG27" s="12">
        <f>AE27*AF27</f>
        <v>8.2040000000000006</v>
      </c>
    </row>
    <row r="28" spans="1:53">
      <c r="A28" t="s">
        <v>1331</v>
      </c>
      <c r="B28" s="10">
        <v>0.33</v>
      </c>
      <c r="C28" s="8" t="s">
        <v>203</v>
      </c>
      <c r="D28">
        <f>B28*$J$5</f>
        <v>3.3000000000000003</v>
      </c>
      <c r="E28" s="12">
        <f>U62</f>
        <v>77.227704800000012</v>
      </c>
      <c r="F28" s="9">
        <f t="shared" si="5"/>
        <v>254.85142584000005</v>
      </c>
      <c r="AC28" s="8"/>
      <c r="AG28" s="6">
        <f>SUM(AG25:AG27)</f>
        <v>18.657200000000003</v>
      </c>
    </row>
    <row r="29" spans="1:53">
      <c r="A29" t="s">
        <v>593</v>
      </c>
      <c r="B29" s="10">
        <v>0.22000000000000003</v>
      </c>
      <c r="C29" s="8" t="s">
        <v>133</v>
      </c>
      <c r="D29">
        <f>B29*$J$5</f>
        <v>2.2000000000000002</v>
      </c>
      <c r="E29" s="12">
        <f>U63</f>
        <v>445.66922400000004</v>
      </c>
      <c r="F29" s="9">
        <f t="shared" si="5"/>
        <v>980.47229280000022</v>
      </c>
      <c r="Y29" s="7" t="s">
        <v>294</v>
      </c>
      <c r="AC29" s="8"/>
    </row>
    <row r="30" spans="1:53">
      <c r="A30" t="s">
        <v>595</v>
      </c>
      <c r="B30" s="10">
        <v>1.44E-2</v>
      </c>
      <c r="C30" s="8" t="s">
        <v>203</v>
      </c>
      <c r="D30">
        <f>B30*$J$5</f>
        <v>0.14399999999999999</v>
      </c>
      <c r="E30" s="12">
        <f>U64</f>
        <v>445.66922400000004</v>
      </c>
      <c r="F30" s="9">
        <f t="shared" si="5"/>
        <v>64.176368256000003</v>
      </c>
      <c r="Y30" t="s">
        <v>655</v>
      </c>
      <c r="AC30" s="8" t="s">
        <v>203</v>
      </c>
      <c r="AE30" s="10">
        <v>3.3000000000000002E-2</v>
      </c>
      <c r="AF30" s="12">
        <v>6.14</v>
      </c>
      <c r="AG30" s="12">
        <f>AE30*AF30</f>
        <v>0.20261999999999999</v>
      </c>
    </row>
    <row r="31" spans="1:53">
      <c r="A31" t="s">
        <v>597</v>
      </c>
      <c r="B31" s="10">
        <v>7.6600000000000001E-2</v>
      </c>
      <c r="C31" s="8" t="s">
        <v>133</v>
      </c>
      <c r="D31">
        <f>B31*$J$5</f>
        <v>0.76600000000000001</v>
      </c>
      <c r="E31" s="12">
        <f>U65</f>
        <v>118.01356480000003</v>
      </c>
      <c r="F31" s="9">
        <f t="shared" si="5"/>
        <v>90.398390636800016</v>
      </c>
      <c r="Y31" t="s">
        <v>958</v>
      </c>
      <c r="AC31" s="8" t="s">
        <v>203</v>
      </c>
      <c r="AE31" s="10">
        <v>0.15</v>
      </c>
      <c r="AF31" s="12">
        <v>62.883903289043772</v>
      </c>
      <c r="AG31" s="12">
        <f>AE31*AF31</f>
        <v>9.4325854933565658</v>
      </c>
    </row>
    <row r="32" spans="1:53">
      <c r="A32" t="s">
        <v>599</v>
      </c>
      <c r="B32" s="10">
        <v>8.0000000000000004E-4</v>
      </c>
      <c r="C32" s="8" t="s">
        <v>203</v>
      </c>
      <c r="D32">
        <f>B32*$J$5</f>
        <v>8.0000000000000002E-3</v>
      </c>
      <c r="E32" s="12">
        <f>U66</f>
        <v>358</v>
      </c>
      <c r="F32" s="9">
        <f t="shared" si="5"/>
        <v>2.8639999999999999</v>
      </c>
      <c r="Y32" t="s">
        <v>959</v>
      </c>
      <c r="AC32" s="8" t="s">
        <v>149</v>
      </c>
      <c r="AE32" s="10">
        <v>1</v>
      </c>
      <c r="AF32" s="12">
        <v>45</v>
      </c>
      <c r="AG32" s="12">
        <f>AE32*AF32</f>
        <v>45</v>
      </c>
    </row>
    <row r="33" spans="1:33">
      <c r="A33" t="s">
        <v>601</v>
      </c>
      <c r="B33" s="10">
        <v>1</v>
      </c>
      <c r="C33" s="8" t="s">
        <v>133</v>
      </c>
      <c r="D33">
        <f>B33*$J$5</f>
        <v>10</v>
      </c>
      <c r="E33" s="12">
        <f>U67</f>
        <v>2.9418735999999996</v>
      </c>
      <c r="F33" s="9">
        <f t="shared" si="5"/>
        <v>29.418735999999996</v>
      </c>
      <c r="AC33" s="8"/>
      <c r="AG33" s="6">
        <f>SUM(AG30:AG32)</f>
        <v>54.635205493356565</v>
      </c>
    </row>
    <row r="34" spans="1:33">
      <c r="A34" t="s">
        <v>603</v>
      </c>
      <c r="B34" s="10">
        <v>0.16070000000000001</v>
      </c>
      <c r="C34" s="8" t="s">
        <v>144</v>
      </c>
      <c r="D34">
        <f>B34*$J$5</f>
        <v>1.6070000000000002</v>
      </c>
      <c r="E34" s="12">
        <f>U68</f>
        <v>19.238683200000001</v>
      </c>
      <c r="F34" s="9">
        <f t="shared" si="5"/>
        <v>30.916563902400004</v>
      </c>
      <c r="Y34" s="7" t="s">
        <v>317</v>
      </c>
      <c r="AC34" s="8"/>
      <c r="AD34" s="9"/>
    </row>
    <row r="35" spans="1:33">
      <c r="A35" t="s">
        <v>605</v>
      </c>
      <c r="B35" s="10">
        <v>0.18890000000000001</v>
      </c>
      <c r="C35" s="8" t="s">
        <v>144</v>
      </c>
      <c r="D35">
        <f>B35*$J$5</f>
        <v>1.8890000000000002</v>
      </c>
      <c r="E35" s="12">
        <f>U69</f>
        <v>19.238683200000001</v>
      </c>
      <c r="F35" s="9">
        <f t="shared" si="5"/>
        <v>36.341872564800006</v>
      </c>
      <c r="Y35" t="s">
        <v>310</v>
      </c>
      <c r="AC35" s="8" t="s">
        <v>311</v>
      </c>
      <c r="AD35" s="9"/>
      <c r="AE35" s="10">
        <v>3</v>
      </c>
      <c r="AF35" s="12">
        <f>AG28</f>
        <v>18.657200000000003</v>
      </c>
      <c r="AG35" s="12">
        <f>AE35%*AF35</f>
        <v>0.5597160000000001</v>
      </c>
    </row>
    <row r="36" spans="1:33">
      <c r="A36" t="s">
        <v>607</v>
      </c>
      <c r="B36" s="10">
        <v>7.4000000000000003E-3</v>
      </c>
      <c r="C36" s="8" t="s">
        <v>144</v>
      </c>
      <c r="D36">
        <f>B36*$J$5</f>
        <v>7.400000000000001E-2</v>
      </c>
      <c r="E36" s="12">
        <f>U70</f>
        <v>616.64</v>
      </c>
      <c r="F36" s="9">
        <f t="shared" si="5"/>
        <v>45.631360000000008</v>
      </c>
      <c r="X36" s="14"/>
      <c r="Y36" s="14"/>
      <c r="Z36" s="14"/>
      <c r="AA36" s="14"/>
      <c r="AB36" s="14"/>
      <c r="AC36" s="14"/>
      <c r="AD36" s="14"/>
      <c r="AE36" s="14"/>
      <c r="AF36" s="14"/>
      <c r="AG36" s="16">
        <f>SUM(AG35)</f>
        <v>0.5597160000000001</v>
      </c>
    </row>
    <row r="37" spans="1:33">
      <c r="A37" t="s">
        <v>1336</v>
      </c>
      <c r="B37">
        <v>2.5000000000000001E-2</v>
      </c>
      <c r="C37" s="8" t="s">
        <v>144</v>
      </c>
      <c r="D37">
        <f>B37*$J$5</f>
        <v>0.25</v>
      </c>
      <c r="E37" s="12">
        <f>U71</f>
        <v>51.058431999999996</v>
      </c>
      <c r="F37" s="9">
        <f t="shared" si="5"/>
        <v>12.764607999999999</v>
      </c>
    </row>
    <row r="38" spans="1:33">
      <c r="A38" s="185" t="s">
        <v>1338</v>
      </c>
      <c r="C38" t="s">
        <v>133</v>
      </c>
      <c r="D38">
        <f>J6</f>
        <v>10</v>
      </c>
      <c r="E38" s="12">
        <f>V236</f>
        <v>169.49</v>
      </c>
      <c r="G38" s="2">
        <f>D38*E38</f>
        <v>1694.9</v>
      </c>
      <c r="X38" s="2" t="s">
        <v>964</v>
      </c>
      <c r="Y38" s="2"/>
      <c r="Z38" s="2" t="s">
        <v>831</v>
      </c>
      <c r="AB38" s="2"/>
      <c r="AC38" s="2"/>
      <c r="AD38" s="2"/>
      <c r="AE38" s="2"/>
      <c r="AF38" s="2"/>
    </row>
    <row r="39" spans="1:33">
      <c r="X39" s="2" t="s">
        <v>278</v>
      </c>
      <c r="Y39" s="2" t="s">
        <v>279</v>
      </c>
      <c r="Z39" s="4" t="s">
        <v>280</v>
      </c>
      <c r="AA39" s="5">
        <v>20</v>
      </c>
      <c r="AB39" s="4" t="s">
        <v>281</v>
      </c>
      <c r="AC39" s="5">
        <f>AA39</f>
        <v>20</v>
      </c>
      <c r="AD39" s="2" t="s">
        <v>282</v>
      </c>
      <c r="AF39" s="4" t="s">
        <v>133</v>
      </c>
      <c r="AG39" s="6">
        <f>AG45+AG50+AG53</f>
        <v>118.74774149335656</v>
      </c>
    </row>
    <row r="40" spans="1:33">
      <c r="A40" s="185" t="s">
        <v>79</v>
      </c>
      <c r="C40" t="s">
        <v>565</v>
      </c>
      <c r="D40">
        <f>J7</f>
        <v>1</v>
      </c>
      <c r="E40" s="12">
        <f>V243</f>
        <v>2147.2003312655197</v>
      </c>
      <c r="G40" s="6">
        <f>D40*E40</f>
        <v>2147.2003312655197</v>
      </c>
      <c r="X40" s="2" t="s">
        <v>283</v>
      </c>
      <c r="Y40" s="2" t="s">
        <v>284</v>
      </c>
      <c r="AC40" s="4" t="s">
        <v>122</v>
      </c>
      <c r="AD40" s="4" t="s">
        <v>285</v>
      </c>
      <c r="AE40" s="4" t="s">
        <v>286</v>
      </c>
      <c r="AF40" s="4" t="s">
        <v>287</v>
      </c>
      <c r="AG40" s="4" t="s">
        <v>288</v>
      </c>
    </row>
    <row r="41" spans="1:33">
      <c r="Y41" s="7" t="s">
        <v>289</v>
      </c>
    </row>
    <row r="42" spans="1:33">
      <c r="A42" s="185" t="s">
        <v>80</v>
      </c>
      <c r="C42" t="s">
        <v>133</v>
      </c>
      <c r="E42" s="12">
        <f>V289</f>
        <v>136.58560240992</v>
      </c>
      <c r="F42" s="9"/>
      <c r="G42" s="6">
        <f>SUM(F45:F53)</f>
        <v>1365.8560240992003</v>
      </c>
      <c r="Y42" t="s">
        <v>650</v>
      </c>
      <c r="AC42" s="8" t="s">
        <v>291</v>
      </c>
      <c r="AD42" s="9">
        <v>0.1</v>
      </c>
      <c r="AE42" s="10">
        <f>AD42*8/$AA$39</f>
        <v>0.04</v>
      </c>
      <c r="AF42" s="12">
        <v>34.729999999999997</v>
      </c>
      <c r="AG42" s="12">
        <f>AE42*AF42</f>
        <v>1.3892</v>
      </c>
    </row>
    <row r="43" spans="1:33">
      <c r="A43" s="104"/>
      <c r="B43" s="204"/>
      <c r="C43" s="8"/>
      <c r="E43" s="12"/>
      <c r="F43" s="9"/>
      <c r="Y43" t="s">
        <v>679</v>
      </c>
      <c r="AC43" s="8" t="s">
        <v>291</v>
      </c>
      <c r="AD43" s="9">
        <v>1</v>
      </c>
      <c r="AE43" s="10">
        <f>AD43*8/$AA$39</f>
        <v>0.4</v>
      </c>
      <c r="AF43" s="12">
        <v>22.66</v>
      </c>
      <c r="AG43" s="12">
        <f>AE43*AF43</f>
        <v>9.0640000000000001</v>
      </c>
    </row>
    <row r="44" spans="1:33">
      <c r="A44" s="104"/>
      <c r="B44" s="204"/>
      <c r="C44" s="8"/>
      <c r="E44" s="12"/>
      <c r="F44" s="9"/>
      <c r="Y44" t="s">
        <v>293</v>
      </c>
      <c r="AC44" s="8" t="s">
        <v>291</v>
      </c>
      <c r="AD44" s="9">
        <v>1</v>
      </c>
      <c r="AE44" s="10">
        <f>AD44*8/$AA$39</f>
        <v>0.4</v>
      </c>
      <c r="AF44" s="12">
        <v>20.51</v>
      </c>
      <c r="AG44" s="12">
        <f>AE44*AF44</f>
        <v>8.2040000000000006</v>
      </c>
    </row>
    <row r="45" spans="1:33">
      <c r="A45" s="104" t="s">
        <v>1329</v>
      </c>
      <c r="B45" s="204">
        <v>1</v>
      </c>
      <c r="C45" s="8" t="s">
        <v>133</v>
      </c>
      <c r="D45">
        <f>B45*$J$8</f>
        <v>10</v>
      </c>
      <c r="E45" s="12">
        <f>U280</f>
        <v>7.9303440000000007</v>
      </c>
      <c r="F45" s="9">
        <f t="shared" ref="F44:F53" si="6">D45*E45</f>
        <v>79.303440000000009</v>
      </c>
      <c r="H45" s="204"/>
      <c r="I45" s="12"/>
      <c r="AC45" s="8"/>
      <c r="AG45" s="6">
        <f>SUM(AG42:AG44)</f>
        <v>18.657200000000003</v>
      </c>
    </row>
    <row r="46" spans="1:33">
      <c r="A46" s="205" t="s">
        <v>1331</v>
      </c>
      <c r="B46" s="207">
        <v>0.33</v>
      </c>
      <c r="C46" s="8" t="s">
        <v>133</v>
      </c>
      <c r="D46">
        <f>B46*$J$8</f>
        <v>3.3000000000000003</v>
      </c>
      <c r="E46" s="12">
        <f t="shared" ref="E44:E53" si="7">U281</f>
        <v>77.227704800000012</v>
      </c>
      <c r="F46" s="9">
        <f t="shared" si="6"/>
        <v>254.85142584000005</v>
      </c>
      <c r="H46" s="207"/>
      <c r="I46" s="12"/>
      <c r="Y46" s="7" t="s">
        <v>294</v>
      </c>
      <c r="AC46" s="8"/>
    </row>
    <row r="47" spans="1:33">
      <c r="A47" s="208" t="s">
        <v>620</v>
      </c>
      <c r="B47" s="209">
        <v>0.12</v>
      </c>
      <c r="C47" s="8" t="s">
        <v>133</v>
      </c>
      <c r="D47">
        <f>B47*$J$8</f>
        <v>1.2</v>
      </c>
      <c r="E47" s="12">
        <f>U282</f>
        <v>447.90066880000001</v>
      </c>
      <c r="F47" s="9">
        <f t="shared" si="6"/>
        <v>537.48080256000003</v>
      </c>
      <c r="H47" s="209"/>
      <c r="I47" s="12"/>
      <c r="Y47" t="s">
        <v>655</v>
      </c>
      <c r="AC47" s="8" t="s">
        <v>203</v>
      </c>
      <c r="AE47" s="10">
        <v>1.6E-2</v>
      </c>
      <c r="AF47" s="12">
        <v>6.14</v>
      </c>
      <c r="AG47" s="12">
        <f>AE47*AF47</f>
        <v>9.8239999999999994E-2</v>
      </c>
    </row>
    <row r="48" spans="1:33">
      <c r="A48" s="208" t="s">
        <v>622</v>
      </c>
      <c r="B48" s="209">
        <v>1.4E-2</v>
      </c>
      <c r="C48" s="8" t="s">
        <v>203</v>
      </c>
      <c r="D48">
        <f>B48*$J$8</f>
        <v>0.14000000000000001</v>
      </c>
      <c r="E48" s="12">
        <f t="shared" si="7"/>
        <v>447.90066880000001</v>
      </c>
      <c r="F48" s="9">
        <f t="shared" si="6"/>
        <v>62.706093632000005</v>
      </c>
      <c r="H48" s="209"/>
      <c r="I48" s="12"/>
      <c r="Y48" t="s">
        <v>958</v>
      </c>
      <c r="AC48" s="8" t="s">
        <v>203</v>
      </c>
      <c r="AE48" s="10">
        <v>0.15</v>
      </c>
      <c r="AF48" s="12">
        <v>62.883903289043772</v>
      </c>
      <c r="AG48" s="12">
        <f>AE48*AF48</f>
        <v>9.4325854933565658</v>
      </c>
    </row>
    <row r="49" spans="1:33">
      <c r="A49" s="208" t="s">
        <v>597</v>
      </c>
      <c r="B49" s="209">
        <v>0.2</v>
      </c>
      <c r="C49" s="8" t="s">
        <v>133</v>
      </c>
      <c r="D49">
        <f>B49*$J$8</f>
        <v>2</v>
      </c>
      <c r="E49" s="12">
        <f t="shared" si="7"/>
        <v>118.01356480000003</v>
      </c>
      <c r="F49" s="9">
        <f t="shared" si="6"/>
        <v>236.02712960000005</v>
      </c>
      <c r="H49" s="209"/>
      <c r="I49" s="12"/>
      <c r="Y49" t="s">
        <v>960</v>
      </c>
      <c r="AC49" s="8" t="s">
        <v>149</v>
      </c>
      <c r="AE49" s="10">
        <v>1</v>
      </c>
      <c r="AF49" s="12">
        <v>90</v>
      </c>
      <c r="AG49" s="12">
        <f>AE49*AF49</f>
        <v>90</v>
      </c>
    </row>
    <row r="50" spans="1:33">
      <c r="A50" s="208" t="s">
        <v>601</v>
      </c>
      <c r="B50" s="209">
        <v>1</v>
      </c>
      <c r="C50" s="8" t="s">
        <v>133</v>
      </c>
      <c r="D50">
        <f>B50*$J$8</f>
        <v>10</v>
      </c>
      <c r="E50" s="12">
        <f t="shared" si="7"/>
        <v>2.9418735999999996</v>
      </c>
      <c r="F50" s="9">
        <f t="shared" si="6"/>
        <v>29.418735999999996</v>
      </c>
      <c r="H50" s="209"/>
      <c r="I50" s="12"/>
      <c r="AC50" s="8"/>
      <c r="AG50" s="6">
        <f>SUM(AG47:AG49)</f>
        <v>99.530825493356559</v>
      </c>
    </row>
    <row r="51" spans="1:33">
      <c r="A51" s="208" t="s">
        <v>841</v>
      </c>
      <c r="B51" s="209">
        <v>1</v>
      </c>
      <c r="C51" s="8" t="s">
        <v>133</v>
      </c>
      <c r="D51">
        <f>B51*$J$8</f>
        <v>10</v>
      </c>
      <c r="E51" s="12">
        <f t="shared" si="7"/>
        <v>9.8809960000000014</v>
      </c>
      <c r="F51" s="9">
        <f t="shared" si="6"/>
        <v>98.809960000000018</v>
      </c>
      <c r="H51" s="209"/>
      <c r="I51" s="12"/>
      <c r="Y51" s="7" t="s">
        <v>317</v>
      </c>
      <c r="AC51" s="8"/>
      <c r="AD51" s="9"/>
    </row>
    <row r="52" spans="1:33">
      <c r="A52" s="208" t="s">
        <v>603</v>
      </c>
      <c r="B52" s="209">
        <v>0.16070000000000001</v>
      </c>
      <c r="C52" s="8" t="s">
        <v>144</v>
      </c>
      <c r="D52">
        <f>B52*$J$8</f>
        <v>1.6070000000000002</v>
      </c>
      <c r="E52" s="12">
        <f t="shared" si="7"/>
        <v>19.238683200000001</v>
      </c>
      <c r="F52" s="9">
        <f t="shared" si="6"/>
        <v>30.916563902400004</v>
      </c>
      <c r="H52" s="209"/>
      <c r="I52" s="12"/>
      <c r="Y52" t="s">
        <v>310</v>
      </c>
      <c r="AC52" s="8" t="s">
        <v>311</v>
      </c>
      <c r="AD52" s="9"/>
      <c r="AE52" s="10">
        <v>3</v>
      </c>
      <c r="AF52" s="12">
        <f>AG45</f>
        <v>18.657200000000003</v>
      </c>
      <c r="AG52" s="12">
        <f>AE52%*AF52</f>
        <v>0.5597160000000001</v>
      </c>
    </row>
    <row r="53" spans="1:33">
      <c r="A53" s="208" t="s">
        <v>605</v>
      </c>
      <c r="B53" s="209">
        <v>0.18890000000000001</v>
      </c>
      <c r="C53" s="8" t="s">
        <v>144</v>
      </c>
      <c r="D53">
        <f>B53*$J$8</f>
        <v>1.8890000000000002</v>
      </c>
      <c r="E53" s="12">
        <f t="shared" si="7"/>
        <v>19.238683200000001</v>
      </c>
      <c r="F53" s="9">
        <f t="shared" si="6"/>
        <v>36.341872564800006</v>
      </c>
      <c r="H53" s="209"/>
      <c r="I53" s="12"/>
      <c r="X53" s="14"/>
      <c r="Y53" s="14"/>
      <c r="Z53" s="14"/>
      <c r="AA53" s="14"/>
      <c r="AB53" s="14"/>
      <c r="AC53" s="14"/>
      <c r="AD53" s="14"/>
      <c r="AE53" s="14"/>
      <c r="AF53" s="14"/>
      <c r="AG53" s="16">
        <f>SUM(AG52)</f>
        <v>0.5597160000000001</v>
      </c>
    </row>
    <row r="55" spans="1:33">
      <c r="A55" s="185" t="s">
        <v>81</v>
      </c>
      <c r="C55" t="s">
        <v>133</v>
      </c>
      <c r="E55" s="12">
        <f>V325</f>
        <v>171.72583913333716</v>
      </c>
      <c r="G55" s="6">
        <f>SUM(F58:F65)</f>
        <v>1717.2583913333717</v>
      </c>
      <c r="M55" s="2" t="s">
        <v>277</v>
      </c>
      <c r="N55" s="2"/>
      <c r="O55" s="2" t="s">
        <v>1339</v>
      </c>
      <c r="P55" s="2"/>
      <c r="Q55" s="2"/>
      <c r="R55" s="2"/>
      <c r="S55" s="2"/>
      <c r="T55" s="2"/>
      <c r="U55" s="2"/>
      <c r="X55" s="2" t="s">
        <v>277</v>
      </c>
      <c r="Y55" s="2"/>
      <c r="Z55" s="2" t="s">
        <v>334</v>
      </c>
      <c r="AA55" s="2"/>
    </row>
    <row r="56" spans="1:33">
      <c r="A56" s="215"/>
      <c r="C56" s="8"/>
      <c r="E56" s="12"/>
      <c r="F56" s="9"/>
      <c r="M56" s="2" t="s">
        <v>278</v>
      </c>
      <c r="N56" s="2" t="s">
        <v>325</v>
      </c>
      <c r="O56" s="4" t="s">
        <v>280</v>
      </c>
      <c r="P56" s="5">
        <v>1</v>
      </c>
      <c r="Q56" s="4" t="s">
        <v>281</v>
      </c>
      <c r="R56" s="5">
        <f>P56</f>
        <v>1</v>
      </c>
      <c r="S56" s="2" t="s">
        <v>282</v>
      </c>
      <c r="U56" s="4" t="s">
        <v>149</v>
      </c>
      <c r="V56" s="6">
        <f>V72</f>
        <v>162.71390580000002</v>
      </c>
      <c r="X56" s="2" t="s">
        <v>278</v>
      </c>
      <c r="Y56" s="2" t="s">
        <v>279</v>
      </c>
      <c r="Z56" s="4" t="s">
        <v>280</v>
      </c>
      <c r="AA56" s="5">
        <v>90</v>
      </c>
      <c r="AB56" s="4" t="s">
        <v>281</v>
      </c>
      <c r="AC56" s="5">
        <f>AA56</f>
        <v>90</v>
      </c>
      <c r="AD56" s="2" t="s">
        <v>282</v>
      </c>
      <c r="AF56" s="4" t="s">
        <v>133</v>
      </c>
      <c r="AG56" s="6">
        <f>AG61+AG64</f>
        <v>2.1957768888888891</v>
      </c>
    </row>
    <row r="57" spans="1:33">
      <c r="A57" s="215"/>
      <c r="C57" s="8"/>
      <c r="E57" s="12"/>
      <c r="F57" s="9"/>
      <c r="M57" s="2" t="s">
        <v>283</v>
      </c>
      <c r="N57" s="2" t="s">
        <v>284</v>
      </c>
      <c r="R57" s="4" t="s">
        <v>122</v>
      </c>
      <c r="S57" s="4" t="s">
        <v>285</v>
      </c>
      <c r="T57" s="4" t="s">
        <v>286</v>
      </c>
      <c r="U57" s="4" t="s">
        <v>287</v>
      </c>
      <c r="V57" s="4" t="s">
        <v>288</v>
      </c>
      <c r="X57" s="2" t="s">
        <v>283</v>
      </c>
      <c r="Y57" s="2" t="s">
        <v>284</v>
      </c>
      <c r="AC57" s="4" t="s">
        <v>122</v>
      </c>
      <c r="AD57" s="4" t="s">
        <v>285</v>
      </c>
      <c r="AE57" s="4" t="s">
        <v>286</v>
      </c>
      <c r="AF57" s="4" t="s">
        <v>287</v>
      </c>
      <c r="AG57" s="4" t="s">
        <v>288</v>
      </c>
    </row>
    <row r="58" spans="1:33">
      <c r="A58" s="215" t="s">
        <v>1329</v>
      </c>
      <c r="B58" s="216">
        <v>1</v>
      </c>
      <c r="C58" s="8" t="s">
        <v>203</v>
      </c>
      <c r="D58">
        <f>B58*$J$9</f>
        <v>10</v>
      </c>
      <c r="E58" s="12">
        <f t="shared" ref="E57:E65" si="8">U330</f>
        <v>7.9303440000000007</v>
      </c>
      <c r="F58" s="9">
        <f t="shared" ref="F56:F65" si="9">D58*E58</f>
        <v>79.303440000000009</v>
      </c>
      <c r="N58" s="7" t="s">
        <v>737</v>
      </c>
      <c r="Y58" s="7" t="s">
        <v>289</v>
      </c>
    </row>
    <row r="59" spans="1:33">
      <c r="A59" s="217" t="s">
        <v>1331</v>
      </c>
      <c r="B59" s="218">
        <v>0.33</v>
      </c>
      <c r="C59" s="8" t="s">
        <v>133</v>
      </c>
      <c r="D59">
        <f>B59*$J$9</f>
        <v>3.3000000000000003</v>
      </c>
      <c r="E59" s="12">
        <f t="shared" si="8"/>
        <v>77.227704800000012</v>
      </c>
      <c r="F59" s="9">
        <f t="shared" si="9"/>
        <v>254.85142584000005</v>
      </c>
      <c r="R59" s="8"/>
      <c r="S59" s="9"/>
      <c r="T59" s="10"/>
      <c r="U59" s="12"/>
      <c r="V59" s="12"/>
      <c r="Y59" t="s">
        <v>650</v>
      </c>
      <c r="AC59" s="8" t="s">
        <v>291</v>
      </c>
      <c r="AD59" s="9">
        <v>0.1</v>
      </c>
      <c r="AE59" s="10">
        <f>AD59*8/$AA$56</f>
        <v>8.8888888888888889E-3</v>
      </c>
      <c r="AF59">
        <v>34.729999999999997</v>
      </c>
      <c r="AG59" s="12">
        <f>AE59*AF59</f>
        <v>0.3087111111111111</v>
      </c>
    </row>
    <row r="60" spans="1:33">
      <c r="A60" s="214" t="s">
        <v>844</v>
      </c>
      <c r="B60" s="219">
        <v>1</v>
      </c>
      <c r="C60" s="8" t="s">
        <v>154</v>
      </c>
      <c r="D60">
        <f>B60*$J$9</f>
        <v>10</v>
      </c>
      <c r="E60" s="12">
        <f t="shared" si="8"/>
        <v>22</v>
      </c>
      <c r="F60" s="9">
        <f t="shared" si="9"/>
        <v>220</v>
      </c>
      <c r="R60" s="8"/>
      <c r="S60" s="9"/>
      <c r="T60" s="10"/>
      <c r="U60" s="12"/>
      <c r="V60" s="12"/>
      <c r="Y60" t="s">
        <v>293</v>
      </c>
      <c r="AC60" s="8" t="s">
        <v>291</v>
      </c>
      <c r="AD60" s="9">
        <v>1</v>
      </c>
      <c r="AE60" s="10">
        <f>AD60*8/$AA$56</f>
        <v>8.8888888888888892E-2</v>
      </c>
      <c r="AF60">
        <v>20.51</v>
      </c>
      <c r="AG60" s="12">
        <f>AE60*AF60</f>
        <v>1.8231111111111113</v>
      </c>
    </row>
    <row r="61" spans="1:33">
      <c r="A61" s="214" t="s">
        <v>629</v>
      </c>
      <c r="B61" s="219">
        <v>0.22500000000000001</v>
      </c>
      <c r="C61" s="8" t="s">
        <v>133</v>
      </c>
      <c r="D61">
        <f>B61*$J$9</f>
        <v>2.25</v>
      </c>
      <c r="E61" s="12">
        <f t="shared" si="8"/>
        <v>84.674043333333344</v>
      </c>
      <c r="F61" s="9">
        <f>D61*E61</f>
        <v>190.51659750000002</v>
      </c>
      <c r="N61" t="s">
        <v>1340</v>
      </c>
      <c r="R61" s="8" t="s">
        <v>203</v>
      </c>
      <c r="T61" s="10">
        <v>1</v>
      </c>
      <c r="U61" s="12">
        <f>AG74</f>
        <v>7.9303440000000007</v>
      </c>
      <c r="V61" s="12">
        <f t="shared" ref="V61:V63" si="10">T61*U61</f>
        <v>7.9303440000000007</v>
      </c>
      <c r="AC61" s="8"/>
      <c r="AD61" s="9"/>
      <c r="AE61" s="10"/>
      <c r="AG61" s="6">
        <f>SUM(AG59:AG60)</f>
        <v>2.1318222222222225</v>
      </c>
    </row>
    <row r="62" spans="1:33">
      <c r="A62" s="214" t="s">
        <v>631</v>
      </c>
      <c r="B62" s="219">
        <v>0.2</v>
      </c>
      <c r="C62" s="8" t="s">
        <v>296</v>
      </c>
      <c r="D62">
        <f>B62*$J$9</f>
        <v>2</v>
      </c>
      <c r="E62" s="12">
        <f t="shared" si="8"/>
        <v>7.5057997142857147</v>
      </c>
      <c r="F62" s="9">
        <f t="shared" si="9"/>
        <v>15.011599428571429</v>
      </c>
      <c r="N62" t="s">
        <v>1331</v>
      </c>
      <c r="R62" s="8" t="s">
        <v>203</v>
      </c>
      <c r="T62" s="10">
        <v>0.33</v>
      </c>
      <c r="U62" s="12">
        <f>AG89</f>
        <v>77.227704800000012</v>
      </c>
      <c r="V62" s="12">
        <f t="shared" si="10"/>
        <v>25.485142584000005</v>
      </c>
      <c r="Y62" s="7" t="s">
        <v>309</v>
      </c>
    </row>
    <row r="63" spans="1:33">
      <c r="A63" s="214" t="s">
        <v>1341</v>
      </c>
      <c r="B63" s="219">
        <v>1</v>
      </c>
      <c r="C63" s="8" t="s">
        <v>133</v>
      </c>
      <c r="D63">
        <f>B63*$J$9</f>
        <v>10</v>
      </c>
      <c r="E63" s="12">
        <f t="shared" si="8"/>
        <v>2.9418735999999996</v>
      </c>
      <c r="F63" s="9">
        <f t="shared" si="9"/>
        <v>29.418735999999996</v>
      </c>
      <c r="N63" t="s">
        <v>593</v>
      </c>
      <c r="R63" s="8" t="s">
        <v>133</v>
      </c>
      <c r="T63" s="10">
        <v>0.22000000000000003</v>
      </c>
      <c r="U63" s="12">
        <f>AG106</f>
        <v>445.66922400000004</v>
      </c>
      <c r="V63" s="12">
        <f t="shared" si="10"/>
        <v>98.047229280000025</v>
      </c>
      <c r="Y63" t="s">
        <v>310</v>
      </c>
      <c r="AC63" s="8" t="s">
        <v>311</v>
      </c>
      <c r="AE63" s="10">
        <v>3</v>
      </c>
      <c r="AF63" s="12">
        <f>AG61</f>
        <v>2.1318222222222225</v>
      </c>
      <c r="AG63" s="12">
        <f>AE63%*AF63</f>
        <v>6.3954666666666674E-2</v>
      </c>
    </row>
    <row r="64" spans="1:33">
      <c r="A64" s="214" t="s">
        <v>634</v>
      </c>
      <c r="B64" s="219">
        <v>0.2</v>
      </c>
      <c r="C64" s="8" t="s">
        <v>203</v>
      </c>
      <c r="D64">
        <f>B64*$J$9</f>
        <v>2</v>
      </c>
      <c r="E64" s="12">
        <f t="shared" si="8"/>
        <v>445.90736000000004</v>
      </c>
      <c r="F64" s="9">
        <f t="shared" si="9"/>
        <v>891.81472000000008</v>
      </c>
      <c r="N64" t="s">
        <v>595</v>
      </c>
      <c r="R64" s="8" t="s">
        <v>203</v>
      </c>
      <c r="T64" s="10">
        <v>1.44E-2</v>
      </c>
      <c r="U64" s="12">
        <f>AG125</f>
        <v>445.66922400000004</v>
      </c>
      <c r="V64" s="12">
        <f>T64*U64</f>
        <v>6.4176368256000007</v>
      </c>
      <c r="X64" s="14"/>
      <c r="Y64" s="14"/>
      <c r="Z64" s="14"/>
      <c r="AA64" s="14"/>
      <c r="AB64" s="14"/>
      <c r="AC64" s="44"/>
      <c r="AD64" s="14"/>
      <c r="AE64" s="46"/>
      <c r="AF64" s="106"/>
      <c r="AG64" s="16">
        <f>SUM(AG63)</f>
        <v>6.3954666666666674E-2</v>
      </c>
    </row>
    <row r="65" spans="1:33">
      <c r="A65" s="214" t="s">
        <v>605</v>
      </c>
      <c r="B65" s="219">
        <v>0.18890000000000001</v>
      </c>
      <c r="C65" s="8" t="s">
        <v>144</v>
      </c>
      <c r="D65">
        <f>B65*$J$9</f>
        <v>1.8890000000000002</v>
      </c>
      <c r="E65" s="12">
        <f t="shared" si="8"/>
        <v>19.238683200000001</v>
      </c>
      <c r="F65" s="9">
        <f t="shared" si="9"/>
        <v>36.341872564800006</v>
      </c>
      <c r="N65" t="s">
        <v>597</v>
      </c>
      <c r="R65" s="8" t="s">
        <v>133</v>
      </c>
      <c r="T65" s="10">
        <v>7.6600000000000001E-2</v>
      </c>
      <c r="U65" s="12">
        <f>AG144</f>
        <v>118.01356480000003</v>
      </c>
      <c r="V65" s="12">
        <f>T65*U65</f>
        <v>9.0398390636800023</v>
      </c>
    </row>
    <row r="66" spans="1:33">
      <c r="A66" s="185" t="s">
        <v>82</v>
      </c>
      <c r="C66" t="s">
        <v>133</v>
      </c>
      <c r="D66">
        <f>J10</f>
        <v>10</v>
      </c>
      <c r="E66" s="12">
        <f>V390</f>
        <v>75.459999999999994</v>
      </c>
      <c r="F66" s="9">
        <f>D66*E66</f>
        <v>754.59999999999991</v>
      </c>
      <c r="N66" t="s">
        <v>599</v>
      </c>
      <c r="R66" s="8" t="s">
        <v>203</v>
      </c>
      <c r="T66" s="10">
        <v>8.0000000000000004E-4</v>
      </c>
      <c r="U66" s="12">
        <f>AG163</f>
        <v>358</v>
      </c>
      <c r="V66" s="12">
        <f>T66*U66</f>
        <v>0.28639999999999999</v>
      </c>
      <c r="X66" s="2" t="s">
        <v>277</v>
      </c>
      <c r="Y66" s="2"/>
      <c r="Z66" s="2" t="s">
        <v>1342</v>
      </c>
      <c r="AA66" s="2"/>
    </row>
    <row r="67" spans="1:33">
      <c r="F67" s="9"/>
      <c r="N67" t="s">
        <v>601</v>
      </c>
      <c r="R67" s="8" t="s">
        <v>133</v>
      </c>
      <c r="T67" s="10">
        <v>1</v>
      </c>
      <c r="U67" s="12">
        <f>AG170</f>
        <v>2.9418735999999996</v>
      </c>
      <c r="V67" s="12">
        <f>T67*U67</f>
        <v>2.9418735999999996</v>
      </c>
      <c r="X67" s="2" t="s">
        <v>278</v>
      </c>
      <c r="Y67" s="2" t="s">
        <v>279</v>
      </c>
      <c r="Z67" s="4" t="s">
        <v>280</v>
      </c>
      <c r="AA67" s="5">
        <v>1</v>
      </c>
      <c r="AB67" s="4" t="s">
        <v>281</v>
      </c>
      <c r="AC67" s="5">
        <f>AA67</f>
        <v>1</v>
      </c>
      <c r="AD67" s="2" t="s">
        <v>282</v>
      </c>
      <c r="AF67" s="4" t="s">
        <v>133</v>
      </c>
      <c r="AG67" s="6">
        <f>AG71</f>
        <v>10.5</v>
      </c>
    </row>
    <row r="68" spans="1:33">
      <c r="A68" s="185" t="s">
        <v>83</v>
      </c>
      <c r="C68" t="s">
        <v>565</v>
      </c>
      <c r="D68">
        <f>J11</f>
        <v>1</v>
      </c>
      <c r="E68" s="12">
        <f>V397</f>
        <v>69.41</v>
      </c>
      <c r="G68" s="6">
        <f>D68*E68</f>
        <v>69.41</v>
      </c>
      <c r="N68" t="s">
        <v>603</v>
      </c>
      <c r="R68" s="8" t="s">
        <v>144</v>
      </c>
      <c r="T68" s="10">
        <v>0.16070000000000001</v>
      </c>
      <c r="U68" s="12">
        <f>AG183</f>
        <v>19.238683200000001</v>
      </c>
      <c r="V68" s="12">
        <f>T68*U68</f>
        <v>3.0916563902400003</v>
      </c>
      <c r="X68" s="2" t="s">
        <v>283</v>
      </c>
      <c r="Y68" s="2" t="s">
        <v>284</v>
      </c>
      <c r="AC68" s="4" t="s">
        <v>122</v>
      </c>
      <c r="AD68" s="4" t="s">
        <v>285</v>
      </c>
      <c r="AE68" s="4" t="s">
        <v>286</v>
      </c>
      <c r="AF68" s="4" t="s">
        <v>287</v>
      </c>
      <c r="AG68" s="4" t="s">
        <v>288</v>
      </c>
    </row>
    <row r="69" spans="1:33">
      <c r="F69" s="9"/>
      <c r="N69" t="s">
        <v>605</v>
      </c>
      <c r="R69" s="8" t="s">
        <v>144</v>
      </c>
      <c r="T69" s="10">
        <v>0.18890000000000001</v>
      </c>
      <c r="U69" s="12">
        <f>AG198</f>
        <v>19.238683200000001</v>
      </c>
      <c r="V69" s="12">
        <f>T69*U69</f>
        <v>3.6341872564800002</v>
      </c>
      <c r="Y69" s="7" t="s">
        <v>294</v>
      </c>
    </row>
    <row r="70" spans="1:33">
      <c r="F70" s="9"/>
      <c r="N70" t="s">
        <v>607</v>
      </c>
      <c r="R70" s="8" t="s">
        <v>144</v>
      </c>
      <c r="T70" s="10">
        <v>7.4000000000000003E-3</v>
      </c>
      <c r="U70" s="12">
        <f>AG213</f>
        <v>616.64</v>
      </c>
      <c r="V70" s="12">
        <f>T70*U70</f>
        <v>4.5631360000000001</v>
      </c>
      <c r="Y70" t="s">
        <v>1342</v>
      </c>
      <c r="AE70" s="10">
        <v>1</v>
      </c>
      <c r="AF70" s="12">
        <v>10.5</v>
      </c>
      <c r="AG70" s="12">
        <f>AE70*AF70</f>
        <v>10.5</v>
      </c>
    </row>
    <row r="71" spans="1:33">
      <c r="A71" s="1" t="s">
        <v>112</v>
      </c>
      <c r="E71" s="12"/>
      <c r="F71" s="9"/>
      <c r="N71" t="s">
        <v>1336</v>
      </c>
      <c r="R71" s="8" t="s">
        <v>144</v>
      </c>
      <c r="T71">
        <v>2.5000000000000001E-2</v>
      </c>
      <c r="U71" s="12">
        <f>AG220</f>
        <v>51.058431999999996</v>
      </c>
      <c r="V71" s="12">
        <f>T71*U71</f>
        <v>1.2764608</v>
      </c>
      <c r="X71" s="14"/>
      <c r="Y71" s="14"/>
      <c r="Z71" s="14"/>
      <c r="AA71" s="14"/>
      <c r="AB71" s="14"/>
      <c r="AC71" s="44"/>
      <c r="AD71" s="14"/>
      <c r="AE71" s="46"/>
      <c r="AF71" s="106"/>
      <c r="AG71" s="16">
        <f>SUM(AG70)</f>
        <v>10.5</v>
      </c>
    </row>
    <row r="72" spans="1:33">
      <c r="A72" t="s">
        <v>1343</v>
      </c>
      <c r="B72">
        <v>17.149999999999999</v>
      </c>
      <c r="C72" t="s">
        <v>1018</v>
      </c>
      <c r="D72">
        <v>1</v>
      </c>
      <c r="E72" s="12">
        <f>V400</f>
        <v>4301.1000000000004</v>
      </c>
      <c r="F72" s="9">
        <f>D72*E72</f>
        <v>4301.1000000000004</v>
      </c>
      <c r="M72" s="14"/>
      <c r="N72" s="14"/>
      <c r="O72" s="14"/>
      <c r="P72" s="14"/>
      <c r="Q72" s="14"/>
      <c r="R72" s="44"/>
      <c r="S72" s="14"/>
      <c r="T72" s="14"/>
      <c r="U72" s="14"/>
      <c r="V72" s="16">
        <f>SUM(V59:V71)</f>
        <v>162.71390580000002</v>
      </c>
    </row>
    <row r="73" spans="1:33">
      <c r="A73" t="s">
        <v>1344</v>
      </c>
      <c r="B73">
        <v>12.75</v>
      </c>
      <c r="C73" t="s">
        <v>1018</v>
      </c>
      <c r="D73">
        <v>1</v>
      </c>
      <c r="E73" s="12">
        <f>V407</f>
        <v>5200</v>
      </c>
      <c r="F73" s="9">
        <f>D73*E73</f>
        <v>5200</v>
      </c>
      <c r="X73" s="2" t="s">
        <v>964</v>
      </c>
      <c r="Y73" s="2"/>
      <c r="Z73" s="2" t="s">
        <v>1345</v>
      </c>
      <c r="AB73" s="2"/>
      <c r="AC73" s="2"/>
      <c r="AD73" s="2"/>
      <c r="AE73" s="2"/>
      <c r="AF73" s="2"/>
    </row>
    <row r="74" spans="1:33">
      <c r="A74" t="s">
        <v>1346</v>
      </c>
      <c r="B74">
        <v>28.63</v>
      </c>
      <c r="C74" t="s">
        <v>1018</v>
      </c>
      <c r="D74">
        <v>1</v>
      </c>
      <c r="E74" s="12">
        <f>V414</f>
        <v>9900</v>
      </c>
      <c r="F74" s="9">
        <f>D74*E74</f>
        <v>9900</v>
      </c>
      <c r="X74" s="2" t="s">
        <v>278</v>
      </c>
      <c r="Y74" s="2" t="s">
        <v>279</v>
      </c>
      <c r="Z74" s="4" t="s">
        <v>280</v>
      </c>
      <c r="AA74" s="5">
        <v>500</v>
      </c>
      <c r="AB74" s="4" t="s">
        <v>281</v>
      </c>
      <c r="AC74" s="5">
        <f>AA74</f>
        <v>500</v>
      </c>
      <c r="AD74" s="2" t="s">
        <v>282</v>
      </c>
      <c r="AF74" s="4" t="s">
        <v>133</v>
      </c>
      <c r="AG74" s="6">
        <f>AG80+AG86</f>
        <v>7.9303440000000007</v>
      </c>
    </row>
    <row r="75" spans="1:33">
      <c r="A75" t="s">
        <v>1347</v>
      </c>
      <c r="C75" t="s">
        <v>1018</v>
      </c>
      <c r="D75">
        <v>1</v>
      </c>
      <c r="E75" s="12">
        <f>V421</f>
        <v>95160</v>
      </c>
      <c r="F75" s="9">
        <f>D75*E75</f>
        <v>95160</v>
      </c>
      <c r="X75" s="2" t="s">
        <v>283</v>
      </c>
      <c r="Y75" s="2" t="s">
        <v>284</v>
      </c>
      <c r="AC75" s="4" t="s">
        <v>122</v>
      </c>
      <c r="AD75" s="4" t="s">
        <v>285</v>
      </c>
      <c r="AE75" s="4" t="s">
        <v>286</v>
      </c>
      <c r="AF75" s="4" t="s">
        <v>287</v>
      </c>
      <c r="AG75" s="4" t="s">
        <v>288</v>
      </c>
    </row>
    <row r="76" spans="1:33">
      <c r="A76" s="1" t="s">
        <v>1348</v>
      </c>
      <c r="F76" s="9"/>
      <c r="Y76" s="7" t="s">
        <v>289</v>
      </c>
    </row>
    <row r="77" spans="1:33">
      <c r="A77" t="s">
        <v>1349</v>
      </c>
      <c r="C77" t="s">
        <v>1350</v>
      </c>
      <c r="D77">
        <f>J12</f>
        <v>10</v>
      </c>
      <c r="E77" s="12">
        <f>V428</f>
        <v>3770.838940859569</v>
      </c>
      <c r="F77" s="9"/>
      <c r="G77" s="304">
        <f>SUM(F78:F90)</f>
        <v>37435.019592807446</v>
      </c>
      <c r="Y77" t="s">
        <v>650</v>
      </c>
      <c r="AC77" s="8" t="s">
        <v>291</v>
      </c>
      <c r="AD77" s="9">
        <v>1</v>
      </c>
      <c r="AE77" s="10">
        <f>AD77*8/$AA$74</f>
        <v>1.6E-2</v>
      </c>
      <c r="AF77">
        <v>34.729999999999997</v>
      </c>
      <c r="AG77" s="12">
        <f>AE77*AF77</f>
        <v>0.55567999999999995</v>
      </c>
    </row>
    <row r="78" spans="1:33">
      <c r="A78" t="s">
        <v>1351</v>
      </c>
      <c r="C78" s="8" t="s">
        <v>203</v>
      </c>
      <c r="D78" s="10">
        <f>1.98*$J$12</f>
        <v>19.8</v>
      </c>
      <c r="E78" s="12">
        <f>U431</f>
        <v>56.462834285714287</v>
      </c>
      <c r="F78" s="9">
        <f>D78*E78</f>
        <v>1117.9641188571429</v>
      </c>
      <c r="Y78" t="s">
        <v>292</v>
      </c>
      <c r="AC78" s="8" t="s">
        <v>291</v>
      </c>
      <c r="AD78" s="9">
        <v>1</v>
      </c>
      <c r="AE78" s="10">
        <f>AD78*8/$AA$74</f>
        <v>1.6E-2</v>
      </c>
      <c r="AF78">
        <v>23.6</v>
      </c>
      <c r="AG78" s="12">
        <f>AE78*AF78</f>
        <v>0.37760000000000005</v>
      </c>
    </row>
    <row r="79" spans="1:33">
      <c r="A79" t="s">
        <v>462</v>
      </c>
      <c r="C79" s="8" t="s">
        <v>203</v>
      </c>
      <c r="D79" s="10">
        <f>0.682058823529411*$J$12</f>
        <v>6.8205882352941103</v>
      </c>
      <c r="E79" s="12">
        <f>U432</f>
        <v>77.227704800000012</v>
      </c>
      <c r="F79" s="9">
        <f>D79*E79</f>
        <v>526.73837479764654</v>
      </c>
      <c r="R79" s="8"/>
      <c r="Y79" t="s">
        <v>293</v>
      </c>
      <c r="AC79" s="8" t="s">
        <v>291</v>
      </c>
      <c r="AD79" s="9">
        <v>3</v>
      </c>
      <c r="AE79" s="10">
        <f>AD79*8/$AA$74</f>
        <v>4.8000000000000001E-2</v>
      </c>
      <c r="AF79">
        <v>20.51</v>
      </c>
      <c r="AG79" s="12">
        <f>AE79*AF79</f>
        <v>0.98448000000000013</v>
      </c>
    </row>
    <row r="80" spans="1:33">
      <c r="A80" t="s">
        <v>464</v>
      </c>
      <c r="C80" s="8" t="s">
        <v>203</v>
      </c>
      <c r="D80" s="10">
        <f>0.892941176470588*$JJ$9</f>
        <v>0</v>
      </c>
      <c r="E80" s="12">
        <f>U433</f>
        <v>30.614538000000003</v>
      </c>
      <c r="F80" s="9">
        <f>D80*E80</f>
        <v>0</v>
      </c>
      <c r="R80" s="8"/>
      <c r="AC80" s="8"/>
      <c r="AG80" s="6">
        <f>SUM(AG77:AG79)</f>
        <v>1.9177600000000001</v>
      </c>
    </row>
    <row r="81" spans="1:33">
      <c r="A81" t="s">
        <v>468</v>
      </c>
      <c r="C81" s="8" t="s">
        <v>203</v>
      </c>
      <c r="D81" s="10">
        <f>0.50625*$J$12</f>
        <v>5.0625</v>
      </c>
      <c r="E81" s="12">
        <f>U434</f>
        <v>12.11253</v>
      </c>
      <c r="F81" s="9">
        <f>D81*E81</f>
        <v>61.319683124999997</v>
      </c>
      <c r="R81" s="8"/>
      <c r="V81" s="12"/>
      <c r="Y81" s="7" t="s">
        <v>317</v>
      </c>
      <c r="AC81" s="8"/>
      <c r="AD81" s="9"/>
    </row>
    <row r="82" spans="1:33">
      <c r="A82" t="s">
        <v>470</v>
      </c>
      <c r="C82" s="8" t="s">
        <v>203</v>
      </c>
      <c r="D82" s="10">
        <f>0.50625*$J$12</f>
        <v>5.0625</v>
      </c>
      <c r="E82" s="12">
        <f>U435</f>
        <v>22.910007466666666</v>
      </c>
      <c r="F82" s="9">
        <f>D82*E82</f>
        <v>115.9819128</v>
      </c>
      <c r="R82" s="8"/>
      <c r="U82" s="12"/>
      <c r="V82" s="12"/>
      <c r="Y82" t="s">
        <v>310</v>
      </c>
      <c r="AC82" s="8" t="s">
        <v>311</v>
      </c>
      <c r="AE82" s="10">
        <v>5</v>
      </c>
      <c r="AF82" s="12">
        <f>AG77</f>
        <v>0.55567999999999995</v>
      </c>
      <c r="AG82" s="12">
        <f>AE82%*AF82</f>
        <v>2.7784E-2</v>
      </c>
    </row>
    <row r="83" spans="1:33">
      <c r="A83" t="s">
        <v>641</v>
      </c>
      <c r="C83" s="8" t="s">
        <v>144</v>
      </c>
      <c r="D83" s="10">
        <f>1*$J$12</f>
        <v>10</v>
      </c>
      <c r="E83" s="12">
        <f>U436</f>
        <v>1489.7348144000002</v>
      </c>
      <c r="F83" s="9">
        <f>D83*E83</f>
        <v>14897.348144000003</v>
      </c>
      <c r="R83" s="8"/>
      <c r="Y83" t="s">
        <v>656</v>
      </c>
      <c r="AC83" s="8" t="s">
        <v>337</v>
      </c>
      <c r="AD83" s="9">
        <v>1</v>
      </c>
      <c r="AE83" s="10">
        <f>AD83*8/$AA$74</f>
        <v>1.6E-2</v>
      </c>
      <c r="AF83">
        <v>17.47</v>
      </c>
      <c r="AG83" s="12">
        <f>AE83*AF83</f>
        <v>0.27951999999999999</v>
      </c>
    </row>
    <row r="84" spans="1:33">
      <c r="A84" t="s">
        <v>1352</v>
      </c>
      <c r="C84" s="8" t="s">
        <v>144</v>
      </c>
      <c r="D84" s="10">
        <f>1*$J$12</f>
        <v>10</v>
      </c>
      <c r="E84" s="12">
        <f>U437</f>
        <v>1583.5817403999999</v>
      </c>
      <c r="F84" s="9">
        <f>D84*E84</f>
        <v>15835.817403999999</v>
      </c>
      <c r="R84" s="8"/>
      <c r="Y84" t="s">
        <v>658</v>
      </c>
      <c r="AC84" s="8" t="s">
        <v>337</v>
      </c>
      <c r="AD84" s="9">
        <v>1</v>
      </c>
      <c r="AE84" s="10">
        <f>AD84*8/$AA$74</f>
        <v>1.6E-2</v>
      </c>
      <c r="AF84">
        <v>136.06</v>
      </c>
      <c r="AG84" s="12">
        <f>AE84*AF84</f>
        <v>2.1769600000000002</v>
      </c>
    </row>
    <row r="85" spans="1:33">
      <c r="A85" t="s">
        <v>645</v>
      </c>
      <c r="C85" s="8" t="s">
        <v>144</v>
      </c>
      <c r="D85" s="10">
        <f>1*$J$12</f>
        <v>10</v>
      </c>
      <c r="E85" s="12">
        <f>U438</f>
        <v>107.84565577777778</v>
      </c>
      <c r="F85" s="9">
        <f>D85*E85</f>
        <v>1078.4565577777778</v>
      </c>
      <c r="R85" s="8"/>
      <c r="Y85" t="s">
        <v>659</v>
      </c>
      <c r="Z85" s="225"/>
      <c r="AA85" s="225"/>
      <c r="AB85" s="225"/>
      <c r="AC85" s="8" t="s">
        <v>337</v>
      </c>
      <c r="AD85" s="9">
        <v>1</v>
      </c>
      <c r="AE85" s="10">
        <f>AD85*8/$AA$74</f>
        <v>1.6E-2</v>
      </c>
      <c r="AF85">
        <v>220.52</v>
      </c>
      <c r="AG85" s="12">
        <f>AE85*AF85</f>
        <v>3.5283200000000003</v>
      </c>
    </row>
    <row r="86" spans="1:33">
      <c r="A86" t="s">
        <v>849</v>
      </c>
      <c r="C86" s="8" t="s">
        <v>144</v>
      </c>
      <c r="D86" s="10">
        <f>2.16060606060606*$J$12</f>
        <v>21.606060606060602</v>
      </c>
      <c r="E86" s="12">
        <f>U439</f>
        <v>110.42</v>
      </c>
      <c r="F86" s="9">
        <f>D86*E86</f>
        <v>2385.7412121212119</v>
      </c>
      <c r="R86" s="8"/>
      <c r="X86" s="14"/>
      <c r="Y86" s="14"/>
      <c r="Z86" s="14"/>
      <c r="AA86" s="14"/>
      <c r="AB86" s="14"/>
      <c r="AC86" s="14"/>
      <c r="AD86" s="14"/>
      <c r="AE86" s="14"/>
      <c r="AF86" s="14"/>
      <c r="AG86" s="16">
        <f>SUM(AG82:AG85)</f>
        <v>6.0125840000000004</v>
      </c>
    </row>
    <row r="87" spans="1:33">
      <c r="A87" t="s">
        <v>647</v>
      </c>
      <c r="C87" s="8" t="s">
        <v>144</v>
      </c>
      <c r="D87" s="10">
        <f>0.119318181818182*$J$12</f>
        <v>1.1931818181818201</v>
      </c>
      <c r="E87" s="12">
        <f>U440</f>
        <v>18.857006400000003</v>
      </c>
      <c r="F87" s="9">
        <f>D87*E87</f>
        <v>22.499837181818222</v>
      </c>
    </row>
    <row r="88" spans="1:33">
      <c r="A88" t="s">
        <v>851</v>
      </c>
      <c r="C88" s="8" t="s">
        <v>133</v>
      </c>
      <c r="D88" s="10">
        <f>0.386363636363636*$J$12</f>
        <v>3.8636363636363602</v>
      </c>
      <c r="E88" s="12">
        <f>U441</f>
        <v>67.768372461538462</v>
      </c>
      <c r="F88" s="9">
        <f>D88*E88</f>
        <v>261.83234814685289</v>
      </c>
      <c r="X88" s="2" t="s">
        <v>964</v>
      </c>
      <c r="Y88" s="2"/>
      <c r="Z88" s="2" t="s">
        <v>462</v>
      </c>
      <c r="AA88" s="2"/>
      <c r="AB88" s="2"/>
      <c r="AC88" s="2"/>
      <c r="AD88" s="2"/>
      <c r="AE88" s="2"/>
      <c r="AF88" s="2"/>
    </row>
    <row r="89" spans="1:33">
      <c r="A89" t="s">
        <v>853</v>
      </c>
      <c r="C89" s="8" t="s">
        <v>133</v>
      </c>
      <c r="D89" s="10">
        <f>0.4*$J$12</f>
        <v>4</v>
      </c>
      <c r="E89" s="12">
        <f>U442</f>
        <v>39.51</v>
      </c>
      <c r="F89" s="9">
        <f>D89*E89</f>
        <v>158.04</v>
      </c>
      <c r="X89" s="2" t="s">
        <v>278</v>
      </c>
      <c r="Y89" s="2" t="s">
        <v>325</v>
      </c>
      <c r="Z89" s="4" t="s">
        <v>280</v>
      </c>
      <c r="AA89" s="5">
        <v>25</v>
      </c>
      <c r="AB89" s="4" t="s">
        <v>281</v>
      </c>
      <c r="AC89" s="5">
        <f>AA89</f>
        <v>25</v>
      </c>
      <c r="AD89" s="2" t="s">
        <v>282</v>
      </c>
      <c r="AF89" s="4" t="s">
        <v>149</v>
      </c>
      <c r="AG89" s="6">
        <f>AG95+AG99+AG103</f>
        <v>77.227704800000012</v>
      </c>
    </row>
    <row r="90" spans="1:33">
      <c r="A90" t="s">
        <v>855</v>
      </c>
      <c r="C90" s="8" t="s">
        <v>133</v>
      </c>
      <c r="D90" s="10">
        <f>5.6*$J$12</f>
        <v>56</v>
      </c>
      <c r="E90" s="12">
        <f>U443</f>
        <v>17.38</v>
      </c>
      <c r="F90" s="9">
        <f>D90*E90</f>
        <v>973.28</v>
      </c>
      <c r="X90" s="2" t="s">
        <v>283</v>
      </c>
      <c r="Y90" s="2" t="s">
        <v>284</v>
      </c>
      <c r="AC90" s="4" t="s">
        <v>122</v>
      </c>
      <c r="AD90" s="4" t="s">
        <v>285</v>
      </c>
      <c r="AE90" s="4" t="s">
        <v>286</v>
      </c>
      <c r="AF90" s="4" t="s">
        <v>287</v>
      </c>
      <c r="AG90" s="4" t="s">
        <v>288</v>
      </c>
    </row>
    <row r="91" spans="1:33">
      <c r="A91" s="1" t="s">
        <v>1353</v>
      </c>
      <c r="Y91" s="7" t="s">
        <v>289</v>
      </c>
    </row>
    <row r="92" spans="1:33">
      <c r="A92" t="s">
        <v>1354</v>
      </c>
      <c r="C92" t="s">
        <v>1018</v>
      </c>
      <c r="D92">
        <f>'Datos iniciales '!E83</f>
        <v>1</v>
      </c>
      <c r="E92" s="12">
        <f>V715</f>
        <v>29580.58810716619</v>
      </c>
      <c r="G92" s="304">
        <f>D92*E92</f>
        <v>29580.58810716619</v>
      </c>
      <c r="Y92" t="s">
        <v>650</v>
      </c>
      <c r="AC92" s="8" t="s">
        <v>291</v>
      </c>
      <c r="AD92" s="9">
        <v>0.1</v>
      </c>
      <c r="AE92" s="10">
        <f>AD92*8/$AA$89</f>
        <v>3.2000000000000001E-2</v>
      </c>
      <c r="AF92" s="12">
        <v>34.729999999999997</v>
      </c>
      <c r="AG92" s="12">
        <f>AE92*AF92</f>
        <v>1.1113599999999999</v>
      </c>
    </row>
    <row r="93" spans="1:33">
      <c r="Y93" t="s">
        <v>663</v>
      </c>
      <c r="AC93" s="8" t="s">
        <v>291</v>
      </c>
      <c r="AD93" s="9">
        <v>1</v>
      </c>
      <c r="AE93" s="10">
        <f>AD93*8/$AA$89</f>
        <v>0.32</v>
      </c>
      <c r="AF93" s="12">
        <v>30.97</v>
      </c>
      <c r="AG93" s="12">
        <f>AE93*AF93</f>
        <v>9.9103999999999992</v>
      </c>
    </row>
    <row r="94" spans="1:33">
      <c r="Y94" t="s">
        <v>293</v>
      </c>
      <c r="AC94" s="8" t="s">
        <v>291</v>
      </c>
      <c r="AD94" s="9">
        <v>2</v>
      </c>
      <c r="AE94" s="10">
        <f>AD94*8/$AA$89</f>
        <v>0.64</v>
      </c>
      <c r="AF94" s="12">
        <v>20.51</v>
      </c>
      <c r="AG94" s="12">
        <f>AE94*AF94</f>
        <v>13.126400000000002</v>
      </c>
    </row>
    <row r="95" spans="1:33">
      <c r="AC95" s="8"/>
      <c r="AG95" s="6">
        <f>SUM(AG92:AG94)</f>
        <v>24.148160000000001</v>
      </c>
    </row>
    <row r="96" spans="1:33">
      <c r="Y96" s="7" t="s">
        <v>294</v>
      </c>
      <c r="AC96" s="8"/>
      <c r="AE96" s="10"/>
      <c r="AF96" s="10"/>
    </row>
    <row r="97" spans="5:33">
      <c r="Y97" t="s">
        <v>664</v>
      </c>
      <c r="AC97" s="8" t="s">
        <v>203</v>
      </c>
      <c r="AE97" s="10">
        <v>0.08</v>
      </c>
      <c r="AF97" s="12">
        <v>6.14</v>
      </c>
      <c r="AG97" s="12">
        <f>AE97*AF97</f>
        <v>0.49119999999999997</v>
      </c>
    </row>
    <row r="98" spans="5:33">
      <c r="Y98" t="s">
        <v>654</v>
      </c>
      <c r="AC98" s="8" t="s">
        <v>203</v>
      </c>
      <c r="AE98" s="10">
        <v>1.05</v>
      </c>
      <c r="AF98" s="12">
        <v>44.07</v>
      </c>
      <c r="AG98" s="12">
        <f>AE98*AF98</f>
        <v>46.273500000000006</v>
      </c>
    </row>
    <row r="99" spans="5:33">
      <c r="E99" s="12"/>
      <c r="F99" s="9"/>
      <c r="AC99" s="8"/>
      <c r="AE99" s="10"/>
      <c r="AF99" s="10"/>
      <c r="AG99" s="6">
        <f>SUM(AG97:AG98)</f>
        <v>46.764700000000005</v>
      </c>
    </row>
    <row r="100" spans="5:33">
      <c r="Y100" s="7" t="s">
        <v>317</v>
      </c>
      <c r="AC100" s="8"/>
      <c r="AD100" s="9"/>
    </row>
    <row r="101" spans="5:33">
      <c r="Y101" t="s">
        <v>310</v>
      </c>
      <c r="AC101" s="8" t="s">
        <v>311</v>
      </c>
      <c r="AD101" s="9"/>
      <c r="AE101" s="10">
        <v>3</v>
      </c>
      <c r="AF101" s="12">
        <f>AG95</f>
        <v>24.148160000000001</v>
      </c>
      <c r="AG101" s="12">
        <f>AE101%*AF101</f>
        <v>0.7244448</v>
      </c>
    </row>
    <row r="102" spans="5:33">
      <c r="Y102" t="s">
        <v>656</v>
      </c>
      <c r="AC102" s="8" t="s">
        <v>337</v>
      </c>
      <c r="AD102" s="9">
        <v>1</v>
      </c>
      <c r="AE102" s="10">
        <f>AD102*8/$AA$89</f>
        <v>0.32</v>
      </c>
      <c r="AF102" s="12">
        <v>17.47</v>
      </c>
      <c r="AG102" s="12">
        <f>AE102*AF102</f>
        <v>5.5903999999999998</v>
      </c>
    </row>
    <row r="103" spans="5:33">
      <c r="X103" s="14"/>
      <c r="Y103" s="14"/>
      <c r="Z103" s="14"/>
      <c r="AA103" s="14"/>
      <c r="AB103" s="14"/>
      <c r="AC103" s="14"/>
      <c r="AD103" s="14"/>
      <c r="AE103" s="14"/>
      <c r="AF103" s="14"/>
      <c r="AG103" s="16">
        <f>SUM(AG101:AG102)</f>
        <v>6.3148447999999995</v>
      </c>
    </row>
    <row r="104" spans="5:33">
      <c r="AC104" s="8"/>
      <c r="AD104" s="9"/>
      <c r="AE104" s="10"/>
      <c r="AF104" s="12"/>
      <c r="AG104" s="12"/>
    </row>
    <row r="105" spans="5:33">
      <c r="X105" s="2" t="s">
        <v>964</v>
      </c>
      <c r="Y105" s="2"/>
      <c r="Z105" s="2" t="s">
        <v>593</v>
      </c>
      <c r="AA105" s="2"/>
      <c r="AB105" s="2"/>
      <c r="AC105" s="2"/>
      <c r="AD105" s="2"/>
      <c r="AE105" s="2"/>
      <c r="AF105" s="2"/>
    </row>
    <row r="106" spans="5:33">
      <c r="X106" s="2" t="s">
        <v>278</v>
      </c>
      <c r="Y106" s="2" t="s">
        <v>416</v>
      </c>
      <c r="Z106" s="4" t="s">
        <v>280</v>
      </c>
      <c r="AA106" s="5">
        <v>30</v>
      </c>
      <c r="AB106" s="4" t="s">
        <v>281</v>
      </c>
      <c r="AC106" s="5">
        <f>AA106</f>
        <v>30</v>
      </c>
      <c r="AD106" s="2" t="s">
        <v>282</v>
      </c>
      <c r="AF106" s="4" t="s">
        <v>203</v>
      </c>
      <c r="AG106" s="6">
        <f>AG113+AG118+AG122</f>
        <v>445.66922400000004</v>
      </c>
    </row>
    <row r="107" spans="5:33">
      <c r="X107" s="2" t="s">
        <v>283</v>
      </c>
      <c r="Y107" s="2" t="s">
        <v>284</v>
      </c>
      <c r="AC107" s="4" t="s">
        <v>122</v>
      </c>
      <c r="AD107" s="4" t="s">
        <v>285</v>
      </c>
      <c r="AE107" s="4" t="s">
        <v>286</v>
      </c>
      <c r="AF107" s="4" t="s">
        <v>287</v>
      </c>
      <c r="AG107" s="4" t="s">
        <v>288</v>
      </c>
    </row>
    <row r="108" spans="5:33">
      <c r="Y108" s="7" t="s">
        <v>289</v>
      </c>
    </row>
    <row r="109" spans="5:33">
      <c r="Y109" t="s">
        <v>650</v>
      </c>
      <c r="AC109" s="8" t="s">
        <v>291</v>
      </c>
      <c r="AD109" s="9">
        <v>0.1</v>
      </c>
      <c r="AE109" s="10">
        <f>AD109*8/$AA$106</f>
        <v>2.6666666666666668E-2</v>
      </c>
      <c r="AF109" s="12">
        <v>34.729999999999997</v>
      </c>
      <c r="AG109" s="12">
        <f>AE109*AF109</f>
        <v>0.92613333333333336</v>
      </c>
    </row>
    <row r="110" spans="5:33">
      <c r="Y110" t="s">
        <v>290</v>
      </c>
      <c r="AC110" s="8" t="s">
        <v>291</v>
      </c>
      <c r="AD110" s="9">
        <v>2</v>
      </c>
      <c r="AE110" s="10">
        <f>AD110*8/$AA$106</f>
        <v>0.53333333333333333</v>
      </c>
      <c r="AF110" s="12">
        <v>28.94</v>
      </c>
      <c r="AG110" s="12">
        <f>AE110*AF110</f>
        <v>15.434666666666667</v>
      </c>
    </row>
    <row r="111" spans="5:33">
      <c r="Y111" t="s">
        <v>292</v>
      </c>
      <c r="AC111" s="8" t="s">
        <v>291</v>
      </c>
      <c r="AD111" s="9">
        <v>1</v>
      </c>
      <c r="AE111" s="10">
        <f>AD111*8/$AA$106</f>
        <v>0.26666666666666666</v>
      </c>
      <c r="AF111" s="12">
        <v>22.66</v>
      </c>
      <c r="AG111" s="12">
        <f>AE111*AF111</f>
        <v>6.0426666666666664</v>
      </c>
    </row>
    <row r="112" spans="5:33">
      <c r="Y112" t="s">
        <v>293</v>
      </c>
      <c r="AC112" s="8" t="s">
        <v>291</v>
      </c>
      <c r="AD112" s="9">
        <v>4</v>
      </c>
      <c r="AE112" s="10">
        <f>AD112*8/$AA$106</f>
        <v>1.0666666666666667</v>
      </c>
      <c r="AF112" s="12">
        <v>20.51</v>
      </c>
      <c r="AG112" s="12">
        <f>AE112*AF112</f>
        <v>21.877333333333336</v>
      </c>
    </row>
    <row r="113" spans="24:33">
      <c r="AG113" s="6">
        <f>SUM(AG109:AG112)</f>
        <v>44.280799999999999</v>
      </c>
    </row>
    <row r="114" spans="24:33">
      <c r="Y114" s="7" t="s">
        <v>294</v>
      </c>
    </row>
    <row r="115" spans="24:33">
      <c r="Y115" t="s">
        <v>721</v>
      </c>
      <c r="AB115" t="s">
        <v>296</v>
      </c>
      <c r="AE115" s="10">
        <v>0.1</v>
      </c>
      <c r="AF115" s="12">
        <v>24.52</v>
      </c>
      <c r="AG115" s="12">
        <f>AE115*AF115</f>
        <v>2.452</v>
      </c>
    </row>
    <row r="116" spans="24:33">
      <c r="Y116" t="s">
        <v>722</v>
      </c>
      <c r="AB116" t="s">
        <v>296</v>
      </c>
      <c r="AE116" s="10">
        <v>1.02</v>
      </c>
      <c r="AF116" s="12">
        <v>358</v>
      </c>
      <c r="AG116" s="12">
        <f>AE116*AF116</f>
        <v>365.16</v>
      </c>
    </row>
    <row r="117" spans="24:33">
      <c r="Y117" t="s">
        <v>723</v>
      </c>
      <c r="AB117" t="s">
        <v>305</v>
      </c>
      <c r="AE117" s="10">
        <v>1.02</v>
      </c>
      <c r="AF117" s="12">
        <v>30</v>
      </c>
      <c r="AG117" s="12">
        <f>AE117*AF117</f>
        <v>30.6</v>
      </c>
    </row>
    <row r="118" spans="24:33">
      <c r="AG118" s="6">
        <f>SUM(AG115:AG117)</f>
        <v>398.21200000000005</v>
      </c>
    </row>
    <row r="119" spans="24:33">
      <c r="Y119" s="7" t="s">
        <v>317</v>
      </c>
    </row>
    <row r="120" spans="24:33">
      <c r="Y120" t="s">
        <v>310</v>
      </c>
      <c r="AC120" s="8" t="s">
        <v>311</v>
      </c>
      <c r="AE120" s="10">
        <v>3</v>
      </c>
      <c r="AF120" s="12">
        <f>AG113</f>
        <v>44.280799999999999</v>
      </c>
      <c r="AG120" s="12">
        <f>AE120%*AF120</f>
        <v>1.3284239999999998</v>
      </c>
    </row>
    <row r="121" spans="24:33">
      <c r="Y121" t="s">
        <v>724</v>
      </c>
      <c r="AC121" s="8" t="s">
        <v>337</v>
      </c>
      <c r="AD121" s="9">
        <v>1</v>
      </c>
      <c r="AE121" s="10">
        <f>AD121*8/$AA$106</f>
        <v>0.26666666666666666</v>
      </c>
      <c r="AF121" s="12">
        <v>6.93</v>
      </c>
      <c r="AG121" s="12">
        <f>AE121*AF121</f>
        <v>1.8479999999999999</v>
      </c>
    </row>
    <row r="122" spans="24:33">
      <c r="X122" s="14"/>
      <c r="Y122" s="14"/>
      <c r="Z122" s="14"/>
      <c r="AA122" s="14"/>
      <c r="AB122" s="14"/>
      <c r="AC122" s="14"/>
      <c r="AD122" s="14"/>
      <c r="AE122" s="14"/>
      <c r="AF122" s="14"/>
      <c r="AG122" s="16">
        <f>SUM(AG120:AG121)</f>
        <v>3.1764239999999999</v>
      </c>
    </row>
    <row r="124" spans="24:33">
      <c r="X124" s="2" t="s">
        <v>964</v>
      </c>
      <c r="Y124" s="2"/>
      <c r="Z124" s="2" t="s">
        <v>595</v>
      </c>
      <c r="AA124" s="2"/>
      <c r="AB124" s="2"/>
      <c r="AC124" s="2"/>
      <c r="AD124" s="2"/>
      <c r="AE124" s="2"/>
      <c r="AF124" s="2"/>
    </row>
    <row r="125" spans="24:33">
      <c r="X125" s="2" t="s">
        <v>278</v>
      </c>
      <c r="Y125" s="2" t="s">
        <v>416</v>
      </c>
      <c r="Z125" s="4" t="s">
        <v>280</v>
      </c>
      <c r="AA125" s="5">
        <v>30</v>
      </c>
      <c r="AB125" s="4" t="s">
        <v>281</v>
      </c>
      <c r="AC125" s="5">
        <f>AA125</f>
        <v>30</v>
      </c>
      <c r="AD125" s="2" t="s">
        <v>282</v>
      </c>
      <c r="AF125" s="4" t="s">
        <v>203</v>
      </c>
      <c r="AG125" s="6">
        <f>AG132+AG137+AG141</f>
        <v>445.66922400000004</v>
      </c>
    </row>
    <row r="126" spans="24:33">
      <c r="X126" s="2" t="s">
        <v>283</v>
      </c>
      <c r="Y126" s="2" t="s">
        <v>284</v>
      </c>
      <c r="AC126" s="4" t="s">
        <v>122</v>
      </c>
      <c r="AD126" s="4" t="s">
        <v>285</v>
      </c>
      <c r="AE126" s="4" t="s">
        <v>286</v>
      </c>
      <c r="AF126" s="4" t="s">
        <v>287</v>
      </c>
      <c r="AG126" s="4" t="s">
        <v>288</v>
      </c>
    </row>
    <row r="127" spans="24:33">
      <c r="Y127" s="7" t="s">
        <v>289</v>
      </c>
    </row>
    <row r="128" spans="24:33">
      <c r="Y128" t="s">
        <v>650</v>
      </c>
      <c r="AC128" s="8" t="s">
        <v>291</v>
      </c>
      <c r="AD128" s="9">
        <v>0.1</v>
      </c>
      <c r="AE128" s="10">
        <f>AD128*8/$AA$125</f>
        <v>2.6666666666666668E-2</v>
      </c>
      <c r="AF128" s="12">
        <v>34.729999999999997</v>
      </c>
      <c r="AG128" s="12">
        <f>AE128*AF128</f>
        <v>0.92613333333333336</v>
      </c>
    </row>
    <row r="129" spans="24:45">
      <c r="Y129" t="s">
        <v>290</v>
      </c>
      <c r="AC129" s="8" t="s">
        <v>291</v>
      </c>
      <c r="AD129" s="9">
        <v>2</v>
      </c>
      <c r="AE129" s="10">
        <f>AD129*8/$AA$125</f>
        <v>0.53333333333333333</v>
      </c>
      <c r="AF129" s="12">
        <v>28.94</v>
      </c>
      <c r="AG129" s="12">
        <f>AE129*AF129</f>
        <v>15.434666666666667</v>
      </c>
    </row>
    <row r="130" spans="24:45">
      <c r="Y130" t="s">
        <v>292</v>
      </c>
      <c r="AC130" s="8" t="s">
        <v>291</v>
      </c>
      <c r="AD130" s="9">
        <v>1</v>
      </c>
      <c r="AE130" s="10">
        <f>AD130*8/$AA$125</f>
        <v>0.26666666666666666</v>
      </c>
      <c r="AF130" s="12">
        <v>22.66</v>
      </c>
      <c r="AG130" s="12">
        <f>AE130*AF130</f>
        <v>6.0426666666666664</v>
      </c>
    </row>
    <row r="131" spans="24:45">
      <c r="Y131" t="s">
        <v>293</v>
      </c>
      <c r="AC131" s="8" t="s">
        <v>291</v>
      </c>
      <c r="AD131" s="9">
        <v>4</v>
      </c>
      <c r="AE131" s="10">
        <f>AD131*8/$AA$125</f>
        <v>1.0666666666666667</v>
      </c>
      <c r="AF131" s="12">
        <v>20.51</v>
      </c>
      <c r="AG131" s="12">
        <f>AE131*AF131</f>
        <v>21.877333333333336</v>
      </c>
    </row>
    <row r="132" spans="24:45">
      <c r="AG132" s="6">
        <f>SUM(AG128:AG131)</f>
        <v>44.280799999999999</v>
      </c>
    </row>
    <row r="133" spans="24:45">
      <c r="Y133" s="7" t="s">
        <v>294</v>
      </c>
    </row>
    <row r="134" spans="24:45">
      <c r="Y134" t="s">
        <v>721</v>
      </c>
      <c r="AB134" t="s">
        <v>296</v>
      </c>
      <c r="AE134" s="10">
        <v>0.1</v>
      </c>
      <c r="AF134" s="12">
        <v>24.52</v>
      </c>
      <c r="AG134" s="12">
        <f>AE134*AF134</f>
        <v>2.452</v>
      </c>
    </row>
    <row r="135" spans="24:45">
      <c r="Y135" t="s">
        <v>722</v>
      </c>
      <c r="AB135" t="s">
        <v>296</v>
      </c>
      <c r="AE135" s="10">
        <v>1.02</v>
      </c>
      <c r="AF135">
        <v>358</v>
      </c>
      <c r="AG135" s="12">
        <f>AE135*AF135</f>
        <v>365.16</v>
      </c>
    </row>
    <row r="136" spans="24:45">
      <c r="Y136" t="s">
        <v>723</v>
      </c>
      <c r="AB136" t="s">
        <v>305</v>
      </c>
      <c r="AE136" s="10">
        <v>1.02</v>
      </c>
      <c r="AF136" s="12">
        <v>30</v>
      </c>
      <c r="AG136" s="12">
        <f>AE136*AF136</f>
        <v>30.6</v>
      </c>
    </row>
    <row r="137" spans="24:45">
      <c r="AG137" s="6">
        <f>SUM(AG134:AG136)</f>
        <v>398.21200000000005</v>
      </c>
    </row>
    <row r="138" spans="24:45">
      <c r="Y138" s="7" t="s">
        <v>317</v>
      </c>
    </row>
    <row r="139" spans="24:45">
      <c r="Y139" t="s">
        <v>310</v>
      </c>
      <c r="AC139" s="8" t="s">
        <v>311</v>
      </c>
      <c r="AE139" s="10">
        <v>3</v>
      </c>
      <c r="AF139" s="12">
        <f>AG132</f>
        <v>44.280799999999999</v>
      </c>
      <c r="AG139" s="12">
        <f>AE139%*AF139</f>
        <v>1.3284239999999998</v>
      </c>
    </row>
    <row r="140" spans="24:45">
      <c r="Y140" t="s">
        <v>724</v>
      </c>
      <c r="AC140" s="8" t="s">
        <v>337</v>
      </c>
      <c r="AD140" s="9">
        <v>1</v>
      </c>
      <c r="AE140" s="10">
        <f>AD140*8/$AA$125</f>
        <v>0.26666666666666666</v>
      </c>
      <c r="AF140" s="12">
        <v>6.93</v>
      </c>
      <c r="AG140" s="12">
        <f>AE140*AF140</f>
        <v>1.8479999999999999</v>
      </c>
    </row>
    <row r="141" spans="24:45">
      <c r="X141" s="14"/>
      <c r="Y141" s="14"/>
      <c r="Z141" s="14"/>
      <c r="AA141" s="14"/>
      <c r="AB141" s="14"/>
      <c r="AC141" s="14"/>
      <c r="AD141" s="14"/>
      <c r="AE141" s="14"/>
      <c r="AF141" s="14"/>
      <c r="AG141" s="16">
        <f>SUM(AG139:AG140)</f>
        <v>3.1764239999999999</v>
      </c>
    </row>
    <row r="143" spans="24:45">
      <c r="X143" s="2" t="s">
        <v>964</v>
      </c>
      <c r="Y143" s="2"/>
      <c r="Z143" s="2" t="s">
        <v>597</v>
      </c>
      <c r="AA143" s="2"/>
      <c r="AB143" s="2"/>
      <c r="AC143" s="2"/>
      <c r="AD143" s="2"/>
      <c r="AE143" s="2"/>
      <c r="AF143" s="2"/>
      <c r="AI143" s="112"/>
      <c r="AJ143" s="113"/>
      <c r="AK143" s="113"/>
      <c r="AL143" s="114"/>
      <c r="AM143" s="113"/>
      <c r="AN143" s="113"/>
      <c r="AO143" s="113"/>
      <c r="AP143" s="113"/>
      <c r="AQ143" s="113"/>
      <c r="AR143" s="122"/>
      <c r="AS143" s="113"/>
    </row>
    <row r="144" spans="24:45">
      <c r="X144" s="2" t="s">
        <v>278</v>
      </c>
      <c r="Y144" s="2" t="s">
        <v>279</v>
      </c>
      <c r="Z144" s="4" t="s">
        <v>280</v>
      </c>
      <c r="AA144" s="5">
        <v>25</v>
      </c>
      <c r="AB144" s="4" t="s">
        <v>281</v>
      </c>
      <c r="AC144" s="5">
        <f>AA144</f>
        <v>25</v>
      </c>
      <c r="AD144" s="2" t="s">
        <v>282</v>
      </c>
      <c r="AF144" s="4" t="s">
        <v>133</v>
      </c>
      <c r="AG144" s="6">
        <f>AG151+AG156+AG160</f>
        <v>118.01356480000003</v>
      </c>
      <c r="AI144" s="115"/>
      <c r="AJ144" s="113"/>
      <c r="AK144" s="114"/>
      <c r="AL144" s="113"/>
      <c r="AM144" s="116"/>
      <c r="AN144" s="116"/>
      <c r="AO144" s="113"/>
      <c r="AP144" s="113"/>
      <c r="AQ144" s="116"/>
      <c r="AR144" s="117"/>
      <c r="AS144" s="113"/>
    </row>
    <row r="145" spans="24:45">
      <c r="X145" s="2" t="s">
        <v>283</v>
      </c>
      <c r="Y145" s="2" t="s">
        <v>284</v>
      </c>
      <c r="AC145" s="4" t="s">
        <v>122</v>
      </c>
      <c r="AD145" s="4" t="s">
        <v>285</v>
      </c>
      <c r="AE145" s="4" t="s">
        <v>286</v>
      </c>
      <c r="AF145" s="4" t="s">
        <v>287</v>
      </c>
      <c r="AG145" s="4" t="s">
        <v>288</v>
      </c>
      <c r="AI145" s="113"/>
      <c r="AJ145" s="113"/>
      <c r="AK145" s="113"/>
      <c r="AL145" s="113"/>
      <c r="AM145" s="113"/>
      <c r="AN145" s="113"/>
      <c r="AO145" s="113"/>
      <c r="AP145" s="113"/>
      <c r="AQ145" s="113"/>
      <c r="AR145" s="122"/>
      <c r="AS145" s="113"/>
    </row>
    <row r="146" spans="24:45">
      <c r="Y146" s="7" t="s">
        <v>289</v>
      </c>
      <c r="AI146" s="113"/>
      <c r="AJ146" s="113"/>
      <c r="AK146" s="113"/>
      <c r="AL146" s="113"/>
      <c r="AM146" s="113"/>
      <c r="AN146" s="113"/>
      <c r="AO146" s="113"/>
      <c r="AP146" s="113"/>
      <c r="AQ146" s="113"/>
      <c r="AR146" s="122"/>
      <c r="AS146" s="113"/>
    </row>
    <row r="147" spans="24:45">
      <c r="Y147" t="s">
        <v>650</v>
      </c>
      <c r="AC147" s="8" t="s">
        <v>291</v>
      </c>
      <c r="AD147" s="9">
        <v>0.1</v>
      </c>
      <c r="AE147" s="10">
        <f>AD147*8/$AA$144</f>
        <v>3.2000000000000001E-2</v>
      </c>
      <c r="AF147" s="12">
        <v>34.729999999999997</v>
      </c>
      <c r="AG147" s="12">
        <f>AE147*AF147</f>
        <v>1.1113599999999999</v>
      </c>
      <c r="AI147" s="118"/>
      <c r="AJ147" s="113"/>
      <c r="AK147" s="114"/>
      <c r="AL147" s="113"/>
      <c r="AM147" s="113"/>
      <c r="AN147" s="118"/>
      <c r="AO147" s="113"/>
      <c r="AP147" s="119"/>
      <c r="AQ147" s="119"/>
      <c r="AR147" s="122"/>
      <c r="AS147" s="119"/>
    </row>
    <row r="148" spans="24:45">
      <c r="Y148" t="s">
        <v>290</v>
      </c>
      <c r="AC148" s="8" t="s">
        <v>291</v>
      </c>
      <c r="AD148" s="9">
        <v>1</v>
      </c>
      <c r="AE148" s="10">
        <f>AD148*8/$AA$144</f>
        <v>0.32</v>
      </c>
      <c r="AF148" s="12">
        <v>28.94</v>
      </c>
      <c r="AG148" s="12">
        <f>AE148*AF148</f>
        <v>9.2608000000000015</v>
      </c>
      <c r="AI148" s="113"/>
      <c r="AJ148" s="113"/>
      <c r="AK148" s="113"/>
      <c r="AL148" s="113"/>
      <c r="AM148" s="120"/>
      <c r="AN148" s="113"/>
      <c r="AO148" s="113"/>
      <c r="AP148" s="113"/>
      <c r="AQ148" s="113"/>
      <c r="AR148" s="122"/>
      <c r="AS148" s="113"/>
    </row>
    <row r="149" spans="24:45">
      <c r="Y149" t="s">
        <v>292</v>
      </c>
      <c r="AC149" s="8" t="s">
        <v>291</v>
      </c>
      <c r="AD149" s="9">
        <v>2</v>
      </c>
      <c r="AE149" s="10">
        <f>AD149*8/$AA$144</f>
        <v>0.64</v>
      </c>
      <c r="AF149" s="12">
        <v>22.66</v>
      </c>
      <c r="AG149" s="12">
        <f>AE149*AF149</f>
        <v>14.5024</v>
      </c>
      <c r="AI149" s="115"/>
      <c r="AJ149" s="113"/>
      <c r="AK149" s="115"/>
      <c r="AL149" s="113"/>
      <c r="AM149" s="113"/>
      <c r="AN149" s="115"/>
      <c r="AO149" s="113"/>
      <c r="AP149" s="121"/>
      <c r="AQ149" s="121"/>
      <c r="AR149" s="122"/>
      <c r="AS149" s="122"/>
    </row>
    <row r="150" spans="24:45">
      <c r="Y150" t="s">
        <v>293</v>
      </c>
      <c r="AC150" s="8" t="s">
        <v>291</v>
      </c>
      <c r="AD150" s="9">
        <v>8</v>
      </c>
      <c r="AE150" s="10">
        <f>AD150*8/$AA$144</f>
        <v>2.56</v>
      </c>
      <c r="AF150" s="12">
        <v>20.51</v>
      </c>
      <c r="AG150" s="12">
        <f>AE150*AF150</f>
        <v>52.505600000000008</v>
      </c>
      <c r="AI150" s="115"/>
      <c r="AJ150" s="113"/>
      <c r="AK150" s="115"/>
      <c r="AL150" s="113"/>
      <c r="AM150" s="113"/>
      <c r="AN150" s="115"/>
      <c r="AO150" s="113"/>
      <c r="AP150" s="121"/>
      <c r="AQ150" s="121"/>
      <c r="AR150" s="122"/>
      <c r="AS150" s="122"/>
    </row>
    <row r="151" spans="24:45">
      <c r="AG151" s="6">
        <f>SUM(AG147:AG150)</f>
        <v>77.380160000000018</v>
      </c>
      <c r="AI151" s="115"/>
      <c r="AJ151" s="113"/>
      <c r="AK151" s="115"/>
      <c r="AL151" s="113"/>
      <c r="AM151" s="113"/>
      <c r="AN151" s="115"/>
      <c r="AO151" s="113"/>
      <c r="AP151" s="121"/>
      <c r="AQ151" s="121"/>
      <c r="AR151" s="122"/>
      <c r="AS151" s="122"/>
    </row>
    <row r="152" spans="24:45">
      <c r="Y152" s="7" t="s">
        <v>294</v>
      </c>
      <c r="AI152" s="113"/>
      <c r="AJ152" s="113"/>
      <c r="AK152" s="113"/>
      <c r="AL152" s="113"/>
      <c r="AM152" s="113"/>
      <c r="AN152" s="113"/>
      <c r="AO152" s="113"/>
      <c r="AP152" s="113"/>
      <c r="AQ152" s="113"/>
      <c r="AR152" s="122"/>
      <c r="AS152" s="117"/>
    </row>
    <row r="153" spans="24:45">
      <c r="Y153" t="s">
        <v>725</v>
      </c>
      <c r="AB153" t="s">
        <v>296</v>
      </c>
      <c r="AE153" s="10">
        <v>0.1</v>
      </c>
      <c r="AF153" s="12">
        <v>4.6399999999999997</v>
      </c>
      <c r="AG153" s="12">
        <f>AE153*AF153</f>
        <v>0.46399999999999997</v>
      </c>
      <c r="AI153" s="113"/>
      <c r="AJ153" s="113"/>
      <c r="AK153" s="113"/>
      <c r="AL153" s="113"/>
      <c r="AM153" s="120"/>
      <c r="AN153" s="113"/>
      <c r="AO153" s="113"/>
      <c r="AP153" s="113"/>
      <c r="AQ153" s="113"/>
      <c r="AR153" s="122"/>
      <c r="AS153" s="113"/>
    </row>
    <row r="154" spans="24:45">
      <c r="Y154" t="s">
        <v>726</v>
      </c>
      <c r="AB154" t="s">
        <v>296</v>
      </c>
      <c r="AE154" s="10">
        <v>0.15</v>
      </c>
      <c r="AF154">
        <v>4.16</v>
      </c>
      <c r="AG154" s="12">
        <f>AE154*AF154</f>
        <v>0.624</v>
      </c>
      <c r="AI154" s="115"/>
      <c r="AJ154" s="113"/>
      <c r="AK154" s="115"/>
      <c r="AL154" s="113"/>
      <c r="AM154" s="113"/>
      <c r="AN154" s="115"/>
      <c r="AO154" s="113"/>
      <c r="AP154" s="113"/>
      <c r="AQ154" s="121"/>
      <c r="AR154" s="122"/>
      <c r="AS154" s="122"/>
    </row>
    <row r="155" spans="24:45">
      <c r="Y155" t="s">
        <v>308</v>
      </c>
      <c r="AB155" t="s">
        <v>305</v>
      </c>
      <c r="AE155" s="10">
        <v>4.03</v>
      </c>
      <c r="AF155" s="12">
        <v>8.8000000000000007</v>
      </c>
      <c r="AG155" s="12">
        <f>AE155*AF155</f>
        <v>35.464000000000006</v>
      </c>
      <c r="AI155" s="115"/>
      <c r="AJ155" s="113"/>
      <c r="AK155" s="115"/>
      <c r="AL155" s="113"/>
      <c r="AM155" s="113"/>
      <c r="AN155" s="115"/>
      <c r="AO155" s="113"/>
      <c r="AP155" s="113"/>
      <c r="AQ155" s="121"/>
      <c r="AR155" s="122"/>
      <c r="AS155" s="122"/>
    </row>
    <row r="156" spans="24:45">
      <c r="AG156" s="6">
        <f>SUM(AG153:AG155)</f>
        <v>36.552000000000007</v>
      </c>
      <c r="AI156" s="113"/>
      <c r="AJ156" s="113"/>
      <c r="AK156" s="113"/>
      <c r="AL156" s="113"/>
      <c r="AM156" s="113"/>
      <c r="AN156" s="113"/>
      <c r="AO156" s="113"/>
      <c r="AP156" s="113"/>
      <c r="AQ156" s="113"/>
      <c r="AR156" s="122"/>
      <c r="AS156" s="117"/>
    </row>
    <row r="157" spans="24:45">
      <c r="Y157" s="7" t="s">
        <v>317</v>
      </c>
      <c r="AI157" s="113"/>
      <c r="AJ157" s="113"/>
      <c r="AK157" s="113"/>
      <c r="AL157" s="113"/>
      <c r="AM157" s="120"/>
      <c r="AN157" s="113"/>
      <c r="AO157" s="113"/>
      <c r="AP157" s="113"/>
      <c r="AQ157" s="113"/>
      <c r="AR157" s="122"/>
      <c r="AS157" s="113"/>
    </row>
    <row r="158" spans="24:45">
      <c r="Y158" t="s">
        <v>310</v>
      </c>
      <c r="AC158" s="8" t="s">
        <v>311</v>
      </c>
      <c r="AE158" s="10">
        <v>3</v>
      </c>
      <c r="AF158" s="12">
        <f>AG151</f>
        <v>77.380160000000018</v>
      </c>
      <c r="AG158" s="12">
        <f>AE158%*AF158</f>
        <v>2.3214048000000003</v>
      </c>
      <c r="AS158" s="122"/>
    </row>
    <row r="159" spans="24:45">
      <c r="Y159" t="s">
        <v>727</v>
      </c>
      <c r="AC159" s="8" t="s">
        <v>337</v>
      </c>
      <c r="AD159" s="9">
        <v>1</v>
      </c>
      <c r="AE159" s="10">
        <f>AD159*8/$AA$144</f>
        <v>0.32</v>
      </c>
      <c r="AF159" s="12">
        <v>5.5</v>
      </c>
      <c r="AG159" s="12">
        <f>AE159*AF159</f>
        <v>1.76</v>
      </c>
      <c r="AS159" s="122"/>
    </row>
    <row r="160" spans="24:45">
      <c r="X160" s="14"/>
      <c r="Y160" s="14"/>
      <c r="Z160" s="14"/>
      <c r="AA160" s="14"/>
      <c r="AB160" s="14"/>
      <c r="AC160" s="14"/>
      <c r="AD160" s="14"/>
      <c r="AE160" s="14"/>
      <c r="AF160" s="14"/>
      <c r="AG160" s="16">
        <f>SUM(AG158:AG159)</f>
        <v>4.0814048000000005</v>
      </c>
      <c r="AS160" s="117"/>
    </row>
    <row r="162" spans="24:33">
      <c r="X162" s="2" t="s">
        <v>277</v>
      </c>
      <c r="Y162" s="2"/>
      <c r="Z162" s="2" t="s">
        <v>599</v>
      </c>
      <c r="AA162" s="2"/>
    </row>
    <row r="163" spans="24:33">
      <c r="X163" s="2" t="s">
        <v>278</v>
      </c>
      <c r="Y163" s="2" t="s">
        <v>416</v>
      </c>
      <c r="Z163" s="4" t="s">
        <v>280</v>
      </c>
      <c r="AA163" s="5">
        <v>1</v>
      </c>
      <c r="AB163" s="4" t="s">
        <v>281</v>
      </c>
      <c r="AC163" s="5">
        <f>AA163</f>
        <v>1</v>
      </c>
      <c r="AD163" s="2" t="s">
        <v>282</v>
      </c>
      <c r="AF163" s="4" t="s">
        <v>203</v>
      </c>
      <c r="AG163" s="6">
        <f>AG167</f>
        <v>358</v>
      </c>
    </row>
    <row r="164" spans="24:33">
      <c r="X164" s="2" t="s">
        <v>283</v>
      </c>
      <c r="Y164" s="2" t="s">
        <v>284</v>
      </c>
      <c r="AC164" s="4" t="s">
        <v>122</v>
      </c>
      <c r="AD164" s="4" t="s">
        <v>285</v>
      </c>
      <c r="AE164" s="4" t="s">
        <v>286</v>
      </c>
      <c r="AF164" s="4" t="s">
        <v>287</v>
      </c>
      <c r="AG164" s="4" t="s">
        <v>288</v>
      </c>
    </row>
    <row r="165" spans="24:33">
      <c r="Y165" s="7" t="s">
        <v>289</v>
      </c>
    </row>
    <row r="166" spans="24:33">
      <c r="Y166" t="s">
        <v>599</v>
      </c>
      <c r="AE166" s="10">
        <v>1</v>
      </c>
      <c r="AF166" s="12">
        <v>358</v>
      </c>
      <c r="AG166" s="12">
        <f>AE166*AF166</f>
        <v>358</v>
      </c>
    </row>
    <row r="167" spans="24:33">
      <c r="X167" s="14"/>
      <c r="Y167" s="14"/>
      <c r="Z167" s="14"/>
      <c r="AA167" s="14"/>
      <c r="AB167" s="14"/>
      <c r="AC167" s="44"/>
      <c r="AD167" s="14"/>
      <c r="AE167" s="46"/>
      <c r="AF167" s="106"/>
      <c r="AG167" s="16">
        <f>SUM(AG166)</f>
        <v>358</v>
      </c>
    </row>
    <row r="169" spans="24:33">
      <c r="X169" s="2" t="s">
        <v>964</v>
      </c>
      <c r="Y169" s="2"/>
      <c r="Z169" s="2" t="s">
        <v>1341</v>
      </c>
      <c r="AA169" s="2"/>
      <c r="AB169" s="2"/>
      <c r="AC169" s="2"/>
      <c r="AD169" s="2"/>
      <c r="AE169" s="2"/>
      <c r="AF169" s="2"/>
    </row>
    <row r="170" spans="24:33">
      <c r="X170" s="2" t="s">
        <v>278</v>
      </c>
      <c r="Y170" s="2" t="s">
        <v>279</v>
      </c>
      <c r="Z170" s="4" t="s">
        <v>280</v>
      </c>
      <c r="AA170" s="5">
        <v>250</v>
      </c>
      <c r="AB170" s="4" t="s">
        <v>281</v>
      </c>
      <c r="AC170" s="5">
        <f>AA170</f>
        <v>250</v>
      </c>
      <c r="AD170" s="2" t="s">
        <v>282</v>
      </c>
      <c r="AF170" s="4" t="s">
        <v>133</v>
      </c>
      <c r="AG170" s="6">
        <f>AG174+AG177+AG180</f>
        <v>2.9418735999999996</v>
      </c>
    </row>
    <row r="171" spans="24:33">
      <c r="X171" s="2" t="s">
        <v>283</v>
      </c>
      <c r="Y171" s="2" t="s">
        <v>284</v>
      </c>
      <c r="AC171" s="4" t="s">
        <v>122</v>
      </c>
      <c r="AD171" s="4" t="s">
        <v>285</v>
      </c>
      <c r="AE171" s="4" t="s">
        <v>286</v>
      </c>
      <c r="AF171" s="4" t="s">
        <v>287</v>
      </c>
      <c r="AG171" s="4" t="s">
        <v>288</v>
      </c>
    </row>
    <row r="172" spans="24:33">
      <c r="Y172" s="7" t="s">
        <v>289</v>
      </c>
    </row>
    <row r="173" spans="24:33">
      <c r="Y173" t="s">
        <v>292</v>
      </c>
      <c r="AC173" s="8" t="s">
        <v>291</v>
      </c>
      <c r="AD173" s="9">
        <v>1</v>
      </c>
      <c r="AE173" s="10">
        <f t="shared" ref="AE173" si="11">AD173*8/$AA$170</f>
        <v>3.2000000000000001E-2</v>
      </c>
      <c r="AF173" s="12">
        <v>22.66</v>
      </c>
      <c r="AG173" s="12">
        <f>AE173*AF173</f>
        <v>0.72511999999999999</v>
      </c>
    </row>
    <row r="174" spans="24:33">
      <c r="AC174" s="8"/>
      <c r="AD174" s="9"/>
      <c r="AE174" s="10"/>
      <c r="AF174" s="12"/>
      <c r="AG174" s="6">
        <f>SUM(AG173:AG173)</f>
        <v>0.72511999999999999</v>
      </c>
    </row>
    <row r="175" spans="24:33">
      <c r="Y175" s="7" t="s">
        <v>294</v>
      </c>
    </row>
    <row r="176" spans="24:33">
      <c r="Y176" t="s">
        <v>728</v>
      </c>
      <c r="AC176" s="8" t="s">
        <v>439</v>
      </c>
      <c r="AE176" s="10">
        <v>0.05</v>
      </c>
      <c r="AF176" s="12">
        <v>43.9</v>
      </c>
      <c r="AG176" s="12">
        <f>AE176*AF176</f>
        <v>2.1949999999999998</v>
      </c>
    </row>
    <row r="177" spans="24:33">
      <c r="AG177" s="6">
        <f>SUM(AG176)</f>
        <v>2.1949999999999998</v>
      </c>
    </row>
    <row r="178" spans="24:33">
      <c r="Y178" s="7" t="s">
        <v>317</v>
      </c>
    </row>
    <row r="179" spans="24:33">
      <c r="Y179" t="s">
        <v>310</v>
      </c>
      <c r="AC179" s="8" t="s">
        <v>311</v>
      </c>
      <c r="AE179" s="10">
        <v>3</v>
      </c>
      <c r="AF179" s="12">
        <f>AG174</f>
        <v>0.72511999999999999</v>
      </c>
      <c r="AG179" s="12">
        <f>AE179%*AF179</f>
        <v>2.1753599999999998E-2</v>
      </c>
    </row>
    <row r="180" spans="24:33">
      <c r="X180" s="14"/>
      <c r="Y180" s="14"/>
      <c r="Z180" s="14"/>
      <c r="AA180" s="14"/>
      <c r="AB180" s="14"/>
      <c r="AC180" s="14"/>
      <c r="AD180" s="14"/>
      <c r="AE180" s="14"/>
      <c r="AF180" s="14"/>
      <c r="AG180" s="16">
        <f>SUM(AG179)</f>
        <v>2.1753599999999998E-2</v>
      </c>
    </row>
    <row r="181" spans="24:33">
      <c r="AE181" s="10"/>
      <c r="AF181" s="12"/>
      <c r="AG181" s="12"/>
    </row>
    <row r="182" spans="24:33">
      <c r="X182" s="2" t="s">
        <v>964</v>
      </c>
      <c r="Y182" s="2"/>
      <c r="Z182" s="2" t="s">
        <v>603</v>
      </c>
      <c r="AA182" s="2"/>
      <c r="AB182" s="2"/>
      <c r="AC182" s="2"/>
      <c r="AD182" s="2"/>
      <c r="AE182" s="2"/>
      <c r="AF182" s="2"/>
    </row>
    <row r="183" spans="24:33">
      <c r="X183" s="2" t="s">
        <v>278</v>
      </c>
      <c r="Y183" s="2" t="s">
        <v>313</v>
      </c>
      <c r="Z183" s="4" t="s">
        <v>280</v>
      </c>
      <c r="AA183" s="5">
        <v>100</v>
      </c>
      <c r="AB183" s="4" t="s">
        <v>281</v>
      </c>
      <c r="AC183" s="5">
        <f>AA183</f>
        <v>100</v>
      </c>
      <c r="AD183" s="2" t="s">
        <v>282</v>
      </c>
      <c r="AF183" s="4" t="s">
        <v>144</v>
      </c>
      <c r="AG183" s="6">
        <f>AG188+AG192+AG195</f>
        <v>19.238683200000001</v>
      </c>
    </row>
    <row r="184" spans="24:33">
      <c r="X184" s="2" t="s">
        <v>283</v>
      </c>
      <c r="Y184" s="2" t="s">
        <v>284</v>
      </c>
      <c r="AC184" s="4" t="s">
        <v>122</v>
      </c>
      <c r="AD184" s="4" t="s">
        <v>285</v>
      </c>
      <c r="AE184" s="4" t="s">
        <v>286</v>
      </c>
      <c r="AF184" s="4" t="s">
        <v>287</v>
      </c>
      <c r="AG184" s="4" t="s">
        <v>288</v>
      </c>
    </row>
    <row r="185" spans="24:33">
      <c r="Y185" s="7" t="s">
        <v>289</v>
      </c>
    </row>
    <row r="186" spans="24:33">
      <c r="Y186" t="s">
        <v>650</v>
      </c>
      <c r="AC186" s="8" t="s">
        <v>291</v>
      </c>
      <c r="AD186" s="9">
        <v>1</v>
      </c>
      <c r="AE186" s="10">
        <f>AD186*8/$AA$183</f>
        <v>0.08</v>
      </c>
      <c r="AF186" s="12">
        <v>34.729999999999997</v>
      </c>
      <c r="AG186" s="12">
        <f>AE186*AF186</f>
        <v>2.7784</v>
      </c>
    </row>
    <row r="187" spans="24:33">
      <c r="Y187" t="s">
        <v>290</v>
      </c>
      <c r="AC187" s="8" t="s">
        <v>291</v>
      </c>
      <c r="AD187" s="9">
        <v>0.2</v>
      </c>
      <c r="AE187" s="10">
        <f t="shared" ref="AE187" si="12">AD187*8/$AA$183</f>
        <v>1.6E-2</v>
      </c>
      <c r="AF187" s="12">
        <v>28.94</v>
      </c>
      <c r="AG187" s="12">
        <f>AE187*AF187</f>
        <v>0.46304000000000001</v>
      </c>
    </row>
    <row r="188" spans="24:33">
      <c r="AC188" s="8"/>
      <c r="AD188" s="9"/>
      <c r="AE188" s="10"/>
      <c r="AF188" s="12"/>
      <c r="AG188" s="6">
        <f>SUM(AG186:AG187)</f>
        <v>3.2414399999999999</v>
      </c>
    </row>
    <row r="189" spans="24:33">
      <c r="Y189" s="7" t="s">
        <v>294</v>
      </c>
      <c r="AC189" s="8"/>
    </row>
    <row r="190" spans="24:33">
      <c r="Y190" t="s">
        <v>729</v>
      </c>
      <c r="AC190" s="8" t="s">
        <v>133</v>
      </c>
      <c r="AE190" s="10">
        <v>0.05</v>
      </c>
      <c r="AF190" s="12">
        <v>18</v>
      </c>
      <c r="AG190" s="12">
        <f>AE190*AF190</f>
        <v>0.9</v>
      </c>
    </row>
    <row r="191" spans="24:33">
      <c r="Y191" t="s">
        <v>730</v>
      </c>
      <c r="AC191" s="8" t="s">
        <v>439</v>
      </c>
      <c r="AE191" s="10">
        <v>0.1</v>
      </c>
      <c r="AF191" s="12">
        <v>150</v>
      </c>
      <c r="AG191" s="12">
        <f>AE191*AF191</f>
        <v>15</v>
      </c>
    </row>
    <row r="192" spans="24:33">
      <c r="AG192" s="6">
        <f>SUM(AG190:AG191)</f>
        <v>15.9</v>
      </c>
    </row>
    <row r="193" spans="24:33">
      <c r="Y193" s="7" t="s">
        <v>317</v>
      </c>
    </row>
    <row r="194" spans="24:33">
      <c r="Y194" t="s">
        <v>310</v>
      </c>
      <c r="AC194" s="8" t="s">
        <v>311</v>
      </c>
      <c r="AE194" s="10">
        <v>3</v>
      </c>
      <c r="AF194" s="12">
        <f>AG188</f>
        <v>3.2414399999999999</v>
      </c>
      <c r="AG194" s="12">
        <f>AE194%*AF194</f>
        <v>9.7243199999999988E-2</v>
      </c>
    </row>
    <row r="195" spans="24:33">
      <c r="X195" s="14"/>
      <c r="Y195" s="14"/>
      <c r="Z195" s="14"/>
      <c r="AA195" s="14"/>
      <c r="AB195" s="14"/>
      <c r="AC195" s="14"/>
      <c r="AD195" s="14"/>
      <c r="AE195" s="14"/>
      <c r="AF195" s="14"/>
      <c r="AG195" s="16">
        <f>SUM(AG194)</f>
        <v>9.7243199999999988E-2</v>
      </c>
    </row>
    <row r="197" spans="24:33">
      <c r="X197" s="2" t="s">
        <v>964</v>
      </c>
      <c r="Y197" s="2"/>
      <c r="Z197" s="2" t="s">
        <v>605</v>
      </c>
      <c r="AA197" s="2"/>
      <c r="AB197" s="2"/>
      <c r="AC197" s="2"/>
      <c r="AD197" s="2"/>
      <c r="AE197" s="2"/>
      <c r="AF197" s="2"/>
    </row>
    <row r="198" spans="24:33">
      <c r="X198" s="2" t="s">
        <v>278</v>
      </c>
      <c r="Y198" s="2" t="s">
        <v>313</v>
      </c>
      <c r="Z198" s="4" t="s">
        <v>280</v>
      </c>
      <c r="AA198" s="5">
        <v>100</v>
      </c>
      <c r="AB198" s="4" t="s">
        <v>281</v>
      </c>
      <c r="AC198" s="5">
        <f>AA198</f>
        <v>100</v>
      </c>
      <c r="AD198" s="2" t="s">
        <v>282</v>
      </c>
      <c r="AF198" s="4" t="s">
        <v>144</v>
      </c>
      <c r="AG198" s="6">
        <f>AG203+AG207+AG210</f>
        <v>19.238683200000001</v>
      </c>
    </row>
    <row r="199" spans="24:33">
      <c r="X199" s="2" t="s">
        <v>283</v>
      </c>
      <c r="Y199" s="2" t="s">
        <v>284</v>
      </c>
      <c r="AC199" s="4" t="s">
        <v>122</v>
      </c>
      <c r="AD199" s="4" t="s">
        <v>285</v>
      </c>
      <c r="AE199" s="4" t="s">
        <v>286</v>
      </c>
      <c r="AF199" s="4" t="s">
        <v>287</v>
      </c>
      <c r="AG199" s="4" t="s">
        <v>288</v>
      </c>
    </row>
    <row r="200" spans="24:33">
      <c r="Y200" s="7" t="s">
        <v>289</v>
      </c>
    </row>
    <row r="201" spans="24:33">
      <c r="Y201" t="s">
        <v>650</v>
      </c>
      <c r="AC201" s="8" t="s">
        <v>291</v>
      </c>
      <c r="AD201" s="9">
        <v>1</v>
      </c>
      <c r="AE201" s="10">
        <f>AD201*8/$AA$198</f>
        <v>0.08</v>
      </c>
      <c r="AF201" s="12">
        <v>34.729999999999997</v>
      </c>
      <c r="AG201" s="12">
        <f>AE201*AF201</f>
        <v>2.7784</v>
      </c>
    </row>
    <row r="202" spans="24:33">
      <c r="Y202" t="s">
        <v>290</v>
      </c>
      <c r="AC202" s="8" t="s">
        <v>291</v>
      </c>
      <c r="AD202" s="9">
        <v>0.2</v>
      </c>
      <c r="AE202" s="10">
        <f>AD202*8/$AA$198</f>
        <v>1.6E-2</v>
      </c>
      <c r="AF202" s="12">
        <v>28.94</v>
      </c>
      <c r="AG202" s="12">
        <f>AE202*AF202</f>
        <v>0.46304000000000001</v>
      </c>
    </row>
    <row r="203" spans="24:33">
      <c r="AC203" s="8"/>
      <c r="AD203" s="9"/>
      <c r="AE203" s="10"/>
      <c r="AF203" s="12"/>
      <c r="AG203" s="6">
        <f>SUM(AG201:AG202)</f>
        <v>3.2414399999999999</v>
      </c>
    </row>
    <row r="204" spans="24:33">
      <c r="Y204" s="7" t="s">
        <v>294</v>
      </c>
      <c r="AC204" s="8"/>
    </row>
    <row r="205" spans="24:33">
      <c r="Y205" t="s">
        <v>729</v>
      </c>
      <c r="AC205" s="8" t="s">
        <v>133</v>
      </c>
      <c r="AE205" s="10">
        <v>0.05</v>
      </c>
      <c r="AF205" s="12">
        <v>18</v>
      </c>
      <c r="AG205" s="12">
        <f>AE205*AF205</f>
        <v>0.9</v>
      </c>
    </row>
    <row r="206" spans="24:33">
      <c r="Y206" t="s">
        <v>730</v>
      </c>
      <c r="AC206" s="8" t="s">
        <v>439</v>
      </c>
      <c r="AE206" s="10">
        <v>0.1</v>
      </c>
      <c r="AF206" s="12">
        <v>150</v>
      </c>
      <c r="AG206" s="12">
        <f>AE206*AF206</f>
        <v>15</v>
      </c>
    </row>
    <row r="207" spans="24:33">
      <c r="AG207" s="6">
        <f>SUM(AG205:AG206)</f>
        <v>15.9</v>
      </c>
    </row>
    <row r="208" spans="24:33">
      <c r="Y208" s="7" t="s">
        <v>317</v>
      </c>
    </row>
    <row r="209" spans="24:33">
      <c r="Y209" t="s">
        <v>310</v>
      </c>
      <c r="AC209" s="8" t="s">
        <v>311</v>
      </c>
      <c r="AE209" s="10">
        <v>3</v>
      </c>
      <c r="AF209" s="12">
        <f>AG203</f>
        <v>3.2414399999999999</v>
      </c>
      <c r="AG209" s="12">
        <f>AE209%*AF209</f>
        <v>9.7243199999999988E-2</v>
      </c>
    </row>
    <row r="210" spans="24:33">
      <c r="X210" s="14"/>
      <c r="Y210" s="14"/>
      <c r="Z210" s="14"/>
      <c r="AA210" s="14"/>
      <c r="AB210" s="14"/>
      <c r="AC210" s="14"/>
      <c r="AD210" s="14"/>
      <c r="AE210" s="14"/>
      <c r="AF210" s="14"/>
      <c r="AG210" s="16">
        <f>SUM(AG209)</f>
        <v>9.7243199999999988E-2</v>
      </c>
    </row>
    <row r="212" spans="24:33">
      <c r="X212" s="2" t="s">
        <v>277</v>
      </c>
      <c r="Y212" s="2"/>
      <c r="Z212" s="2" t="s">
        <v>607</v>
      </c>
      <c r="AA212" s="2"/>
    </row>
    <row r="213" spans="24:33">
      <c r="X213" s="2" t="s">
        <v>278</v>
      </c>
      <c r="Y213" s="2" t="s">
        <v>313</v>
      </c>
      <c r="Z213" s="4" t="s">
        <v>280</v>
      </c>
      <c r="AA213" s="5">
        <v>1</v>
      </c>
      <c r="AB213" s="4" t="s">
        <v>281</v>
      </c>
      <c r="AC213" s="5">
        <f>AA213</f>
        <v>1</v>
      </c>
      <c r="AD213" s="2" t="s">
        <v>282</v>
      </c>
      <c r="AF213" s="4" t="s">
        <v>144</v>
      </c>
      <c r="AG213" s="6">
        <f>AG217</f>
        <v>616.64</v>
      </c>
    </row>
    <row r="214" spans="24:33">
      <c r="X214" s="2" t="s">
        <v>283</v>
      </c>
      <c r="Y214" s="2" t="s">
        <v>284</v>
      </c>
      <c r="AC214" s="4" t="s">
        <v>122</v>
      </c>
      <c r="AD214" s="4" t="s">
        <v>285</v>
      </c>
      <c r="AE214" s="4" t="s">
        <v>286</v>
      </c>
      <c r="AF214" s="4" t="s">
        <v>287</v>
      </c>
      <c r="AG214" s="4" t="s">
        <v>288</v>
      </c>
    </row>
    <row r="215" spans="24:33">
      <c r="Y215" s="7" t="s">
        <v>289</v>
      </c>
    </row>
    <row r="216" spans="24:33">
      <c r="Y216" t="s">
        <v>607</v>
      </c>
      <c r="AE216" s="10">
        <v>1</v>
      </c>
      <c r="AF216" s="12">
        <v>616.64</v>
      </c>
      <c r="AG216" s="12">
        <f>AE216*AF216</f>
        <v>616.64</v>
      </c>
    </row>
    <row r="217" spans="24:33">
      <c r="X217" s="14"/>
      <c r="Y217" s="14"/>
      <c r="Z217" s="14"/>
      <c r="AA217" s="14"/>
      <c r="AB217" s="14"/>
      <c r="AC217" s="44"/>
      <c r="AD217" s="14"/>
      <c r="AE217" s="46"/>
      <c r="AF217" s="106"/>
      <c r="AG217" s="16">
        <f>SUM(AG216)</f>
        <v>616.64</v>
      </c>
    </row>
    <row r="219" spans="24:33">
      <c r="X219" s="2" t="s">
        <v>964</v>
      </c>
      <c r="Y219" s="2"/>
      <c r="Z219" s="2" t="s">
        <v>1336</v>
      </c>
      <c r="AA219" s="2"/>
      <c r="AB219" s="2"/>
      <c r="AC219" s="2"/>
      <c r="AD219" s="2"/>
      <c r="AE219" s="2"/>
      <c r="AF219" s="2"/>
    </row>
    <row r="220" spans="24:33">
      <c r="X220" s="2" t="s">
        <v>278</v>
      </c>
      <c r="Y220" s="2" t="s">
        <v>279</v>
      </c>
      <c r="Z220" s="4" t="s">
        <v>280</v>
      </c>
      <c r="AA220" s="5">
        <v>10</v>
      </c>
      <c r="AB220" s="4" t="s">
        <v>281</v>
      </c>
      <c r="AC220" s="5">
        <f>AA220</f>
        <v>10</v>
      </c>
      <c r="AD220" s="2" t="s">
        <v>282</v>
      </c>
      <c r="AF220" s="4" t="s">
        <v>133</v>
      </c>
      <c r="AG220" s="6">
        <f>AG226+AG230+AG233</f>
        <v>51.058431999999996</v>
      </c>
    </row>
    <row r="221" spans="24:33">
      <c r="X221" s="2" t="s">
        <v>283</v>
      </c>
      <c r="Y221" s="2" t="s">
        <v>284</v>
      </c>
      <c r="AC221" s="4" t="s">
        <v>122</v>
      </c>
      <c r="AD221" s="4" t="s">
        <v>285</v>
      </c>
      <c r="AE221" s="4" t="s">
        <v>286</v>
      </c>
      <c r="AF221" s="4" t="s">
        <v>287</v>
      </c>
      <c r="AG221" s="4" t="s">
        <v>288</v>
      </c>
    </row>
    <row r="222" spans="24:33">
      <c r="Y222" s="7" t="s">
        <v>289</v>
      </c>
    </row>
    <row r="223" spans="24:33">
      <c r="Y223" t="s">
        <v>650</v>
      </c>
      <c r="AC223" s="8" t="s">
        <v>291</v>
      </c>
      <c r="AD223" s="9">
        <v>0.1</v>
      </c>
      <c r="AE223" s="10">
        <f>AD223*8/$AA$220</f>
        <v>0.08</v>
      </c>
      <c r="AF223" s="12">
        <v>34.729999999999997</v>
      </c>
      <c r="AG223" s="12">
        <f>AE223*AF223</f>
        <v>2.7784</v>
      </c>
    </row>
    <row r="224" spans="24:33">
      <c r="Y224" t="s">
        <v>290</v>
      </c>
      <c r="AC224" s="8" t="s">
        <v>291</v>
      </c>
      <c r="AD224" s="9">
        <v>1</v>
      </c>
      <c r="AE224" s="10">
        <f t="shared" ref="AE224:AE225" si="13">AD224*8/$AA$220</f>
        <v>0.8</v>
      </c>
      <c r="AF224" s="12">
        <v>28.94</v>
      </c>
      <c r="AG224" s="12">
        <f>AE224*AF224</f>
        <v>23.152000000000001</v>
      </c>
    </row>
    <row r="225" spans="13:33">
      <c r="Y225" t="s">
        <v>293</v>
      </c>
      <c r="AC225" s="8" t="s">
        <v>291</v>
      </c>
      <c r="AD225" s="9">
        <v>0.5</v>
      </c>
      <c r="AE225" s="10">
        <f t="shared" si="13"/>
        <v>0.4</v>
      </c>
      <c r="AF225" s="12">
        <v>20.51</v>
      </c>
      <c r="AG225" s="12">
        <f>AE225*AF225</f>
        <v>8.2040000000000006</v>
      </c>
    </row>
    <row r="226" spans="13:33">
      <c r="AG226" s="6">
        <f>SUM(AG223:AG225)</f>
        <v>34.134399999999999</v>
      </c>
    </row>
    <row r="227" spans="13:33">
      <c r="Y227" s="7" t="s">
        <v>294</v>
      </c>
      <c r="AC227" s="8"/>
    </row>
    <row r="228" spans="13:33">
      <c r="Y228" t="s">
        <v>961</v>
      </c>
      <c r="AC228" s="8" t="s">
        <v>439</v>
      </c>
      <c r="AE228" s="10">
        <v>0.05</v>
      </c>
      <c r="AF228" s="12">
        <v>18</v>
      </c>
      <c r="AG228" s="12">
        <f>AE228*AF228</f>
        <v>0.9</v>
      </c>
    </row>
    <row r="229" spans="13:33">
      <c r="Y229" t="s">
        <v>962</v>
      </c>
      <c r="AC229" s="8" t="s">
        <v>439</v>
      </c>
      <c r="AE229" s="10">
        <v>0.1</v>
      </c>
      <c r="AF229" s="12">
        <v>150</v>
      </c>
      <c r="AG229" s="12">
        <f>AE229*AF229</f>
        <v>15</v>
      </c>
    </row>
    <row r="230" spans="13:33">
      <c r="AG230" s="6">
        <f>SUM(AG228:AG229)</f>
        <v>15.9</v>
      </c>
    </row>
    <row r="231" spans="13:33">
      <c r="Y231" s="7" t="s">
        <v>317</v>
      </c>
    </row>
    <row r="232" spans="13:33">
      <c r="Y232" t="s">
        <v>310</v>
      </c>
      <c r="AC232" s="8" t="s">
        <v>311</v>
      </c>
      <c r="AE232" s="10">
        <v>3</v>
      </c>
      <c r="AF232" s="12">
        <f>AG226</f>
        <v>34.134399999999999</v>
      </c>
      <c r="AG232" s="12">
        <f>AE232%*AF232</f>
        <v>1.0240320000000001</v>
      </c>
    </row>
    <row r="233" spans="13:33">
      <c r="X233" s="14"/>
      <c r="Y233" s="14"/>
      <c r="Z233" s="14"/>
      <c r="AA233" s="14"/>
      <c r="AB233" s="14"/>
      <c r="AC233" s="14"/>
      <c r="AD233" s="14"/>
      <c r="AE233" s="14"/>
      <c r="AF233" s="14"/>
      <c r="AG233" s="16">
        <f>SUM(AG232)</f>
        <v>1.0240320000000001</v>
      </c>
    </row>
    <row r="234" spans="13:33">
      <c r="AG234" s="6"/>
    </row>
    <row r="235" spans="13:33">
      <c r="M235" s="2" t="s">
        <v>277</v>
      </c>
      <c r="N235" s="2"/>
      <c r="O235" s="2" t="s">
        <v>1355</v>
      </c>
      <c r="P235" s="2"/>
      <c r="Q235" s="2"/>
      <c r="R235" s="2"/>
      <c r="S235" s="2"/>
      <c r="T235" s="2"/>
      <c r="U235" s="2"/>
    </row>
    <row r="236" spans="13:33">
      <c r="M236" s="2" t="s">
        <v>278</v>
      </c>
      <c r="N236" s="2" t="s">
        <v>279</v>
      </c>
      <c r="O236" s="4" t="s">
        <v>280</v>
      </c>
      <c r="P236" s="5">
        <v>1</v>
      </c>
      <c r="Q236" s="4" t="s">
        <v>281</v>
      </c>
      <c r="R236" s="5">
        <f>P236</f>
        <v>1</v>
      </c>
      <c r="S236" s="2" t="s">
        <v>282</v>
      </c>
      <c r="U236" s="4" t="s">
        <v>133</v>
      </c>
      <c r="V236" s="6">
        <f>V240</f>
        <v>169.49</v>
      </c>
    </row>
    <row r="237" spans="13:33">
      <c r="M237" s="2" t="s">
        <v>283</v>
      </c>
      <c r="N237" s="2" t="s">
        <v>284</v>
      </c>
      <c r="R237" s="4" t="s">
        <v>122</v>
      </c>
      <c r="S237" s="4" t="s">
        <v>285</v>
      </c>
      <c r="T237" s="4" t="s">
        <v>286</v>
      </c>
      <c r="U237" s="4" t="s">
        <v>287</v>
      </c>
      <c r="V237" s="4" t="s">
        <v>288</v>
      </c>
    </row>
    <row r="238" spans="13:33">
      <c r="N238" s="7" t="s">
        <v>294</v>
      </c>
    </row>
    <row r="239" spans="13:33">
      <c r="N239" t="s">
        <v>1355</v>
      </c>
      <c r="R239" s="8" t="s">
        <v>133</v>
      </c>
      <c r="S239" s="9"/>
      <c r="T239" s="10">
        <v>1</v>
      </c>
      <c r="U239" s="12">
        <v>169.49</v>
      </c>
      <c r="V239" s="12">
        <f>T239*U239</f>
        <v>169.49</v>
      </c>
    </row>
    <row r="240" spans="13:33">
      <c r="M240" s="14"/>
      <c r="N240" s="14"/>
      <c r="O240" s="14"/>
      <c r="P240" s="14"/>
      <c r="Q240" s="14"/>
      <c r="R240" s="14"/>
      <c r="S240" s="14"/>
      <c r="T240" s="14"/>
      <c r="U240" s="14"/>
      <c r="V240" s="16">
        <f>SUM(V239)</f>
        <v>169.49</v>
      </c>
    </row>
    <row r="241" spans="13:22">
      <c r="R241" s="8"/>
      <c r="S241" s="9"/>
      <c r="T241" s="10"/>
      <c r="U241" s="12"/>
      <c r="V241" s="12"/>
    </row>
    <row r="242" spans="13:22">
      <c r="M242" s="2" t="s">
        <v>277</v>
      </c>
      <c r="N242" s="2"/>
      <c r="O242" s="2" t="s">
        <v>79</v>
      </c>
      <c r="P242" s="2"/>
      <c r="Q242" s="2"/>
      <c r="R242" s="2"/>
      <c r="S242" s="2"/>
      <c r="T242" s="2"/>
      <c r="U242" s="2"/>
    </row>
    <row r="243" spans="13:22">
      <c r="M243" s="2" t="s">
        <v>278</v>
      </c>
      <c r="N243" s="2" t="s">
        <v>325</v>
      </c>
      <c r="O243" s="4" t="s">
        <v>280</v>
      </c>
      <c r="P243" s="5">
        <v>1</v>
      </c>
      <c r="Q243" s="4" t="s">
        <v>281</v>
      </c>
      <c r="R243" s="5">
        <f>P243</f>
        <v>1</v>
      </c>
      <c r="S243" s="2" t="s">
        <v>282</v>
      </c>
      <c r="U243" s="4" t="s">
        <v>149</v>
      </c>
      <c r="V243" s="6">
        <f>V250+V269+V272</f>
        <v>2147.2003312655197</v>
      </c>
    </row>
    <row r="244" spans="13:22">
      <c r="M244" s="2" t="s">
        <v>283</v>
      </c>
      <c r="N244" s="2" t="s">
        <v>284</v>
      </c>
      <c r="R244" s="4" t="s">
        <v>122</v>
      </c>
      <c r="S244" s="4" t="s">
        <v>285</v>
      </c>
      <c r="T244" s="4" t="s">
        <v>286</v>
      </c>
      <c r="U244" s="4" t="s">
        <v>287</v>
      </c>
      <c r="V244" s="4" t="s">
        <v>288</v>
      </c>
    </row>
    <row r="245" spans="13:22">
      <c r="N245" s="7" t="s">
        <v>289</v>
      </c>
    </row>
    <row r="246" spans="13:22">
      <c r="N246" t="s">
        <v>650</v>
      </c>
      <c r="R246" s="8" t="s">
        <v>291</v>
      </c>
      <c r="S246" s="9">
        <v>0.1</v>
      </c>
      <c r="T246" s="10">
        <f>S246*8/$P$243</f>
        <v>0.8</v>
      </c>
      <c r="U246" s="12">
        <v>34.729999999999997</v>
      </c>
      <c r="V246" s="12">
        <f>T246*U246</f>
        <v>27.783999999999999</v>
      </c>
    </row>
    <row r="247" spans="13:22">
      <c r="N247" t="s">
        <v>290</v>
      </c>
      <c r="R247" s="8" t="s">
        <v>291</v>
      </c>
      <c r="S247" s="9">
        <v>1</v>
      </c>
      <c r="T247" s="10">
        <f>S247*8/$P$243</f>
        <v>8</v>
      </c>
      <c r="U247" s="12">
        <v>28.94</v>
      </c>
      <c r="V247" s="12">
        <f>T247*U247</f>
        <v>231.52</v>
      </c>
    </row>
    <row r="248" spans="13:22">
      <c r="N248" t="s">
        <v>679</v>
      </c>
      <c r="R248" s="8" t="s">
        <v>291</v>
      </c>
      <c r="S248" s="9">
        <v>1</v>
      </c>
      <c r="T248" s="10">
        <f>S248*8/$P$243</f>
        <v>8</v>
      </c>
      <c r="U248">
        <v>22.66</v>
      </c>
      <c r="V248" s="12">
        <f>T248*U248</f>
        <v>181.28</v>
      </c>
    </row>
    <row r="249" spans="13:22">
      <c r="N249" t="s">
        <v>293</v>
      </c>
      <c r="R249" s="8" t="s">
        <v>291</v>
      </c>
      <c r="S249" s="9">
        <v>2</v>
      </c>
      <c r="T249" s="10">
        <f>S249*8/$P$243</f>
        <v>16</v>
      </c>
      <c r="U249" s="12">
        <v>20.51</v>
      </c>
      <c r="V249" s="12">
        <f>T249*U249</f>
        <v>328.16</v>
      </c>
    </row>
    <row r="250" spans="13:22">
      <c r="V250" s="6">
        <f>SUM(V246:V249)</f>
        <v>768.74400000000014</v>
      </c>
    </row>
    <row r="251" spans="13:22">
      <c r="N251" s="7" t="s">
        <v>294</v>
      </c>
      <c r="R251" s="8"/>
    </row>
    <row r="252" spans="13:22">
      <c r="N252" s="214" t="s">
        <v>295</v>
      </c>
      <c r="R252" s="8" t="s">
        <v>296</v>
      </c>
      <c r="T252" s="10">
        <v>0.5</v>
      </c>
      <c r="U252">
        <v>2.64</v>
      </c>
      <c r="V252" s="12">
        <f>T252*U252</f>
        <v>1.32</v>
      </c>
    </row>
    <row r="253" spans="13:22">
      <c r="N253" s="214" t="s">
        <v>726</v>
      </c>
      <c r="R253" s="8" t="s">
        <v>296</v>
      </c>
      <c r="T253" s="10">
        <v>0.59200000000000008</v>
      </c>
      <c r="U253">
        <v>4.16</v>
      </c>
      <c r="V253" s="12">
        <f t="shared" ref="V253:V268" si="14">T253*U253</f>
        <v>2.4627200000000005</v>
      </c>
    </row>
    <row r="254" spans="13:22">
      <c r="N254" s="214" t="s">
        <v>970</v>
      </c>
      <c r="R254" s="8" t="s">
        <v>133</v>
      </c>
      <c r="T254" s="10">
        <v>0.03</v>
      </c>
      <c r="U254">
        <v>83.22</v>
      </c>
      <c r="V254" s="12">
        <f t="shared" si="14"/>
        <v>2.4965999999999999</v>
      </c>
    </row>
    <row r="255" spans="13:22">
      <c r="N255" s="215" t="s">
        <v>896</v>
      </c>
      <c r="R255" s="8" t="s">
        <v>203</v>
      </c>
      <c r="T255" s="10">
        <v>0.13800000000000001</v>
      </c>
      <c r="U255">
        <v>50.85</v>
      </c>
      <c r="V255" s="12">
        <f t="shared" si="14"/>
        <v>7.0173000000000005</v>
      </c>
    </row>
    <row r="256" spans="13:22">
      <c r="N256" s="214" t="s">
        <v>700</v>
      </c>
      <c r="R256" s="8" t="s">
        <v>203</v>
      </c>
      <c r="T256" s="10">
        <v>0.255</v>
      </c>
      <c r="U256" s="12">
        <v>47</v>
      </c>
      <c r="V256" s="12">
        <f t="shared" si="14"/>
        <v>11.984999999999999</v>
      </c>
    </row>
    <row r="257" spans="13:22">
      <c r="N257" s="214" t="s">
        <v>721</v>
      </c>
      <c r="R257" s="8" t="s">
        <v>431</v>
      </c>
      <c r="T257" s="10">
        <v>4.3260000000000005</v>
      </c>
      <c r="U257">
        <v>24.52</v>
      </c>
      <c r="V257" s="12">
        <f t="shared" si="14"/>
        <v>106.07352000000002</v>
      </c>
    </row>
    <row r="258" spans="13:22">
      <c r="N258" s="214" t="s">
        <v>308</v>
      </c>
      <c r="R258" s="8" t="s">
        <v>305</v>
      </c>
      <c r="S258" s="9"/>
      <c r="T258" s="10">
        <v>12.116</v>
      </c>
      <c r="U258" s="12">
        <v>8.8000000000000007</v>
      </c>
      <c r="V258" s="12">
        <f t="shared" si="14"/>
        <v>106.6208</v>
      </c>
    </row>
    <row r="259" spans="13:22">
      <c r="N259" s="214" t="s">
        <v>971</v>
      </c>
      <c r="R259" s="8" t="s">
        <v>439</v>
      </c>
      <c r="S259" s="9"/>
      <c r="T259" s="10">
        <v>5.7000000000000002E-2</v>
      </c>
      <c r="U259" s="12">
        <v>38.979999999999997</v>
      </c>
      <c r="V259" s="12">
        <f t="shared" si="14"/>
        <v>2.2218599999999999</v>
      </c>
    </row>
    <row r="260" spans="13:22">
      <c r="N260" s="214" t="s">
        <v>972</v>
      </c>
      <c r="R260" s="8" t="s">
        <v>439</v>
      </c>
      <c r="S260" s="9"/>
      <c r="T260" s="10">
        <v>0.1</v>
      </c>
      <c r="U260" s="12">
        <v>94</v>
      </c>
      <c r="V260" s="12">
        <f t="shared" si="14"/>
        <v>9.4</v>
      </c>
    </row>
    <row r="261" spans="13:22">
      <c r="N261" s="214" t="s">
        <v>973</v>
      </c>
      <c r="R261" s="8" t="s">
        <v>144</v>
      </c>
      <c r="S261" s="9"/>
      <c r="T261" s="10">
        <v>2.7</v>
      </c>
      <c r="U261" s="12">
        <v>52.704000000000001</v>
      </c>
      <c r="V261" s="12">
        <f t="shared" si="14"/>
        <v>142.30080000000001</v>
      </c>
    </row>
    <row r="262" spans="13:22">
      <c r="N262" s="214" t="s">
        <v>974</v>
      </c>
      <c r="R262" s="8" t="s">
        <v>144</v>
      </c>
      <c r="T262" s="10">
        <v>2.7</v>
      </c>
      <c r="U262" s="12">
        <v>101.49180000000001</v>
      </c>
      <c r="V262" s="12">
        <f t="shared" si="14"/>
        <v>274.02786000000003</v>
      </c>
    </row>
    <row r="263" spans="13:22">
      <c r="N263" s="214" t="s">
        <v>975</v>
      </c>
      <c r="R263" s="8" t="s">
        <v>144</v>
      </c>
      <c r="T263" s="10">
        <v>3.3000000000000003</v>
      </c>
      <c r="U263" s="12">
        <v>123.01260000000001</v>
      </c>
      <c r="V263" s="12">
        <f t="shared" si="14"/>
        <v>405.94158000000004</v>
      </c>
    </row>
    <row r="264" spans="13:22">
      <c r="N264" s="214" t="s">
        <v>976</v>
      </c>
      <c r="R264" s="8" t="s">
        <v>144</v>
      </c>
      <c r="T264" s="10">
        <v>18</v>
      </c>
      <c r="U264" s="12">
        <v>14.815447614898712</v>
      </c>
      <c r="V264" s="12">
        <f t="shared" si="14"/>
        <v>266.67805706817683</v>
      </c>
    </row>
    <row r="265" spans="13:22">
      <c r="N265" s="214" t="s">
        <v>977</v>
      </c>
      <c r="R265" s="8" t="s">
        <v>149</v>
      </c>
      <c r="T265" s="10">
        <v>6</v>
      </c>
      <c r="U265" s="12">
        <v>0.67</v>
      </c>
      <c r="V265" s="12">
        <f t="shared" si="14"/>
        <v>4.0200000000000005</v>
      </c>
    </row>
    <row r="266" spans="13:22">
      <c r="N266" s="214" t="s">
        <v>978</v>
      </c>
      <c r="R266" s="8" t="s">
        <v>149</v>
      </c>
      <c r="T266" s="10">
        <v>6</v>
      </c>
      <c r="U266" s="12">
        <v>0.62883903289043774</v>
      </c>
      <c r="V266" s="12">
        <f t="shared" si="14"/>
        <v>3.7730341973426267</v>
      </c>
    </row>
    <row r="267" spans="13:22">
      <c r="N267" s="214" t="s">
        <v>979</v>
      </c>
      <c r="R267" s="8" t="s">
        <v>296</v>
      </c>
      <c r="T267" s="10">
        <v>0.1</v>
      </c>
      <c r="U267" s="12">
        <v>84.9</v>
      </c>
      <c r="V267" s="12">
        <f t="shared" si="14"/>
        <v>8.49</v>
      </c>
    </row>
    <row r="268" spans="13:22">
      <c r="N268" s="214" t="s">
        <v>664</v>
      </c>
      <c r="R268" s="8" t="s">
        <v>203</v>
      </c>
      <c r="T268" s="10">
        <v>9.1999999999999998E-2</v>
      </c>
      <c r="U268" s="12">
        <v>6.14</v>
      </c>
      <c r="V268" s="12">
        <f t="shared" si="14"/>
        <v>0.56487999999999994</v>
      </c>
    </row>
    <row r="269" spans="13:22">
      <c r="V269" s="6">
        <f>SUM(V252:V268)</f>
        <v>1355.3940112655196</v>
      </c>
    </row>
    <row r="270" spans="13:22">
      <c r="N270" s="7" t="s">
        <v>317</v>
      </c>
    </row>
    <row r="271" spans="13:22">
      <c r="N271" t="s">
        <v>310</v>
      </c>
      <c r="R271" s="8" t="s">
        <v>311</v>
      </c>
      <c r="T271" s="10">
        <v>3</v>
      </c>
      <c r="U271" s="12">
        <f>V250</f>
        <v>768.74400000000014</v>
      </c>
      <c r="V271" s="12">
        <f>T271%*U271</f>
        <v>23.062320000000003</v>
      </c>
    </row>
    <row r="272" spans="13:22">
      <c r="M272" s="14"/>
      <c r="N272" s="14"/>
      <c r="O272" s="14"/>
      <c r="P272" s="14"/>
      <c r="Q272" s="14"/>
      <c r="R272" s="14"/>
      <c r="S272" s="14"/>
      <c r="T272" s="14"/>
      <c r="U272" s="14"/>
      <c r="V272" s="16">
        <f>SUM(V271)</f>
        <v>23.062320000000003</v>
      </c>
    </row>
    <row r="273" spans="6:33">
      <c r="R273" s="8"/>
      <c r="S273" s="9"/>
      <c r="T273" s="10"/>
      <c r="U273" s="12"/>
      <c r="V273" s="12"/>
    </row>
    <row r="274" spans="6:33">
      <c r="F274" s="97"/>
      <c r="G274" s="103"/>
      <c r="H274" s="134"/>
      <c r="I274" s="204"/>
      <c r="J274" s="134"/>
      <c r="K274" s="211"/>
      <c r="M274" s="2" t="s">
        <v>277</v>
      </c>
      <c r="N274" s="2"/>
      <c r="O274" s="2" t="s">
        <v>1356</v>
      </c>
      <c r="P274" s="2"/>
      <c r="Q274" s="2"/>
      <c r="R274" s="2"/>
      <c r="S274" s="2"/>
      <c r="T274" s="2"/>
      <c r="U274" s="2"/>
    </row>
    <row r="275" spans="6:33">
      <c r="F275" s="97"/>
      <c r="G275" s="103"/>
      <c r="H275" s="134"/>
      <c r="I275" s="204"/>
      <c r="J275" s="134"/>
      <c r="K275" s="211"/>
      <c r="M275" s="2" t="s">
        <v>278</v>
      </c>
      <c r="N275" s="2" t="s">
        <v>279</v>
      </c>
      <c r="O275" s="4" t="s">
        <v>280</v>
      </c>
      <c r="P275" s="5">
        <v>1</v>
      </c>
      <c r="Q275" s="4" t="s">
        <v>281</v>
      </c>
      <c r="R275" s="5">
        <f>P275</f>
        <v>1</v>
      </c>
      <c r="S275" s="2" t="s">
        <v>282</v>
      </c>
      <c r="U275" s="4" t="s">
        <v>133</v>
      </c>
      <c r="V275" s="6">
        <f>V289</f>
        <v>136.58560240992</v>
      </c>
      <c r="X275" s="2" t="s">
        <v>964</v>
      </c>
      <c r="Y275" s="2"/>
      <c r="Z275" s="2" t="s">
        <v>620</v>
      </c>
      <c r="AA275" s="2"/>
      <c r="AB275" s="2"/>
      <c r="AC275" s="2"/>
      <c r="AD275" s="2"/>
      <c r="AE275" s="2"/>
      <c r="AF275" s="2"/>
    </row>
    <row r="276" spans="6:33">
      <c r="F276" s="97"/>
      <c r="G276" s="103"/>
      <c r="H276" s="134"/>
      <c r="I276" s="204"/>
      <c r="J276" s="134"/>
      <c r="K276" s="211"/>
      <c r="M276" s="2" t="s">
        <v>283</v>
      </c>
      <c r="N276" s="2" t="s">
        <v>284</v>
      </c>
      <c r="R276" s="4" t="s">
        <v>122</v>
      </c>
      <c r="S276" s="4" t="s">
        <v>285</v>
      </c>
      <c r="T276" s="4" t="s">
        <v>286</v>
      </c>
      <c r="U276" s="4" t="s">
        <v>287</v>
      </c>
      <c r="V276" s="4" t="s">
        <v>288</v>
      </c>
      <c r="X276" s="2" t="s">
        <v>278</v>
      </c>
      <c r="Y276" s="2" t="s">
        <v>416</v>
      </c>
      <c r="Z276" s="4" t="s">
        <v>280</v>
      </c>
      <c r="AA276" s="5">
        <v>25</v>
      </c>
      <c r="AB276" s="4" t="s">
        <v>281</v>
      </c>
      <c r="AC276" s="5">
        <f>AA276</f>
        <v>25</v>
      </c>
      <c r="AD276" s="2" t="s">
        <v>282</v>
      </c>
      <c r="AF276" s="4" t="s">
        <v>203</v>
      </c>
      <c r="AG276" s="6">
        <f>AG283+AG288+AG292</f>
        <v>447.90066880000001</v>
      </c>
    </row>
    <row r="277" spans="6:33">
      <c r="F277" s="205"/>
      <c r="G277" s="212"/>
      <c r="H277" s="206"/>
      <c r="I277" s="207"/>
      <c r="J277" s="134"/>
      <c r="K277" s="211"/>
      <c r="N277" s="7" t="s">
        <v>294</v>
      </c>
      <c r="X277" s="2" t="s">
        <v>283</v>
      </c>
      <c r="Y277" s="2" t="s">
        <v>284</v>
      </c>
      <c r="AC277" s="4" t="s">
        <v>122</v>
      </c>
      <c r="AD277" s="4" t="s">
        <v>285</v>
      </c>
      <c r="AE277" s="4" t="s">
        <v>286</v>
      </c>
      <c r="AF277" s="4" t="s">
        <v>287</v>
      </c>
      <c r="AG277" s="4" t="s">
        <v>288</v>
      </c>
    </row>
    <row r="278" spans="6:33">
      <c r="F278" s="208"/>
      <c r="G278" s="213"/>
      <c r="H278" s="208"/>
      <c r="I278" s="209"/>
      <c r="J278" s="210"/>
      <c r="K278" s="211"/>
      <c r="N278" s="104"/>
      <c r="R278" s="8"/>
      <c r="S278" s="9"/>
      <c r="T278" s="204"/>
      <c r="U278" s="12"/>
      <c r="V278" s="12"/>
      <c r="Y278" s="7" t="s">
        <v>289</v>
      </c>
    </row>
    <row r="279" spans="6:33">
      <c r="F279" s="208"/>
      <c r="G279" s="213"/>
      <c r="H279" s="208"/>
      <c r="I279" s="209"/>
      <c r="J279" s="210"/>
      <c r="K279" s="211"/>
      <c r="N279" s="104"/>
      <c r="R279" s="8"/>
      <c r="T279" s="204"/>
      <c r="U279" s="12"/>
      <c r="V279" s="12"/>
      <c r="Y279" t="s">
        <v>650</v>
      </c>
      <c r="AC279" s="8" t="s">
        <v>291</v>
      </c>
      <c r="AD279" s="9">
        <v>0.1</v>
      </c>
      <c r="AE279" s="10">
        <f>AD279*8/$AA$276</f>
        <v>3.2000000000000001E-2</v>
      </c>
      <c r="AF279" s="12">
        <v>34.729999999999997</v>
      </c>
      <c r="AG279" s="12">
        <f>AE279*AF279</f>
        <v>1.1113599999999999</v>
      </c>
    </row>
    <row r="280" spans="6:33">
      <c r="F280" s="208"/>
      <c r="G280" s="213"/>
      <c r="H280" s="208"/>
      <c r="I280" s="209"/>
      <c r="J280" s="210"/>
      <c r="K280" s="211"/>
      <c r="N280" s="104" t="s">
        <v>1329</v>
      </c>
      <c r="R280" s="8" t="s">
        <v>133</v>
      </c>
      <c r="S280" s="9"/>
      <c r="T280" s="204">
        <v>1</v>
      </c>
      <c r="U280" s="12">
        <f>AG74</f>
        <v>7.9303440000000007</v>
      </c>
      <c r="V280" s="12">
        <f>T280*U280</f>
        <v>7.9303440000000007</v>
      </c>
      <c r="Y280" t="s">
        <v>290</v>
      </c>
      <c r="AC280" s="8" t="s">
        <v>291</v>
      </c>
      <c r="AD280" s="9">
        <v>2</v>
      </c>
      <c r="AE280" s="10">
        <f>AD280*8/$AA$276</f>
        <v>0.64</v>
      </c>
      <c r="AF280" s="12">
        <v>28.94</v>
      </c>
      <c r="AG280" s="12">
        <f>AE280*AF280</f>
        <v>18.521600000000003</v>
      </c>
    </row>
    <row r="281" spans="6:33">
      <c r="F281" s="208"/>
      <c r="G281" s="213"/>
      <c r="H281" s="208"/>
      <c r="I281" s="209"/>
      <c r="J281" s="210"/>
      <c r="K281" s="211"/>
      <c r="N281" s="205" t="s">
        <v>1331</v>
      </c>
      <c r="R281" s="8" t="s">
        <v>133</v>
      </c>
      <c r="S281" s="9"/>
      <c r="T281" s="207">
        <v>0.33</v>
      </c>
      <c r="U281" s="12">
        <f>AG89</f>
        <v>77.227704800000012</v>
      </c>
      <c r="V281" s="12">
        <f t="shared" ref="V281:V288" si="15">T281*U281</f>
        <v>25.485142584000005</v>
      </c>
      <c r="Y281" t="s">
        <v>292</v>
      </c>
      <c r="AC281" s="8" t="s">
        <v>291</v>
      </c>
      <c r="AD281" s="9">
        <v>1</v>
      </c>
      <c r="AE281" s="10">
        <f>AD281*8/$AA$276</f>
        <v>0.32</v>
      </c>
      <c r="AF281" s="12">
        <v>22.66</v>
      </c>
      <c r="AG281" s="12">
        <f>AE281*AF281</f>
        <v>7.2511999999999999</v>
      </c>
    </row>
    <row r="282" spans="6:33">
      <c r="F282" s="208"/>
      <c r="G282" s="213"/>
      <c r="H282" s="208"/>
      <c r="I282" s="209"/>
      <c r="J282" s="210"/>
      <c r="K282" s="211"/>
      <c r="N282" s="208" t="s">
        <v>620</v>
      </c>
      <c r="R282" s="8" t="s">
        <v>133</v>
      </c>
      <c r="S282" s="9"/>
      <c r="T282" s="209">
        <v>0.12</v>
      </c>
      <c r="U282" s="12">
        <f>AG276</f>
        <v>447.90066880000001</v>
      </c>
      <c r="V282" s="12">
        <f t="shared" si="15"/>
        <v>53.748080256000001</v>
      </c>
      <c r="Y282" t="s">
        <v>293</v>
      </c>
      <c r="AC282" s="8" t="s">
        <v>291</v>
      </c>
      <c r="AD282" s="9">
        <v>4</v>
      </c>
      <c r="AE282" s="10">
        <f>AD282*8/$AA$276</f>
        <v>1.28</v>
      </c>
      <c r="AF282" s="12">
        <v>20.51</v>
      </c>
      <c r="AG282" s="12">
        <f>AE282*AF282</f>
        <v>26.252800000000004</v>
      </c>
    </row>
    <row r="283" spans="6:33">
      <c r="F283" s="208"/>
      <c r="G283" s="213"/>
      <c r="H283" s="208"/>
      <c r="I283" s="209"/>
      <c r="J283" s="210"/>
      <c r="K283" s="211"/>
      <c r="N283" s="208" t="s">
        <v>622</v>
      </c>
      <c r="R283" s="8" t="s">
        <v>203</v>
      </c>
      <c r="S283" s="9"/>
      <c r="T283" s="209">
        <v>1.4E-2</v>
      </c>
      <c r="U283" s="12">
        <f>AG295</f>
        <v>447.90066880000001</v>
      </c>
      <c r="V283" s="12">
        <f t="shared" si="15"/>
        <v>6.2706093632000002</v>
      </c>
      <c r="AG283" s="6">
        <f>SUM(AG279:AG282)</f>
        <v>53.136960000000009</v>
      </c>
    </row>
    <row r="284" spans="6:33">
      <c r="F284" s="208"/>
      <c r="G284" s="213"/>
      <c r="H284" s="208"/>
      <c r="I284" s="209"/>
      <c r="J284" s="210"/>
      <c r="K284" s="211"/>
      <c r="N284" s="208" t="s">
        <v>597</v>
      </c>
      <c r="R284" s="8" t="s">
        <v>133</v>
      </c>
      <c r="S284" s="9"/>
      <c r="T284" s="209">
        <v>0.2</v>
      </c>
      <c r="U284" s="12">
        <f>AG144</f>
        <v>118.01356480000003</v>
      </c>
      <c r="V284" s="12">
        <f>T284*U284</f>
        <v>23.602712960000005</v>
      </c>
      <c r="Y284" s="7" t="s">
        <v>294</v>
      </c>
    </row>
    <row r="285" spans="6:33">
      <c r="N285" s="208" t="s">
        <v>601</v>
      </c>
      <c r="R285" s="8" t="s">
        <v>133</v>
      </c>
      <c r="S285" s="9"/>
      <c r="T285" s="209">
        <v>1</v>
      </c>
      <c r="U285" s="12">
        <f>AG170</f>
        <v>2.9418735999999996</v>
      </c>
      <c r="V285" s="12">
        <f t="shared" si="15"/>
        <v>2.9418735999999996</v>
      </c>
      <c r="Y285" t="s">
        <v>721</v>
      </c>
      <c r="AB285" t="s">
        <v>296</v>
      </c>
      <c r="AE285" s="10">
        <v>0.1</v>
      </c>
      <c r="AF285" s="12">
        <v>24.52</v>
      </c>
      <c r="AG285" s="12">
        <f>AE285*AF285</f>
        <v>2.452</v>
      </c>
    </row>
    <row r="286" spans="6:33">
      <c r="N286" s="208" t="s">
        <v>841</v>
      </c>
      <c r="R286" s="8" t="s">
        <v>133</v>
      </c>
      <c r="S286" s="9"/>
      <c r="T286" s="209">
        <v>1</v>
      </c>
      <c r="U286" s="12">
        <f>AG314</f>
        <v>9.8809960000000014</v>
      </c>
      <c r="V286" s="12">
        <f t="shared" si="15"/>
        <v>9.8809960000000014</v>
      </c>
      <c r="Y286" t="s">
        <v>732</v>
      </c>
      <c r="AB286" t="s">
        <v>296</v>
      </c>
      <c r="AE286" s="10">
        <v>1.05</v>
      </c>
      <c r="AF286" s="12">
        <v>340</v>
      </c>
      <c r="AG286" s="12">
        <f>AE286*AF286</f>
        <v>357</v>
      </c>
    </row>
    <row r="287" spans="6:33">
      <c r="N287" s="208" t="s">
        <v>603</v>
      </c>
      <c r="R287" s="8" t="s">
        <v>144</v>
      </c>
      <c r="S287" s="9"/>
      <c r="T287" s="209">
        <v>0.16070000000000001</v>
      </c>
      <c r="U287" s="12">
        <f>AG183</f>
        <v>19.238683200000001</v>
      </c>
      <c r="V287" s="12">
        <f t="shared" si="15"/>
        <v>3.0916563902400003</v>
      </c>
      <c r="Y287" t="s">
        <v>723</v>
      </c>
      <c r="AB287" t="s">
        <v>305</v>
      </c>
      <c r="AE287" s="10">
        <v>1.05</v>
      </c>
      <c r="AF287" s="12">
        <v>30</v>
      </c>
      <c r="AG287" s="12">
        <f>AE287*AF287</f>
        <v>31.5</v>
      </c>
    </row>
    <row r="288" spans="6:33">
      <c r="N288" s="208" t="s">
        <v>605</v>
      </c>
      <c r="R288" s="8" t="s">
        <v>144</v>
      </c>
      <c r="S288" s="9"/>
      <c r="T288" s="209">
        <v>0.18890000000000001</v>
      </c>
      <c r="U288" s="12">
        <f>AG198</f>
        <v>19.238683200000001</v>
      </c>
      <c r="V288" s="12">
        <f t="shared" si="15"/>
        <v>3.6341872564800002</v>
      </c>
      <c r="AG288" s="6">
        <f>SUM(AG285:AG287)</f>
        <v>390.952</v>
      </c>
    </row>
    <row r="289" spans="13:33">
      <c r="M289" s="14"/>
      <c r="N289" s="14"/>
      <c r="O289" s="14"/>
      <c r="P289" s="14"/>
      <c r="Q289" s="14"/>
      <c r="R289" s="14"/>
      <c r="S289" s="14"/>
      <c r="T289" s="14"/>
      <c r="U289" s="14"/>
      <c r="V289" s="16">
        <f>SUM(V278:V288)</f>
        <v>136.58560240992</v>
      </c>
      <c r="Y289" s="7" t="s">
        <v>317</v>
      </c>
    </row>
    <row r="290" spans="13:33">
      <c r="R290" s="8"/>
      <c r="S290" s="9"/>
      <c r="T290" s="10"/>
      <c r="U290" s="12"/>
      <c r="V290" s="12"/>
      <c r="Y290" t="s">
        <v>310</v>
      </c>
      <c r="AC290" s="8" t="s">
        <v>311</v>
      </c>
      <c r="AE290" s="10">
        <v>3</v>
      </c>
      <c r="AF290" s="12">
        <f>AG283</f>
        <v>53.136960000000009</v>
      </c>
      <c r="AG290" s="12">
        <f>AE290%*AF290</f>
        <v>1.5941088000000001</v>
      </c>
    </row>
    <row r="291" spans="13:33">
      <c r="R291" s="8"/>
      <c r="S291" s="9"/>
      <c r="T291" s="10"/>
      <c r="U291" s="12"/>
      <c r="V291" s="12"/>
      <c r="Y291" t="s">
        <v>724</v>
      </c>
      <c r="AC291" s="8" t="s">
        <v>337</v>
      </c>
      <c r="AD291" s="9">
        <v>1</v>
      </c>
      <c r="AE291" s="10">
        <f>AD291*8/$AA$276</f>
        <v>0.32</v>
      </c>
      <c r="AF291" s="12">
        <v>6.93</v>
      </c>
      <c r="AG291" s="12">
        <f>AE291*AF291</f>
        <v>2.2176</v>
      </c>
    </row>
    <row r="292" spans="13:33">
      <c r="R292" s="8"/>
      <c r="S292" s="9"/>
      <c r="T292" s="10"/>
      <c r="U292" s="12"/>
      <c r="V292" s="12"/>
      <c r="X292" s="14"/>
      <c r="Y292" s="14"/>
      <c r="Z292" s="14"/>
      <c r="AA292" s="14"/>
      <c r="AB292" s="14"/>
      <c r="AC292" s="14"/>
      <c r="AD292" s="14"/>
      <c r="AE292" s="14"/>
      <c r="AF292" s="14"/>
      <c r="AG292" s="16">
        <f>SUM(AG290:AG291)</f>
        <v>3.8117087999999999</v>
      </c>
    </row>
    <row r="293" spans="13:33">
      <c r="R293" s="8"/>
      <c r="S293" s="9"/>
      <c r="T293" s="10"/>
      <c r="U293" s="12"/>
      <c r="V293" s="12"/>
      <c r="AC293" s="8"/>
      <c r="AE293" s="10"/>
      <c r="AF293" s="12"/>
      <c r="AG293" s="12"/>
    </row>
    <row r="294" spans="13:33">
      <c r="R294" s="8"/>
      <c r="S294" s="9"/>
      <c r="T294" s="10"/>
      <c r="U294" s="12"/>
      <c r="V294" s="12"/>
      <c r="X294" s="2" t="s">
        <v>964</v>
      </c>
      <c r="Y294" s="2"/>
      <c r="Z294" s="2" t="s">
        <v>622</v>
      </c>
      <c r="AA294" s="2"/>
      <c r="AB294" s="2"/>
      <c r="AC294" s="2"/>
      <c r="AD294" s="2"/>
      <c r="AE294" s="2"/>
      <c r="AF294" s="2"/>
    </row>
    <row r="295" spans="13:33">
      <c r="R295" s="8"/>
      <c r="S295" s="9"/>
      <c r="T295" s="10"/>
      <c r="U295" s="12"/>
      <c r="V295" s="12"/>
      <c r="X295" s="2" t="s">
        <v>278</v>
      </c>
      <c r="Y295" s="2" t="s">
        <v>416</v>
      </c>
      <c r="Z295" s="4" t="s">
        <v>280</v>
      </c>
      <c r="AA295" s="5">
        <v>25</v>
      </c>
      <c r="AB295" s="4" t="s">
        <v>281</v>
      </c>
      <c r="AC295" s="5">
        <f>AA295</f>
        <v>25</v>
      </c>
      <c r="AD295" s="2" t="s">
        <v>282</v>
      </c>
      <c r="AF295" s="4" t="s">
        <v>203</v>
      </c>
      <c r="AG295" s="6">
        <f>AG302+AG307+AG311</f>
        <v>447.90066880000001</v>
      </c>
    </row>
    <row r="296" spans="13:33">
      <c r="R296" s="8"/>
      <c r="S296" s="9"/>
      <c r="T296" s="10"/>
      <c r="U296" s="12"/>
      <c r="V296" s="12"/>
      <c r="X296" s="2" t="s">
        <v>283</v>
      </c>
      <c r="Y296" s="2" t="s">
        <v>284</v>
      </c>
      <c r="AC296" s="4" t="s">
        <v>122</v>
      </c>
      <c r="AD296" s="4" t="s">
        <v>285</v>
      </c>
      <c r="AE296" s="4" t="s">
        <v>286</v>
      </c>
      <c r="AF296" s="4" t="s">
        <v>287</v>
      </c>
      <c r="AG296" s="4" t="s">
        <v>288</v>
      </c>
    </row>
    <row r="297" spans="13:33">
      <c r="R297" s="8"/>
      <c r="S297" s="9"/>
      <c r="T297" s="10"/>
      <c r="U297" s="12"/>
      <c r="V297" s="12"/>
      <c r="Y297" s="7" t="s">
        <v>289</v>
      </c>
    </row>
    <row r="298" spans="13:33">
      <c r="R298" s="8"/>
      <c r="S298" s="9"/>
      <c r="T298" s="10"/>
      <c r="U298" s="12"/>
      <c r="V298" s="12"/>
      <c r="Y298" t="s">
        <v>650</v>
      </c>
      <c r="AC298" s="8" t="s">
        <v>291</v>
      </c>
      <c r="AD298" s="9">
        <v>0.1</v>
      </c>
      <c r="AE298" s="10">
        <f>AD298*8/$AA$295</f>
        <v>3.2000000000000001E-2</v>
      </c>
      <c r="AF298" s="12">
        <v>34.729999999999997</v>
      </c>
      <c r="AG298" s="12">
        <f>AE298*AF298</f>
        <v>1.1113599999999999</v>
      </c>
    </row>
    <row r="299" spans="13:33">
      <c r="R299" s="8"/>
      <c r="S299" s="9"/>
      <c r="T299" s="10"/>
      <c r="U299" s="12"/>
      <c r="V299" s="12"/>
      <c r="Y299" t="s">
        <v>290</v>
      </c>
      <c r="AC299" s="8" t="s">
        <v>291</v>
      </c>
      <c r="AD299" s="9">
        <v>2</v>
      </c>
      <c r="AE299" s="10">
        <f>AD299*8/$AA$295</f>
        <v>0.64</v>
      </c>
      <c r="AF299" s="12">
        <v>28.94</v>
      </c>
      <c r="AG299" s="12">
        <f>AE299*AF299</f>
        <v>18.521600000000003</v>
      </c>
    </row>
    <row r="300" spans="13:33">
      <c r="R300" s="8"/>
      <c r="S300" s="9"/>
      <c r="T300" s="10"/>
      <c r="U300" s="12"/>
      <c r="V300" s="12"/>
      <c r="Y300" t="s">
        <v>292</v>
      </c>
      <c r="AC300" s="8" t="s">
        <v>291</v>
      </c>
      <c r="AD300" s="9">
        <v>1</v>
      </c>
      <c r="AE300" s="10">
        <f>AD300*8/$AA$295</f>
        <v>0.32</v>
      </c>
      <c r="AF300" s="12">
        <v>22.66</v>
      </c>
      <c r="AG300" s="12">
        <f>AE300*AF300</f>
        <v>7.2511999999999999</v>
      </c>
    </row>
    <row r="301" spans="13:33">
      <c r="R301" s="8"/>
      <c r="S301" s="9"/>
      <c r="T301" s="10"/>
      <c r="U301" s="12"/>
      <c r="V301" s="12"/>
      <c r="Y301" t="s">
        <v>293</v>
      </c>
      <c r="AC301" s="8" t="s">
        <v>291</v>
      </c>
      <c r="AD301" s="9">
        <v>4</v>
      </c>
      <c r="AE301" s="10">
        <f>AD301*8/$AA$295</f>
        <v>1.28</v>
      </c>
      <c r="AF301" s="12">
        <v>20.51</v>
      </c>
      <c r="AG301" s="12">
        <f>AE301*AF301</f>
        <v>26.252800000000004</v>
      </c>
    </row>
    <row r="302" spans="13:33">
      <c r="R302" s="8"/>
      <c r="S302" s="9"/>
      <c r="T302" s="10"/>
      <c r="U302" s="12"/>
      <c r="V302" s="12"/>
      <c r="AG302" s="6">
        <f>SUM(AG298:AG301)</f>
        <v>53.136960000000009</v>
      </c>
    </row>
    <row r="303" spans="13:33">
      <c r="R303" s="8"/>
      <c r="S303" s="9"/>
      <c r="T303" s="10"/>
      <c r="U303" s="12"/>
      <c r="V303" s="12"/>
      <c r="Y303" s="7" t="s">
        <v>294</v>
      </c>
    </row>
    <row r="304" spans="13:33">
      <c r="R304" s="8"/>
      <c r="S304" s="9"/>
      <c r="T304" s="10"/>
      <c r="U304" s="12"/>
      <c r="V304" s="12"/>
      <c r="Y304" t="s">
        <v>721</v>
      </c>
      <c r="AB304" t="s">
        <v>296</v>
      </c>
      <c r="AE304" s="10">
        <v>0.1</v>
      </c>
      <c r="AF304" s="12">
        <v>24.52</v>
      </c>
      <c r="AG304" s="12">
        <f>AE304*AF304</f>
        <v>2.452</v>
      </c>
    </row>
    <row r="305" spans="18:33">
      <c r="R305" s="8"/>
      <c r="S305" s="9"/>
      <c r="T305" s="10"/>
      <c r="U305" s="12"/>
      <c r="V305" s="12"/>
      <c r="Y305" t="s">
        <v>732</v>
      </c>
      <c r="AB305" t="s">
        <v>296</v>
      </c>
      <c r="AE305" s="10">
        <v>1.05</v>
      </c>
      <c r="AF305" s="12">
        <v>340</v>
      </c>
      <c r="AG305" s="12">
        <f>AE305*AF305</f>
        <v>357</v>
      </c>
    </row>
    <row r="306" spans="18:33">
      <c r="R306" s="8"/>
      <c r="S306" s="9"/>
      <c r="T306" s="10"/>
      <c r="U306" s="12"/>
      <c r="V306" s="12"/>
      <c r="Y306" t="s">
        <v>723</v>
      </c>
      <c r="AB306" t="s">
        <v>305</v>
      </c>
      <c r="AE306" s="10">
        <v>1.05</v>
      </c>
      <c r="AF306" s="12">
        <v>30</v>
      </c>
      <c r="AG306" s="12">
        <f>AE306*AF306</f>
        <v>31.5</v>
      </c>
    </row>
    <row r="307" spans="18:33">
      <c r="R307" s="8"/>
      <c r="S307" s="9"/>
      <c r="T307" s="10"/>
      <c r="U307" s="12"/>
      <c r="V307" s="12"/>
      <c r="AG307" s="6">
        <f>SUM(AG304:AG306)</f>
        <v>390.952</v>
      </c>
    </row>
    <row r="308" spans="18:33">
      <c r="R308" s="8"/>
      <c r="S308" s="9"/>
      <c r="T308" s="10"/>
      <c r="U308" s="12"/>
      <c r="V308" s="12"/>
      <c r="Y308" s="7" t="s">
        <v>317</v>
      </c>
    </row>
    <row r="309" spans="18:33">
      <c r="R309" s="8"/>
      <c r="S309" s="9"/>
      <c r="T309" s="10"/>
      <c r="U309" s="12"/>
      <c r="V309" s="12"/>
      <c r="Y309" t="s">
        <v>310</v>
      </c>
      <c r="AC309" s="8" t="s">
        <v>311</v>
      </c>
      <c r="AE309" s="10">
        <v>3</v>
      </c>
      <c r="AF309" s="12">
        <f>AG302</f>
        <v>53.136960000000009</v>
      </c>
      <c r="AG309" s="12">
        <f>AE309%*AF309</f>
        <v>1.5941088000000001</v>
      </c>
    </row>
    <row r="310" spans="18:33">
      <c r="R310" s="8"/>
      <c r="S310" s="9"/>
      <c r="T310" s="10"/>
      <c r="U310" s="12"/>
      <c r="V310" s="12"/>
      <c r="Y310" t="s">
        <v>724</v>
      </c>
      <c r="AC310" s="8" t="s">
        <v>337</v>
      </c>
      <c r="AD310" s="9">
        <v>1</v>
      </c>
      <c r="AE310" s="10">
        <f>AD310*8/$AA$295</f>
        <v>0.32</v>
      </c>
      <c r="AF310" s="12">
        <v>6.93</v>
      </c>
      <c r="AG310" s="12">
        <f>AE310*AF310</f>
        <v>2.2176</v>
      </c>
    </row>
    <row r="311" spans="18:33">
      <c r="R311" s="8"/>
      <c r="S311" s="9"/>
      <c r="T311" s="10"/>
      <c r="U311" s="12"/>
      <c r="V311" s="12"/>
      <c r="X311" s="14"/>
      <c r="Y311" s="14"/>
      <c r="Z311" s="14"/>
      <c r="AA311" s="14"/>
      <c r="AB311" s="14"/>
      <c r="AC311" s="14"/>
      <c r="AD311" s="14"/>
      <c r="AE311" s="14"/>
      <c r="AF311" s="14"/>
      <c r="AG311" s="16">
        <f>SUM(AG309:AG310)</f>
        <v>3.8117087999999999</v>
      </c>
    </row>
    <row r="312" spans="18:33">
      <c r="R312" s="8"/>
      <c r="S312" s="9"/>
      <c r="T312" s="10"/>
      <c r="U312" s="12"/>
      <c r="V312" s="12"/>
      <c r="AC312" s="8"/>
      <c r="AE312" s="10"/>
      <c r="AF312" s="12"/>
      <c r="AG312" s="12"/>
    </row>
    <row r="313" spans="18:33">
      <c r="R313" s="8"/>
      <c r="S313" s="9"/>
      <c r="T313" s="10"/>
      <c r="U313" s="12"/>
      <c r="V313" s="12"/>
      <c r="X313" s="2" t="s">
        <v>964</v>
      </c>
      <c r="Y313" s="2"/>
      <c r="Z313" s="2" t="s">
        <v>841</v>
      </c>
      <c r="AA313" s="2"/>
      <c r="AB313" s="2"/>
      <c r="AC313" s="2"/>
      <c r="AD313" s="2"/>
      <c r="AE313" s="2"/>
      <c r="AF313" s="2"/>
    </row>
    <row r="314" spans="18:33">
      <c r="R314" s="8"/>
      <c r="S314" s="9"/>
      <c r="T314" s="10"/>
      <c r="U314" s="12"/>
      <c r="V314" s="12"/>
      <c r="X314" s="2" t="s">
        <v>278</v>
      </c>
      <c r="Y314" s="2" t="s">
        <v>279</v>
      </c>
      <c r="Z314" s="4" t="s">
        <v>280</v>
      </c>
      <c r="AA314" s="5">
        <v>20</v>
      </c>
      <c r="AB314" s="4" t="s">
        <v>281</v>
      </c>
      <c r="AC314" s="5">
        <f>AA314</f>
        <v>20</v>
      </c>
      <c r="AD314" s="2" t="s">
        <v>282</v>
      </c>
      <c r="AF314" s="4" t="s">
        <v>133</v>
      </c>
      <c r="AG314" s="6">
        <f>AG319+AG322</f>
        <v>9.8809960000000014</v>
      </c>
    </row>
    <row r="315" spans="18:33">
      <c r="R315" s="8"/>
      <c r="S315" s="9"/>
      <c r="T315" s="10"/>
      <c r="U315" s="12"/>
      <c r="V315" s="12"/>
      <c r="X315" s="2" t="s">
        <v>283</v>
      </c>
      <c r="Y315" s="2" t="s">
        <v>284</v>
      </c>
      <c r="AC315" s="4" t="s">
        <v>122</v>
      </c>
      <c r="AD315" s="4" t="s">
        <v>285</v>
      </c>
      <c r="AE315" s="4" t="s">
        <v>286</v>
      </c>
      <c r="AF315" s="4" t="s">
        <v>287</v>
      </c>
      <c r="AG315" s="4" t="s">
        <v>288</v>
      </c>
    </row>
    <row r="316" spans="18:33">
      <c r="R316" s="8"/>
      <c r="S316" s="9"/>
      <c r="T316" s="10"/>
      <c r="U316" s="12"/>
      <c r="V316" s="12"/>
      <c r="Y316" s="7" t="s">
        <v>289</v>
      </c>
    </row>
    <row r="317" spans="18:33">
      <c r="R317" s="8"/>
      <c r="S317" s="9"/>
      <c r="T317" s="10"/>
      <c r="U317" s="12"/>
      <c r="V317" s="12"/>
      <c r="Y317" t="s">
        <v>650</v>
      </c>
      <c r="AC317" s="8" t="s">
        <v>291</v>
      </c>
      <c r="AD317" s="9">
        <v>0.1</v>
      </c>
      <c r="AE317" s="10">
        <f>AD317*8/$AA$314</f>
        <v>0.04</v>
      </c>
      <c r="AF317" s="12">
        <v>34.729999999999997</v>
      </c>
      <c r="AG317" s="12">
        <f>AE317*AF317</f>
        <v>1.3892</v>
      </c>
    </row>
    <row r="318" spans="18:33">
      <c r="R318" s="8"/>
      <c r="S318" s="9"/>
      <c r="T318" s="10"/>
      <c r="U318" s="12"/>
      <c r="V318" s="12"/>
      <c r="Y318" t="s">
        <v>293</v>
      </c>
      <c r="AC318" s="8" t="s">
        <v>291</v>
      </c>
      <c r="AD318" s="9">
        <v>1</v>
      </c>
      <c r="AE318" s="10">
        <f>AD318*8/$AA$314</f>
        <v>0.4</v>
      </c>
      <c r="AF318" s="12">
        <v>20.51</v>
      </c>
      <c r="AG318" s="12">
        <f>AE318*AF318</f>
        <v>8.2040000000000006</v>
      </c>
    </row>
    <row r="319" spans="18:33">
      <c r="R319" s="8"/>
      <c r="S319" s="9"/>
      <c r="T319" s="10"/>
      <c r="U319" s="12"/>
      <c r="V319" s="12"/>
      <c r="AG319" s="6">
        <f>SUM(AG317:AG318)</f>
        <v>9.5932000000000013</v>
      </c>
    </row>
    <row r="320" spans="18:33">
      <c r="R320" s="8"/>
      <c r="S320" s="9"/>
      <c r="T320" s="10"/>
      <c r="U320" s="12"/>
      <c r="V320" s="12"/>
      <c r="Y320" s="7" t="s">
        <v>317</v>
      </c>
    </row>
    <row r="321" spans="12:33">
      <c r="R321" s="8"/>
      <c r="S321" s="9"/>
      <c r="T321" s="10"/>
      <c r="U321" s="12"/>
      <c r="V321" s="12"/>
      <c r="Y321" t="s">
        <v>310</v>
      </c>
      <c r="AC321" s="8" t="s">
        <v>311</v>
      </c>
      <c r="AE321" s="10">
        <v>3</v>
      </c>
      <c r="AF321" s="12">
        <f>AG319</f>
        <v>9.5932000000000013</v>
      </c>
      <c r="AG321" s="12">
        <f>AE321%*AF321</f>
        <v>0.28779600000000005</v>
      </c>
    </row>
    <row r="322" spans="12:33">
      <c r="R322" s="8"/>
      <c r="S322" s="9"/>
      <c r="T322" s="10"/>
      <c r="U322" s="12"/>
      <c r="V322" s="12"/>
      <c r="X322" s="14"/>
      <c r="Y322" s="14"/>
      <c r="Z322" s="14"/>
      <c r="AA322" s="14"/>
      <c r="AB322" s="14"/>
      <c r="AC322" s="14"/>
      <c r="AD322" s="14"/>
      <c r="AE322" s="14"/>
      <c r="AF322" s="14"/>
      <c r="AG322" s="16">
        <f>SUM(AG321)</f>
        <v>0.28779600000000005</v>
      </c>
    </row>
    <row r="323" spans="12:33">
      <c r="R323" s="8"/>
      <c r="S323" s="9"/>
      <c r="T323" s="10"/>
      <c r="U323" s="12"/>
      <c r="V323" s="12"/>
    </row>
    <row r="324" spans="12:33">
      <c r="M324" s="2" t="s">
        <v>277</v>
      </c>
      <c r="N324" s="2"/>
      <c r="O324" s="2" t="s">
        <v>1357</v>
      </c>
      <c r="P324" s="2"/>
      <c r="Q324" s="2"/>
      <c r="R324" s="2"/>
      <c r="S324" s="2"/>
      <c r="T324" s="2"/>
      <c r="U324" s="2"/>
      <c r="X324" s="2" t="s">
        <v>735</v>
      </c>
      <c r="Y324" s="2"/>
      <c r="Z324" s="2" t="s">
        <v>844</v>
      </c>
      <c r="AA324" s="2"/>
      <c r="AB324" s="2"/>
      <c r="AC324" s="2"/>
      <c r="AD324" s="2"/>
      <c r="AE324" s="2"/>
      <c r="AF324" s="2"/>
    </row>
    <row r="325" spans="12:33">
      <c r="M325" s="2" t="s">
        <v>278</v>
      </c>
      <c r="N325" s="2" t="s">
        <v>279</v>
      </c>
      <c r="O325" s="4" t="s">
        <v>280</v>
      </c>
      <c r="P325" s="5">
        <v>1</v>
      </c>
      <c r="Q325" s="4" t="s">
        <v>281</v>
      </c>
      <c r="R325" s="5">
        <f>P325</f>
        <v>1</v>
      </c>
      <c r="S325" s="2" t="s">
        <v>282</v>
      </c>
      <c r="U325" s="4" t="s">
        <v>133</v>
      </c>
      <c r="V325" s="6">
        <f>V338</f>
        <v>171.72583913333716</v>
      </c>
      <c r="X325" s="2" t="s">
        <v>278</v>
      </c>
      <c r="Y325" s="2" t="s">
        <v>331</v>
      </c>
      <c r="Z325" s="4" t="s">
        <v>280</v>
      </c>
      <c r="AA325" s="5">
        <v>1</v>
      </c>
      <c r="AB325" s="4" t="s">
        <v>281</v>
      </c>
      <c r="AC325" s="5">
        <f>AA325</f>
        <v>1</v>
      </c>
      <c r="AD325" s="2" t="s">
        <v>282</v>
      </c>
      <c r="AF325" s="4" t="s">
        <v>154</v>
      </c>
      <c r="AG325" s="6">
        <f>AG329</f>
        <v>22</v>
      </c>
    </row>
    <row r="326" spans="12:33">
      <c r="M326" s="2" t="s">
        <v>283</v>
      </c>
      <c r="N326" s="2" t="s">
        <v>284</v>
      </c>
      <c r="R326" s="4" t="s">
        <v>122</v>
      </c>
      <c r="S326" s="4" t="s">
        <v>285</v>
      </c>
      <c r="T326" s="4" t="s">
        <v>286</v>
      </c>
      <c r="U326" s="4" t="s">
        <v>287</v>
      </c>
      <c r="V326" s="4" t="s">
        <v>288</v>
      </c>
      <c r="X326" s="2" t="s">
        <v>283</v>
      </c>
      <c r="Y326" s="2" t="s">
        <v>284</v>
      </c>
      <c r="AC326" s="4" t="s">
        <v>122</v>
      </c>
      <c r="AD326" s="4" t="s">
        <v>285</v>
      </c>
      <c r="AE326" s="4" t="s">
        <v>286</v>
      </c>
      <c r="AF326" s="4" t="s">
        <v>287</v>
      </c>
      <c r="AG326" s="4" t="s">
        <v>288</v>
      </c>
    </row>
    <row r="327" spans="12:33">
      <c r="N327" s="7" t="s">
        <v>294</v>
      </c>
      <c r="Y327" s="7" t="s">
        <v>294</v>
      </c>
    </row>
    <row r="328" spans="12:33">
      <c r="L328" s="215"/>
      <c r="N328" s="215"/>
      <c r="R328" s="8"/>
      <c r="S328" s="9"/>
      <c r="T328" s="216"/>
      <c r="U328" s="12"/>
      <c r="V328" s="12"/>
      <c r="Y328" t="s">
        <v>965</v>
      </c>
      <c r="AC328" s="8" t="s">
        <v>149</v>
      </c>
      <c r="AD328" s="9"/>
      <c r="AE328" s="10">
        <v>1</v>
      </c>
      <c r="AF328">
        <v>22</v>
      </c>
      <c r="AG328" s="12">
        <f>AE328*AF328</f>
        <v>22</v>
      </c>
    </row>
    <row r="329" spans="12:33">
      <c r="L329" s="215"/>
      <c r="N329" s="215"/>
      <c r="R329" s="8"/>
      <c r="T329" s="216"/>
      <c r="U329" s="12"/>
      <c r="V329" s="12"/>
      <c r="X329" s="14"/>
      <c r="Y329" s="14"/>
      <c r="Z329" s="14"/>
      <c r="AA329" s="14"/>
      <c r="AB329" s="14"/>
      <c r="AC329" s="14"/>
      <c r="AD329" s="14"/>
      <c r="AE329" s="14"/>
      <c r="AF329" s="14"/>
      <c r="AG329" s="16">
        <f>SUM(AG328)</f>
        <v>22</v>
      </c>
    </row>
    <row r="330" spans="12:33">
      <c r="L330" s="215"/>
      <c r="N330" s="215" t="s">
        <v>1329</v>
      </c>
      <c r="R330" s="8" t="s">
        <v>203</v>
      </c>
      <c r="S330" s="9"/>
      <c r="T330" s="216">
        <v>1</v>
      </c>
      <c r="U330" s="12">
        <f>AG74</f>
        <v>7.9303440000000007</v>
      </c>
      <c r="V330" s="12">
        <f>T330*U330</f>
        <v>7.9303440000000007</v>
      </c>
    </row>
    <row r="331" spans="12:33">
      <c r="L331" s="217"/>
      <c r="N331" s="217" t="s">
        <v>1331</v>
      </c>
      <c r="R331" s="8" t="s">
        <v>133</v>
      </c>
      <c r="S331" s="9"/>
      <c r="T331" s="218">
        <v>0.33</v>
      </c>
      <c r="U331" s="12">
        <f>AG89</f>
        <v>77.227704800000012</v>
      </c>
      <c r="V331" s="12">
        <f t="shared" ref="V331:V337" si="16">T331*U331</f>
        <v>25.485142584000005</v>
      </c>
      <c r="X331" s="2" t="s">
        <v>964</v>
      </c>
      <c r="Y331" s="2"/>
      <c r="Z331" s="2" t="s">
        <v>629</v>
      </c>
      <c r="AA331" s="2"/>
      <c r="AB331" s="2"/>
      <c r="AC331" s="2"/>
      <c r="AD331" s="2"/>
      <c r="AE331" s="2"/>
      <c r="AF331" s="2"/>
    </row>
    <row r="332" spans="12:33">
      <c r="L332" s="217"/>
      <c r="N332" s="214" t="s">
        <v>844</v>
      </c>
      <c r="R332" s="8" t="s">
        <v>154</v>
      </c>
      <c r="S332" s="9"/>
      <c r="T332" s="219">
        <v>1</v>
      </c>
      <c r="U332" s="12">
        <f>AG325</f>
        <v>22</v>
      </c>
      <c r="V332" s="12">
        <f t="shared" si="16"/>
        <v>22</v>
      </c>
      <c r="X332" s="2" t="s">
        <v>278</v>
      </c>
      <c r="Y332" s="2" t="s">
        <v>279</v>
      </c>
      <c r="Z332" s="4" t="s">
        <v>280</v>
      </c>
      <c r="AA332" s="5">
        <v>12</v>
      </c>
      <c r="AB332" s="4" t="s">
        <v>281</v>
      </c>
      <c r="AC332" s="5">
        <f>AA332</f>
        <v>12</v>
      </c>
      <c r="AD332" s="2" t="s">
        <v>282</v>
      </c>
      <c r="AF332" s="4" t="s">
        <v>133</v>
      </c>
      <c r="AG332" s="6">
        <f>AG339+AG345+AG348</f>
        <v>84.674043333333344</v>
      </c>
    </row>
    <row r="333" spans="12:33">
      <c r="L333" s="214"/>
      <c r="N333" s="214" t="s">
        <v>629</v>
      </c>
      <c r="R333" s="8" t="s">
        <v>133</v>
      </c>
      <c r="S333" s="9"/>
      <c r="T333" s="219">
        <v>0.22500000000000001</v>
      </c>
      <c r="U333" s="12">
        <f>AG332</f>
        <v>84.674043333333344</v>
      </c>
      <c r="V333" s="12">
        <f t="shared" si="16"/>
        <v>19.051659750000002</v>
      </c>
      <c r="X333" s="2" t="s">
        <v>283</v>
      </c>
      <c r="Y333" s="2" t="s">
        <v>284</v>
      </c>
      <c r="AC333" s="4" t="s">
        <v>122</v>
      </c>
      <c r="AD333" s="4" t="s">
        <v>285</v>
      </c>
      <c r="AE333" s="4" t="s">
        <v>286</v>
      </c>
      <c r="AF333" s="4" t="s">
        <v>287</v>
      </c>
      <c r="AG333" s="4" t="s">
        <v>288</v>
      </c>
    </row>
    <row r="334" spans="12:33">
      <c r="L334" s="214"/>
      <c r="N334" s="214" t="s">
        <v>631</v>
      </c>
      <c r="R334" s="8" t="s">
        <v>296</v>
      </c>
      <c r="S334" s="9"/>
      <c r="T334" s="219">
        <v>0.2</v>
      </c>
      <c r="U334" s="12">
        <f>AG351</f>
        <v>7.5057997142857147</v>
      </c>
      <c r="V334" s="12">
        <f t="shared" si="16"/>
        <v>1.5011599428571429</v>
      </c>
      <c r="Y334" s="7" t="s">
        <v>289</v>
      </c>
    </row>
    <row r="335" spans="12:33">
      <c r="L335" s="214"/>
      <c r="N335" s="214" t="s">
        <v>1341</v>
      </c>
      <c r="R335" s="8" t="s">
        <v>133</v>
      </c>
      <c r="S335" s="9"/>
      <c r="T335" s="219">
        <v>1</v>
      </c>
      <c r="U335" s="12">
        <f>AG170</f>
        <v>2.9418735999999996</v>
      </c>
      <c r="V335" s="12">
        <f t="shared" si="16"/>
        <v>2.9418735999999996</v>
      </c>
      <c r="Y335" t="s">
        <v>650</v>
      </c>
      <c r="AC335" s="8" t="s">
        <v>291</v>
      </c>
      <c r="AD335" s="9">
        <v>0.1</v>
      </c>
      <c r="AE335" s="10">
        <f>AD335*8/$AA$332</f>
        <v>6.6666666666666666E-2</v>
      </c>
      <c r="AF335" s="12">
        <v>34.729999999999997</v>
      </c>
      <c r="AG335" s="12">
        <f>AE335*AF335</f>
        <v>2.3153333333333332</v>
      </c>
    </row>
    <row r="336" spans="12:33">
      <c r="L336" s="214"/>
      <c r="N336" s="214" t="s">
        <v>634</v>
      </c>
      <c r="R336" s="8" t="s">
        <v>203</v>
      </c>
      <c r="S336" s="9"/>
      <c r="T336" s="219">
        <v>0.2</v>
      </c>
      <c r="U336" s="12">
        <f>AG367</f>
        <v>445.90736000000004</v>
      </c>
      <c r="V336" s="12">
        <f t="shared" si="16"/>
        <v>89.181472000000014</v>
      </c>
      <c r="Y336" t="s">
        <v>290</v>
      </c>
      <c r="AC336" s="8" t="s">
        <v>291</v>
      </c>
      <c r="AD336" s="9">
        <v>1</v>
      </c>
      <c r="AE336" s="10">
        <f>AD336*8/$AA$332</f>
        <v>0.66666666666666663</v>
      </c>
      <c r="AF336" s="12">
        <v>28.94</v>
      </c>
      <c r="AG336" s="12">
        <f>AE336*AF336</f>
        <v>19.293333333333333</v>
      </c>
    </row>
    <row r="337" spans="12:34">
      <c r="L337" s="214"/>
      <c r="N337" s="214" t="s">
        <v>605</v>
      </c>
      <c r="R337" s="8" t="s">
        <v>144</v>
      </c>
      <c r="S337" s="9"/>
      <c r="T337" s="219">
        <v>0.18890000000000001</v>
      </c>
      <c r="U337" s="12">
        <f>AG198</f>
        <v>19.238683200000001</v>
      </c>
      <c r="V337" s="12">
        <f t="shared" si="16"/>
        <v>3.6341872564800002</v>
      </c>
      <c r="Y337" t="s">
        <v>292</v>
      </c>
      <c r="AC337" s="8" t="s">
        <v>291</v>
      </c>
      <c r="AD337" s="9">
        <v>1</v>
      </c>
      <c r="AE337" s="10">
        <f>AD337*8/$AA$332</f>
        <v>0.66666666666666663</v>
      </c>
      <c r="AF337" s="12">
        <v>22.66</v>
      </c>
      <c r="AG337" s="12">
        <f>AE337*AF337</f>
        <v>15.106666666666666</v>
      </c>
    </row>
    <row r="338" spans="12:34">
      <c r="M338" s="14"/>
      <c r="N338" s="14"/>
      <c r="O338" s="14"/>
      <c r="P338" s="14"/>
      <c r="Q338" s="14"/>
      <c r="R338" s="14"/>
      <c r="S338" s="14"/>
      <c r="T338" s="14"/>
      <c r="U338" s="14"/>
      <c r="V338" s="16">
        <f>SUM(V328:V337)</f>
        <v>171.72583913333716</v>
      </c>
      <c r="Y338" t="s">
        <v>293</v>
      </c>
      <c r="AC338" s="8" t="s">
        <v>291</v>
      </c>
      <c r="AD338" s="9">
        <v>0.75</v>
      </c>
      <c r="AE338" s="10">
        <f>AD338*8/$AA$332</f>
        <v>0.5</v>
      </c>
      <c r="AF338" s="12">
        <v>20.51</v>
      </c>
      <c r="AG338" s="12">
        <f>AE338*AF338</f>
        <v>10.255000000000001</v>
      </c>
    </row>
    <row r="339" spans="12:34">
      <c r="AG339" s="6">
        <f>SUM(AG335:AG338)</f>
        <v>46.970333333333336</v>
      </c>
    </row>
    <row r="340" spans="12:34">
      <c r="R340" s="8"/>
      <c r="S340" s="9"/>
      <c r="T340" s="10"/>
      <c r="U340" s="12"/>
      <c r="V340" s="12"/>
      <c r="Y340" s="7" t="s">
        <v>294</v>
      </c>
      <c r="AC340" s="8"/>
      <c r="AH340" s="6"/>
    </row>
    <row r="341" spans="12:34">
      <c r="R341" s="8"/>
      <c r="S341" s="9"/>
      <c r="T341" s="10"/>
      <c r="U341" s="12"/>
      <c r="V341" s="12"/>
      <c r="Y341" t="s">
        <v>688</v>
      </c>
      <c r="AC341" s="8" t="s">
        <v>296</v>
      </c>
      <c r="AE341" s="10">
        <v>0.1</v>
      </c>
      <c r="AF341" s="12">
        <v>2.64</v>
      </c>
      <c r="AG341" s="12">
        <f>AE341*AF341</f>
        <v>0.26400000000000001</v>
      </c>
    </row>
    <row r="342" spans="12:34">
      <c r="R342" s="8"/>
      <c r="S342" s="9"/>
      <c r="T342" s="10"/>
      <c r="U342" s="12"/>
      <c r="V342" s="12"/>
      <c r="Y342" t="s">
        <v>726</v>
      </c>
      <c r="AC342" s="8" t="s">
        <v>296</v>
      </c>
      <c r="AE342" s="10">
        <v>0.2</v>
      </c>
      <c r="AF342">
        <v>4.16</v>
      </c>
      <c r="AG342" s="12">
        <f>AE342*AF342</f>
        <v>0.83200000000000007</v>
      </c>
    </row>
    <row r="343" spans="12:34">
      <c r="R343" s="8"/>
      <c r="S343" s="9"/>
      <c r="T343" s="10"/>
      <c r="U343" s="12"/>
      <c r="V343" s="12"/>
      <c r="Y343" t="s">
        <v>733</v>
      </c>
      <c r="AC343" s="8" t="s">
        <v>149</v>
      </c>
      <c r="AE343" s="10">
        <v>7.0000000000000007E-2</v>
      </c>
      <c r="AF343">
        <v>43.98</v>
      </c>
      <c r="AG343" s="12">
        <f>AE343*AF343</f>
        <v>3.0786000000000002</v>
      </c>
    </row>
    <row r="344" spans="12:34">
      <c r="R344" s="8"/>
      <c r="S344" s="9"/>
      <c r="T344" s="10"/>
      <c r="U344" s="12"/>
      <c r="V344" s="12"/>
      <c r="Y344" t="s">
        <v>308</v>
      </c>
      <c r="AC344" s="8" t="s">
        <v>305</v>
      </c>
      <c r="AE344" s="10">
        <v>3.65</v>
      </c>
      <c r="AF344" s="12">
        <v>8.8000000000000007</v>
      </c>
      <c r="AG344" s="12">
        <f>AE344*AF344</f>
        <v>32.120000000000005</v>
      </c>
    </row>
    <row r="345" spans="12:34">
      <c r="R345" s="8"/>
      <c r="S345" s="9"/>
      <c r="T345" s="10"/>
      <c r="U345" s="12"/>
      <c r="V345" s="12"/>
      <c r="AG345" s="6">
        <f>SUM(AG341:AG344)</f>
        <v>36.294600000000003</v>
      </c>
    </row>
    <row r="346" spans="12:34">
      <c r="R346" s="8"/>
      <c r="S346" s="9"/>
      <c r="T346" s="10"/>
      <c r="U346" s="12"/>
      <c r="V346" s="12"/>
      <c r="Y346" s="7" t="s">
        <v>317</v>
      </c>
    </row>
    <row r="347" spans="12:34">
      <c r="R347" s="8"/>
      <c r="S347" s="9"/>
      <c r="T347" s="10"/>
      <c r="U347" s="12"/>
      <c r="V347" s="12"/>
      <c r="Y347" t="s">
        <v>310</v>
      </c>
      <c r="AC347" s="8" t="s">
        <v>311</v>
      </c>
      <c r="AE347" s="10">
        <v>3</v>
      </c>
      <c r="AF347" s="12">
        <f>AG339</f>
        <v>46.970333333333336</v>
      </c>
      <c r="AG347" s="12">
        <f>AE347%*AF347</f>
        <v>1.4091100000000001</v>
      </c>
    </row>
    <row r="348" spans="12:34">
      <c r="R348" s="8"/>
      <c r="S348" s="9"/>
      <c r="T348" s="10"/>
      <c r="U348" s="12"/>
      <c r="V348" s="12"/>
      <c r="X348" s="14"/>
      <c r="Y348" s="14"/>
      <c r="Z348" s="14"/>
      <c r="AA348" s="14"/>
      <c r="AB348" s="14"/>
      <c r="AC348" s="14"/>
      <c r="AD348" s="14"/>
      <c r="AE348" s="14"/>
      <c r="AF348" s="14"/>
      <c r="AG348" s="16">
        <f>SUM(AG347:AG347)</f>
        <v>1.4091100000000001</v>
      </c>
    </row>
    <row r="349" spans="12:34">
      <c r="R349" s="8"/>
      <c r="S349" s="9"/>
      <c r="T349" s="10"/>
      <c r="U349" s="12"/>
      <c r="V349" s="12"/>
    </row>
    <row r="350" spans="12:34">
      <c r="R350" s="8"/>
      <c r="S350" s="9"/>
      <c r="T350" s="10"/>
      <c r="U350" s="12"/>
      <c r="V350" s="12"/>
      <c r="X350" s="2" t="s">
        <v>964</v>
      </c>
      <c r="Y350" s="2"/>
      <c r="Z350" s="2" t="s">
        <v>631</v>
      </c>
      <c r="AA350" s="2"/>
      <c r="AB350" s="2"/>
      <c r="AC350" s="2"/>
      <c r="AD350" s="2"/>
      <c r="AE350" s="2"/>
      <c r="AF350" s="2"/>
    </row>
    <row r="351" spans="12:34">
      <c r="R351" s="8"/>
      <c r="S351" s="9"/>
      <c r="T351" s="10"/>
      <c r="U351" s="12"/>
      <c r="V351" s="12"/>
      <c r="X351" s="2" t="s">
        <v>278</v>
      </c>
      <c r="Y351" s="2" t="s">
        <v>678</v>
      </c>
      <c r="Z351" s="4" t="s">
        <v>280</v>
      </c>
      <c r="AA351" s="5">
        <v>280</v>
      </c>
      <c r="AB351" s="4" t="s">
        <v>281</v>
      </c>
      <c r="AC351" s="5">
        <f>AA351</f>
        <v>280</v>
      </c>
      <c r="AD351" s="2" t="s">
        <v>282</v>
      </c>
      <c r="AF351" s="4" t="s">
        <v>296</v>
      </c>
      <c r="AG351" s="6">
        <f>AG358+AG361+AG364</f>
        <v>7.5057997142857147</v>
      </c>
    </row>
    <row r="352" spans="12:34">
      <c r="R352" s="8"/>
      <c r="S352" s="9"/>
      <c r="T352" s="10"/>
      <c r="U352" s="12"/>
      <c r="V352" s="12"/>
      <c r="X352" s="2" t="s">
        <v>283</v>
      </c>
      <c r="Y352" s="2" t="s">
        <v>284</v>
      </c>
      <c r="AC352" s="4" t="s">
        <v>122</v>
      </c>
      <c r="AD352" s="4" t="s">
        <v>285</v>
      </c>
      <c r="AE352" s="4" t="s">
        <v>286</v>
      </c>
      <c r="AF352" s="4" t="s">
        <v>287</v>
      </c>
      <c r="AG352" s="4" t="s">
        <v>288</v>
      </c>
    </row>
    <row r="353" spans="18:33">
      <c r="R353" s="8"/>
      <c r="S353" s="9"/>
      <c r="T353" s="10"/>
      <c r="U353" s="12"/>
      <c r="V353" s="12"/>
      <c r="Y353" s="7" t="s">
        <v>289</v>
      </c>
    </row>
    <row r="354" spans="18:33">
      <c r="R354" s="8"/>
      <c r="S354" s="9"/>
      <c r="T354" s="10"/>
      <c r="U354" s="12"/>
      <c r="V354" s="12"/>
      <c r="Y354" t="s">
        <v>650</v>
      </c>
      <c r="AC354" s="8" t="s">
        <v>291</v>
      </c>
      <c r="AD354" s="9">
        <v>0.1</v>
      </c>
      <c r="AE354" s="10">
        <f>AD354*8/$AA$351</f>
        <v>2.8571428571428571E-3</v>
      </c>
      <c r="AF354" s="12">
        <v>34.729999999999997</v>
      </c>
      <c r="AG354" s="12">
        <f>AE354*AF354</f>
        <v>9.9228571428571416E-2</v>
      </c>
    </row>
    <row r="355" spans="18:33">
      <c r="R355" s="8"/>
      <c r="S355" s="9"/>
      <c r="T355" s="10"/>
      <c r="U355" s="12"/>
      <c r="V355" s="12"/>
      <c r="Y355" t="s">
        <v>290</v>
      </c>
      <c r="AC355" s="8" t="s">
        <v>291</v>
      </c>
      <c r="AD355" s="9">
        <v>1</v>
      </c>
      <c r="AE355" s="10">
        <f>AD355*8/$AA$351</f>
        <v>2.8571428571428571E-2</v>
      </c>
      <c r="AF355" s="12">
        <v>28.94</v>
      </c>
      <c r="AG355" s="12">
        <f>AE355*AF355</f>
        <v>0.82685714285714285</v>
      </c>
    </row>
    <row r="356" spans="18:33">
      <c r="R356" s="8"/>
      <c r="S356" s="9"/>
      <c r="T356" s="10"/>
      <c r="U356" s="12"/>
      <c r="V356" s="12"/>
      <c r="Y356" t="s">
        <v>292</v>
      </c>
      <c r="AC356" s="8" t="s">
        <v>291</v>
      </c>
      <c r="AD356" s="9">
        <v>1</v>
      </c>
      <c r="AE356" s="10">
        <f>AD356*8/$AA$351</f>
        <v>2.8571428571428571E-2</v>
      </c>
      <c r="AF356" s="12">
        <v>22.66</v>
      </c>
      <c r="AG356" s="12">
        <f>AE356*AF356</f>
        <v>0.64742857142857146</v>
      </c>
    </row>
    <row r="357" spans="18:33">
      <c r="R357" s="8"/>
      <c r="S357" s="9"/>
      <c r="T357" s="10"/>
      <c r="U357" s="12"/>
      <c r="V357" s="12"/>
      <c r="Y357" t="s">
        <v>293</v>
      </c>
      <c r="AC357" s="8" t="s">
        <v>291</v>
      </c>
      <c r="AD357" s="9">
        <v>1</v>
      </c>
      <c r="AE357" s="10">
        <f>AD357*8/$AA$351</f>
        <v>2.8571428571428571E-2</v>
      </c>
      <c r="AF357" s="12">
        <v>20.51</v>
      </c>
      <c r="AG357" s="12">
        <f>AE357*AF357</f>
        <v>0.58600000000000008</v>
      </c>
    </row>
    <row r="358" spans="18:33">
      <c r="R358" s="8"/>
      <c r="S358" s="9"/>
      <c r="T358" s="10"/>
      <c r="U358" s="12"/>
      <c r="V358" s="12"/>
      <c r="AG358" s="6">
        <f>SUM(AG354:AG357)</f>
        <v>2.1595142857142857</v>
      </c>
    </row>
    <row r="359" spans="18:33">
      <c r="R359" s="8"/>
      <c r="S359" s="9"/>
      <c r="T359" s="10"/>
      <c r="U359" s="12"/>
      <c r="V359" s="12"/>
      <c r="Y359" s="7" t="s">
        <v>294</v>
      </c>
      <c r="AC359" s="8"/>
    </row>
    <row r="360" spans="18:33">
      <c r="R360" s="8"/>
      <c r="S360" s="9"/>
      <c r="T360" s="10"/>
      <c r="U360" s="12"/>
      <c r="V360" s="12"/>
      <c r="Y360" t="s">
        <v>734</v>
      </c>
      <c r="AC360" s="8" t="s">
        <v>296</v>
      </c>
      <c r="AE360" s="10">
        <v>1.05</v>
      </c>
      <c r="AF360" s="12">
        <v>5.03</v>
      </c>
      <c r="AG360" s="12">
        <f>AE360*AF360</f>
        <v>5.2815000000000003</v>
      </c>
    </row>
    <row r="361" spans="18:33">
      <c r="R361" s="8"/>
      <c r="S361" s="9"/>
      <c r="T361" s="10"/>
      <c r="U361" s="12"/>
      <c r="V361" s="12"/>
      <c r="AG361" s="6">
        <f>SUM(AG360:AG360)</f>
        <v>5.2815000000000003</v>
      </c>
    </row>
    <row r="362" spans="18:33">
      <c r="R362" s="8"/>
      <c r="S362" s="9"/>
      <c r="T362" s="10"/>
      <c r="U362" s="12"/>
      <c r="V362" s="12"/>
      <c r="Y362" s="7" t="s">
        <v>317</v>
      </c>
    </row>
    <row r="363" spans="18:33">
      <c r="R363" s="8"/>
      <c r="S363" s="9"/>
      <c r="T363" s="10"/>
      <c r="U363" s="12"/>
      <c r="V363" s="12"/>
      <c r="Y363" t="s">
        <v>310</v>
      </c>
      <c r="AC363" s="8" t="s">
        <v>311</v>
      </c>
      <c r="AE363" s="10">
        <v>3</v>
      </c>
      <c r="AF363" s="12">
        <f>AG358</f>
        <v>2.1595142857142857</v>
      </c>
      <c r="AG363" s="12">
        <f>AE363%*AF363</f>
        <v>6.4785428571428563E-2</v>
      </c>
    </row>
    <row r="364" spans="18:33">
      <c r="R364" s="8"/>
      <c r="S364" s="9"/>
      <c r="T364" s="10"/>
      <c r="U364" s="12"/>
      <c r="V364" s="12"/>
      <c r="X364" s="14"/>
      <c r="Y364" s="14"/>
      <c r="Z364" s="14"/>
      <c r="AA364" s="14"/>
      <c r="AB364" s="14"/>
      <c r="AC364" s="14"/>
      <c r="AD364" s="14"/>
      <c r="AE364" s="14"/>
      <c r="AF364" s="14"/>
      <c r="AG364" s="16">
        <f>SUM(AG363:AG363)</f>
        <v>6.4785428571428563E-2</v>
      </c>
    </row>
    <row r="365" spans="18:33">
      <c r="R365" s="8"/>
      <c r="S365" s="9"/>
      <c r="T365" s="10"/>
      <c r="U365" s="12"/>
      <c r="V365" s="12"/>
    </row>
    <row r="366" spans="18:33">
      <c r="R366" s="8"/>
      <c r="S366" s="9"/>
      <c r="T366" s="10"/>
      <c r="U366" s="12"/>
      <c r="V366" s="12"/>
      <c r="X366" s="31" t="s">
        <v>277</v>
      </c>
      <c r="Y366" s="31"/>
      <c r="Z366" s="31" t="s">
        <v>634</v>
      </c>
      <c r="AA366" s="31"/>
    </row>
    <row r="367" spans="18:33">
      <c r="R367" s="8"/>
      <c r="S367" s="9"/>
      <c r="T367" s="10"/>
      <c r="U367" s="12"/>
      <c r="V367" s="12"/>
      <c r="X367" s="31" t="s">
        <v>278</v>
      </c>
      <c r="Y367" s="31" t="s">
        <v>416</v>
      </c>
      <c r="Z367" s="32" t="s">
        <v>280</v>
      </c>
      <c r="AA367" s="33">
        <v>30</v>
      </c>
      <c r="AB367" s="32" t="s">
        <v>281</v>
      </c>
      <c r="AC367" s="33">
        <f>AA367</f>
        <v>30</v>
      </c>
      <c r="AD367" s="31" t="s">
        <v>282</v>
      </c>
      <c r="AF367" s="32" t="s">
        <v>203</v>
      </c>
      <c r="AG367" s="34">
        <f>AG374+AG379+AG383</f>
        <v>445.90736000000004</v>
      </c>
    </row>
    <row r="368" spans="18:33">
      <c r="R368" s="8"/>
      <c r="S368" s="9"/>
      <c r="T368" s="10"/>
      <c r="U368" s="12"/>
      <c r="V368" s="12"/>
      <c r="X368" s="31" t="s">
        <v>283</v>
      </c>
      <c r="Y368" s="31" t="s">
        <v>284</v>
      </c>
      <c r="AC368" s="32" t="s">
        <v>122</v>
      </c>
      <c r="AD368" s="32" t="s">
        <v>285</v>
      </c>
      <c r="AE368" s="32" t="s">
        <v>286</v>
      </c>
      <c r="AF368" s="32" t="s">
        <v>287</v>
      </c>
      <c r="AG368" s="32" t="s">
        <v>288</v>
      </c>
    </row>
    <row r="369" spans="18:33">
      <c r="R369" s="8"/>
      <c r="S369" s="9"/>
      <c r="T369" s="10"/>
      <c r="U369" s="12"/>
      <c r="V369" s="12"/>
      <c r="Y369" s="35" t="s">
        <v>289</v>
      </c>
    </row>
    <row r="370" spans="18:33">
      <c r="R370" s="8"/>
      <c r="S370" s="9"/>
      <c r="T370" s="10"/>
      <c r="U370" s="12"/>
      <c r="V370" s="12"/>
      <c r="Y370" t="s">
        <v>650</v>
      </c>
      <c r="AC370" s="8" t="s">
        <v>291</v>
      </c>
      <c r="AD370" s="9">
        <v>0.1</v>
      </c>
      <c r="AE370" s="10">
        <f>AD370*8/$AA$367</f>
        <v>2.6666666666666668E-2</v>
      </c>
      <c r="AF370" s="12">
        <v>34.729999999999997</v>
      </c>
      <c r="AG370" s="12">
        <f>AE370*AF370</f>
        <v>0.92613333333333336</v>
      </c>
    </row>
    <row r="371" spans="18:33">
      <c r="R371" s="8"/>
      <c r="S371" s="9"/>
      <c r="T371" s="10"/>
      <c r="U371" s="12"/>
      <c r="V371" s="12"/>
      <c r="Y371" t="s">
        <v>290</v>
      </c>
      <c r="AC371" s="8" t="s">
        <v>291</v>
      </c>
      <c r="AD371" s="9">
        <v>2</v>
      </c>
      <c r="AE371" s="10">
        <f>AD371*8/$AA$367</f>
        <v>0.53333333333333333</v>
      </c>
      <c r="AF371" s="12">
        <v>28.94</v>
      </c>
      <c r="AG371" s="12">
        <f>AE371*AF371</f>
        <v>15.434666666666667</v>
      </c>
    </row>
    <row r="372" spans="18:33">
      <c r="R372" s="8"/>
      <c r="S372" s="9"/>
      <c r="T372" s="10"/>
      <c r="U372" s="12"/>
      <c r="V372" s="12"/>
      <c r="Y372" t="s">
        <v>292</v>
      </c>
      <c r="AC372" s="8" t="s">
        <v>291</v>
      </c>
      <c r="AD372" s="9">
        <v>1</v>
      </c>
      <c r="AE372" s="10">
        <f>AD372*8/$AA$367</f>
        <v>0.26666666666666666</v>
      </c>
      <c r="AF372" s="12">
        <v>23.6</v>
      </c>
      <c r="AG372" s="12">
        <f>AE372*AF372</f>
        <v>6.2933333333333339</v>
      </c>
    </row>
    <row r="373" spans="18:33">
      <c r="R373" s="8"/>
      <c r="S373" s="9"/>
      <c r="T373" s="10"/>
      <c r="U373" s="12"/>
      <c r="V373" s="12"/>
      <c r="Y373" t="s">
        <v>293</v>
      </c>
      <c r="AC373" s="8" t="s">
        <v>291</v>
      </c>
      <c r="AD373" s="9">
        <v>4</v>
      </c>
      <c r="AE373" s="10">
        <f>AD373*8/$AA$367</f>
        <v>1.0666666666666667</v>
      </c>
      <c r="AF373" s="12">
        <v>21.36</v>
      </c>
      <c r="AG373" s="12">
        <f>AE373*AF373</f>
        <v>22.783999999999999</v>
      </c>
    </row>
    <row r="374" spans="18:33">
      <c r="R374" s="8"/>
      <c r="S374" s="9"/>
      <c r="T374" s="10"/>
      <c r="U374" s="12"/>
      <c r="V374" s="12"/>
      <c r="AC374" s="8"/>
      <c r="AD374" s="9"/>
      <c r="AE374" s="10"/>
      <c r="AG374" s="34">
        <f>SUM(AG371:AG373)</f>
        <v>44.512</v>
      </c>
    </row>
    <row r="375" spans="18:33">
      <c r="R375" s="8"/>
      <c r="S375" s="9"/>
      <c r="T375" s="10"/>
      <c r="U375" s="12"/>
      <c r="V375" s="12"/>
      <c r="Y375" s="35" t="s">
        <v>653</v>
      </c>
      <c r="AC375" s="8"/>
      <c r="AD375" s="9"/>
      <c r="AE375" s="10"/>
      <c r="AG375" s="12"/>
    </row>
    <row r="376" spans="18:33">
      <c r="R376" s="8"/>
      <c r="S376" s="9"/>
      <c r="T376" s="10"/>
      <c r="U376" s="12"/>
      <c r="V376" s="12"/>
      <c r="Y376" s="186" t="s">
        <v>721</v>
      </c>
      <c r="AC376" s="8" t="s">
        <v>203</v>
      </c>
      <c r="AE376" s="10">
        <v>0.1</v>
      </c>
      <c r="AF376" s="12">
        <v>24.52</v>
      </c>
      <c r="AG376" s="12">
        <f>AE376*AF376</f>
        <v>2.452</v>
      </c>
    </row>
    <row r="377" spans="18:33">
      <c r="R377" s="8"/>
      <c r="S377" s="9"/>
      <c r="T377" s="10"/>
      <c r="U377" s="12"/>
      <c r="V377" s="12"/>
      <c r="Y377" s="186" t="s">
        <v>722</v>
      </c>
      <c r="AC377" s="8" t="s">
        <v>203</v>
      </c>
      <c r="AE377" s="10">
        <v>1.02</v>
      </c>
      <c r="AF377" s="12">
        <v>358</v>
      </c>
      <c r="AG377" s="12">
        <f>AE377*AF377</f>
        <v>365.16</v>
      </c>
    </row>
    <row r="378" spans="18:33">
      <c r="R378" s="8"/>
      <c r="S378" s="9"/>
      <c r="T378" s="10"/>
      <c r="U378" s="12"/>
      <c r="V378" s="12"/>
      <c r="Y378" s="186" t="s">
        <v>723</v>
      </c>
      <c r="AC378" s="8" t="s">
        <v>307</v>
      </c>
      <c r="AE378" s="10">
        <v>1.02</v>
      </c>
      <c r="AF378" s="12">
        <v>30</v>
      </c>
      <c r="AG378" s="12">
        <f>AE378*AF378</f>
        <v>30.6</v>
      </c>
    </row>
    <row r="379" spans="18:33">
      <c r="R379" s="8"/>
      <c r="S379" s="9"/>
      <c r="T379" s="10"/>
      <c r="U379" s="12"/>
      <c r="V379" s="12"/>
      <c r="AC379" s="8"/>
      <c r="AE379" s="10"/>
      <c r="AF379" s="12"/>
      <c r="AG379" s="34">
        <f>SUM(AG376:AG378)</f>
        <v>398.21200000000005</v>
      </c>
    </row>
    <row r="380" spans="18:33">
      <c r="R380" s="8"/>
      <c r="S380" s="9"/>
      <c r="T380" s="10"/>
      <c r="U380" s="12"/>
      <c r="V380" s="12"/>
      <c r="Y380" s="35" t="s">
        <v>309</v>
      </c>
    </row>
    <row r="381" spans="18:33">
      <c r="R381" s="8"/>
      <c r="S381" s="9"/>
      <c r="T381" s="10"/>
      <c r="U381" s="12"/>
      <c r="V381" s="12"/>
      <c r="Y381" t="s">
        <v>310</v>
      </c>
      <c r="AC381" s="8" t="s">
        <v>311</v>
      </c>
      <c r="AE381" s="10">
        <v>3</v>
      </c>
      <c r="AF381" s="12">
        <f>AG374</f>
        <v>44.512</v>
      </c>
      <c r="AG381" s="12">
        <f>AE381%*AF381</f>
        <v>1.3353599999999999</v>
      </c>
    </row>
    <row r="382" spans="18:33">
      <c r="R382" s="8"/>
      <c r="S382" s="9"/>
      <c r="T382" s="10"/>
      <c r="U382" s="12"/>
      <c r="V382" s="12"/>
      <c r="Y382" s="186" t="s">
        <v>724</v>
      </c>
      <c r="AC382" s="8" t="s">
        <v>337</v>
      </c>
      <c r="AD382" s="9">
        <v>1</v>
      </c>
      <c r="AE382" s="10">
        <f>AD382*8/$AA$367</f>
        <v>0.26666666666666666</v>
      </c>
      <c r="AF382" s="12">
        <v>6.93</v>
      </c>
      <c r="AG382" s="12">
        <f>AE382*AF382</f>
        <v>1.8479999999999999</v>
      </c>
    </row>
    <row r="383" spans="18:33">
      <c r="R383" s="8"/>
      <c r="S383" s="9"/>
      <c r="T383" s="10"/>
      <c r="U383" s="12"/>
      <c r="V383" s="12"/>
      <c r="X383" s="14"/>
      <c r="Y383" s="14"/>
      <c r="Z383" s="14"/>
      <c r="AA383" s="14"/>
      <c r="AB383" s="14"/>
      <c r="AC383" s="14"/>
      <c r="AD383" s="14"/>
      <c r="AE383" s="14"/>
      <c r="AF383" s="14"/>
      <c r="AG383" s="36">
        <f>SUM(AG381:AG382)</f>
        <v>3.1833599999999995</v>
      </c>
    </row>
    <row r="384" spans="18:33">
      <c r="R384" s="8"/>
      <c r="S384" s="9"/>
      <c r="T384" s="10"/>
      <c r="U384" s="12"/>
      <c r="V384" s="12"/>
    </row>
    <row r="385" spans="13:22">
      <c r="M385" s="2" t="s">
        <v>277</v>
      </c>
      <c r="N385" s="2"/>
      <c r="O385" s="2" t="s">
        <v>82</v>
      </c>
      <c r="P385" s="2"/>
      <c r="Q385" s="2"/>
      <c r="R385" s="2"/>
      <c r="S385" s="2"/>
      <c r="T385" s="2"/>
      <c r="U385" s="2"/>
    </row>
    <row r="386" spans="13:22">
      <c r="M386" s="2" t="s">
        <v>278</v>
      </c>
      <c r="N386" s="2" t="s">
        <v>279</v>
      </c>
      <c r="O386" s="4" t="s">
        <v>280</v>
      </c>
      <c r="P386" s="5">
        <v>1</v>
      </c>
      <c r="Q386" s="4" t="s">
        <v>281</v>
      </c>
      <c r="R386" s="5">
        <f>P386</f>
        <v>1</v>
      </c>
      <c r="S386" s="2" t="s">
        <v>282</v>
      </c>
      <c r="U386" s="4" t="s">
        <v>133</v>
      </c>
      <c r="V386" s="6">
        <f>V390</f>
        <v>75.459999999999994</v>
      </c>
    </row>
    <row r="387" spans="13:22">
      <c r="M387" s="2" t="s">
        <v>283</v>
      </c>
      <c r="N387" s="2" t="s">
        <v>284</v>
      </c>
      <c r="R387" s="4" t="s">
        <v>122</v>
      </c>
      <c r="S387" s="4" t="s">
        <v>285</v>
      </c>
      <c r="T387" s="4" t="s">
        <v>286</v>
      </c>
      <c r="U387" s="4" t="s">
        <v>287</v>
      </c>
      <c r="V387" s="4" t="s">
        <v>288</v>
      </c>
    </row>
    <row r="388" spans="13:22">
      <c r="N388" s="7" t="s">
        <v>294</v>
      </c>
    </row>
    <row r="389" spans="13:22">
      <c r="N389" t="s">
        <v>82</v>
      </c>
      <c r="R389" s="8" t="s">
        <v>133</v>
      </c>
      <c r="S389" s="9"/>
      <c r="T389" s="10">
        <v>1</v>
      </c>
      <c r="U389">
        <v>75.459999999999994</v>
      </c>
      <c r="V389" s="12">
        <f>T389*U389</f>
        <v>75.459999999999994</v>
      </c>
    </row>
    <row r="390" spans="13:22">
      <c r="M390" s="14"/>
      <c r="N390" s="14"/>
      <c r="O390" s="14"/>
      <c r="P390" s="14"/>
      <c r="Q390" s="14"/>
      <c r="R390" s="14"/>
      <c r="S390" s="14"/>
      <c r="T390" s="14"/>
      <c r="U390" s="14"/>
      <c r="V390" s="16">
        <f>SUM(V389)</f>
        <v>75.459999999999994</v>
      </c>
    </row>
    <row r="392" spans="13:22">
      <c r="M392" s="2" t="s">
        <v>277</v>
      </c>
      <c r="N392" s="2"/>
      <c r="O392" s="2" t="s">
        <v>83</v>
      </c>
      <c r="P392" s="2"/>
      <c r="Q392" s="2"/>
      <c r="R392" s="2"/>
      <c r="S392" s="2"/>
      <c r="T392" s="2"/>
      <c r="U392" s="2"/>
    </row>
    <row r="393" spans="13:22">
      <c r="M393" s="2" t="s">
        <v>278</v>
      </c>
      <c r="N393" s="2" t="s">
        <v>325</v>
      </c>
      <c r="O393" s="4" t="s">
        <v>280</v>
      </c>
      <c r="P393" s="5">
        <v>1</v>
      </c>
      <c r="Q393" s="4" t="s">
        <v>281</v>
      </c>
      <c r="R393" s="5">
        <f>P393</f>
        <v>1</v>
      </c>
      <c r="S393" s="2" t="s">
        <v>282</v>
      </c>
      <c r="U393" s="4" t="s">
        <v>149</v>
      </c>
      <c r="V393" s="6">
        <f>V397</f>
        <v>69.41</v>
      </c>
    </row>
    <row r="394" spans="13:22">
      <c r="M394" s="2" t="s">
        <v>283</v>
      </c>
      <c r="N394" s="2" t="s">
        <v>284</v>
      </c>
      <c r="R394" s="4" t="s">
        <v>122</v>
      </c>
      <c r="S394" s="4" t="s">
        <v>285</v>
      </c>
      <c r="T394" s="4" t="s">
        <v>286</v>
      </c>
      <c r="U394" s="4" t="s">
        <v>287</v>
      </c>
      <c r="V394" s="4" t="s">
        <v>288</v>
      </c>
    </row>
    <row r="395" spans="13:22">
      <c r="N395" s="7" t="s">
        <v>294</v>
      </c>
    </row>
    <row r="396" spans="13:22">
      <c r="N396" t="s">
        <v>83</v>
      </c>
      <c r="R396" s="8" t="s">
        <v>149</v>
      </c>
      <c r="S396" s="9"/>
      <c r="T396" s="10">
        <v>1</v>
      </c>
      <c r="U396">
        <v>69.41</v>
      </c>
      <c r="V396" s="12">
        <f>T396*U396</f>
        <v>69.41</v>
      </c>
    </row>
    <row r="397" spans="13:22">
      <c r="M397" s="14"/>
      <c r="N397" s="14"/>
      <c r="O397" s="14"/>
      <c r="P397" s="14"/>
      <c r="Q397" s="14"/>
      <c r="R397" s="14"/>
      <c r="S397" s="14"/>
      <c r="T397" s="14"/>
      <c r="U397" s="14"/>
      <c r="V397" s="16">
        <f>SUM(V396)</f>
        <v>69.41</v>
      </c>
    </row>
    <row r="398" spans="13:22">
      <c r="R398" s="8"/>
      <c r="S398" s="9"/>
      <c r="T398" s="10"/>
      <c r="U398" s="12"/>
      <c r="V398" s="12"/>
    </row>
    <row r="399" spans="13:22">
      <c r="M399" s="2" t="s">
        <v>277</v>
      </c>
      <c r="N399" s="2"/>
      <c r="O399" s="2" t="s">
        <v>1049</v>
      </c>
      <c r="P399" s="2"/>
      <c r="Q399" s="2"/>
      <c r="R399" s="2"/>
      <c r="S399" s="2"/>
      <c r="T399" s="2"/>
      <c r="U399" s="2"/>
    </row>
    <row r="400" spans="13:22">
      <c r="M400" s="2" t="s">
        <v>278</v>
      </c>
      <c r="N400" s="2" t="s">
        <v>331</v>
      </c>
      <c r="O400" s="4" t="s">
        <v>280</v>
      </c>
      <c r="P400" s="5">
        <v>1</v>
      </c>
      <c r="Q400" s="4" t="s">
        <v>281</v>
      </c>
      <c r="R400" s="5">
        <f>P400</f>
        <v>1</v>
      </c>
      <c r="S400" s="2" t="s">
        <v>282</v>
      </c>
      <c r="U400" s="4" t="s">
        <v>154</v>
      </c>
      <c r="V400" s="6">
        <f>V404</f>
        <v>4301.1000000000004</v>
      </c>
    </row>
    <row r="401" spans="13:22">
      <c r="M401" s="2" t="s">
        <v>283</v>
      </c>
      <c r="N401" s="2" t="s">
        <v>284</v>
      </c>
      <c r="R401" s="4" t="s">
        <v>122</v>
      </c>
      <c r="S401" s="4" t="s">
        <v>285</v>
      </c>
      <c r="T401" s="4" t="s">
        <v>286</v>
      </c>
      <c r="U401" s="4" t="s">
        <v>287</v>
      </c>
      <c r="V401" s="4" t="s">
        <v>288</v>
      </c>
    </row>
    <row r="402" spans="13:22">
      <c r="N402" s="7" t="s">
        <v>294</v>
      </c>
    </row>
    <row r="403" spans="13:22">
      <c r="N403" t="s">
        <v>1049</v>
      </c>
      <c r="R403" s="8" t="s">
        <v>154</v>
      </c>
      <c r="S403" s="9"/>
      <c r="T403" s="10">
        <v>1</v>
      </c>
      <c r="U403" s="17">
        <f>10.8*'Datos iniciales '!B3*(0.85+0.035*'Obras exteriores '!J15)</f>
        <v>4301.1000000000004</v>
      </c>
      <c r="V403" s="12">
        <f>T403*U403</f>
        <v>4301.1000000000004</v>
      </c>
    </row>
    <row r="404" spans="13:22">
      <c r="M404" s="14"/>
      <c r="N404" s="14"/>
      <c r="O404" s="14"/>
      <c r="P404" s="14"/>
      <c r="Q404" s="14"/>
      <c r="R404" s="14"/>
      <c r="S404" s="14"/>
      <c r="T404" s="14"/>
      <c r="U404" s="14"/>
      <c r="V404" s="16">
        <f>SUM(V403)</f>
        <v>4301.1000000000004</v>
      </c>
    </row>
    <row r="406" spans="13:22">
      <c r="M406" s="2" t="s">
        <v>277</v>
      </c>
      <c r="N406" s="2"/>
      <c r="O406" s="2" t="s">
        <v>1050</v>
      </c>
      <c r="P406" s="2"/>
      <c r="Q406" s="2"/>
      <c r="R406" s="2"/>
      <c r="S406" s="2"/>
      <c r="T406" s="2"/>
      <c r="U406" s="2"/>
    </row>
    <row r="407" spans="13:22">
      <c r="M407" s="2" t="s">
        <v>278</v>
      </c>
      <c r="N407" s="2" t="s">
        <v>331</v>
      </c>
      <c r="O407" s="4" t="s">
        <v>280</v>
      </c>
      <c r="P407" s="5">
        <v>1</v>
      </c>
      <c r="Q407" s="4" t="s">
        <v>281</v>
      </c>
      <c r="R407" s="5">
        <f>P407</f>
        <v>1</v>
      </c>
      <c r="S407" s="2" t="s">
        <v>282</v>
      </c>
      <c r="U407" s="4" t="s">
        <v>154</v>
      </c>
      <c r="V407" s="6">
        <f>V411</f>
        <v>5200</v>
      </c>
    </row>
    <row r="408" spans="13:22">
      <c r="M408" s="2" t="s">
        <v>283</v>
      </c>
      <c r="N408" s="2" t="s">
        <v>284</v>
      </c>
      <c r="R408" s="4" t="s">
        <v>122</v>
      </c>
      <c r="S408" s="4" t="s">
        <v>285</v>
      </c>
      <c r="T408" s="4" t="s">
        <v>286</v>
      </c>
      <c r="U408" s="4" t="s">
        <v>287</v>
      </c>
      <c r="V408" s="4" t="s">
        <v>288</v>
      </c>
    </row>
    <row r="409" spans="13:22">
      <c r="N409" s="7" t="s">
        <v>294</v>
      </c>
    </row>
    <row r="410" spans="13:22">
      <c r="N410" t="s">
        <v>1050</v>
      </c>
      <c r="R410" s="8" t="s">
        <v>154</v>
      </c>
      <c r="S410" s="9"/>
      <c r="T410" s="10">
        <v>1</v>
      </c>
      <c r="U410" s="17">
        <f>6.5*'Datos iniciales '!C3</f>
        <v>5200</v>
      </c>
      <c r="V410" s="12">
        <f>T410*U410</f>
        <v>5200</v>
      </c>
    </row>
    <row r="411" spans="13:22">
      <c r="M411" s="14"/>
      <c r="N411" s="14"/>
      <c r="O411" s="14"/>
      <c r="P411" s="14"/>
      <c r="Q411" s="14"/>
      <c r="R411" s="14"/>
      <c r="S411" s="14"/>
      <c r="T411" s="14"/>
      <c r="U411" s="14"/>
      <c r="V411" s="16">
        <f>SUM(V410)</f>
        <v>5200</v>
      </c>
    </row>
    <row r="413" spans="13:22">
      <c r="M413" s="2" t="s">
        <v>277</v>
      </c>
      <c r="N413" s="2"/>
      <c r="O413" s="2" t="s">
        <v>115</v>
      </c>
      <c r="P413" s="2"/>
      <c r="Q413" s="2"/>
      <c r="R413" s="2"/>
      <c r="S413" s="2"/>
      <c r="T413" s="2"/>
      <c r="U413" s="2"/>
    </row>
    <row r="414" spans="13:22">
      <c r="M414" s="2" t="s">
        <v>278</v>
      </c>
      <c r="N414" s="2" t="s">
        <v>331</v>
      </c>
      <c r="O414" s="4" t="s">
        <v>280</v>
      </c>
      <c r="P414" s="5">
        <v>1</v>
      </c>
      <c r="Q414" s="4" t="s">
        <v>281</v>
      </c>
      <c r="R414" s="5">
        <f>P414</f>
        <v>1</v>
      </c>
      <c r="S414" s="2" t="s">
        <v>282</v>
      </c>
      <c r="U414" s="4" t="s">
        <v>154</v>
      </c>
      <c r="V414" s="6">
        <f>V418</f>
        <v>9900</v>
      </c>
    </row>
    <row r="415" spans="13:22">
      <c r="M415" s="2" t="s">
        <v>283</v>
      </c>
      <c r="N415" s="2" t="s">
        <v>284</v>
      </c>
      <c r="R415" s="4" t="s">
        <v>122</v>
      </c>
      <c r="S415" s="4" t="s">
        <v>285</v>
      </c>
      <c r="T415" s="4" t="s">
        <v>286</v>
      </c>
      <c r="U415" s="4" t="s">
        <v>287</v>
      </c>
      <c r="V415" s="4" t="s">
        <v>288</v>
      </c>
    </row>
    <row r="416" spans="13:22">
      <c r="N416" s="7" t="s">
        <v>294</v>
      </c>
    </row>
    <row r="417" spans="13:33">
      <c r="N417" t="s">
        <v>115</v>
      </c>
      <c r="R417" s="8" t="s">
        <v>154</v>
      </c>
      <c r="S417" s="9"/>
      <c r="T417" s="10">
        <v>1</v>
      </c>
      <c r="U417" s="17">
        <f>22*'Datos iniciales '!B3</f>
        <v>9900</v>
      </c>
      <c r="V417" s="12">
        <f>T417*U417</f>
        <v>9900</v>
      </c>
    </row>
    <row r="418" spans="13:33">
      <c r="M418" s="14"/>
      <c r="N418" s="14"/>
      <c r="O418" s="14"/>
      <c r="P418" s="14"/>
      <c r="Q418" s="14"/>
      <c r="R418" s="14"/>
      <c r="S418" s="14"/>
      <c r="T418" s="14"/>
      <c r="U418" s="14"/>
      <c r="V418" s="16">
        <f>SUM(V417)</f>
        <v>9900</v>
      </c>
    </row>
    <row r="420" spans="13:33">
      <c r="M420" s="2" t="s">
        <v>277</v>
      </c>
      <c r="N420" s="2"/>
      <c r="O420" s="2" t="s">
        <v>1358</v>
      </c>
      <c r="P420" s="2"/>
      <c r="Q420" s="2"/>
      <c r="R420" s="2"/>
      <c r="S420" s="2"/>
      <c r="T420" s="2"/>
      <c r="U420" s="2"/>
    </row>
    <row r="421" spans="13:33">
      <c r="M421" s="2" t="s">
        <v>278</v>
      </c>
      <c r="N421" s="2" t="s">
        <v>331</v>
      </c>
      <c r="O421" s="4" t="s">
        <v>280</v>
      </c>
      <c r="P421" s="5">
        <v>1</v>
      </c>
      <c r="Q421" s="4" t="s">
        <v>281</v>
      </c>
      <c r="R421" s="5">
        <f>P421</f>
        <v>1</v>
      </c>
      <c r="S421" s="2" t="s">
        <v>282</v>
      </c>
      <c r="U421" s="4" t="s">
        <v>154</v>
      </c>
      <c r="V421" s="6">
        <f>V425</f>
        <v>95160</v>
      </c>
    </row>
    <row r="422" spans="13:33">
      <c r="M422" s="2" t="s">
        <v>283</v>
      </c>
      <c r="N422" s="2" t="s">
        <v>284</v>
      </c>
      <c r="R422" s="4" t="s">
        <v>122</v>
      </c>
      <c r="S422" s="4" t="s">
        <v>285</v>
      </c>
      <c r="T422" s="4" t="s">
        <v>286</v>
      </c>
      <c r="U422" s="4" t="s">
        <v>287</v>
      </c>
      <c r="V422" s="4" t="s">
        <v>288</v>
      </c>
    </row>
    <row r="423" spans="13:33">
      <c r="N423" s="7" t="s">
        <v>294</v>
      </c>
    </row>
    <row r="424" spans="13:33">
      <c r="N424" t="s">
        <v>1358</v>
      </c>
      <c r="R424" s="8" t="s">
        <v>154</v>
      </c>
      <c r="S424" s="9"/>
      <c r="T424" s="10">
        <v>1</v>
      </c>
      <c r="U424">
        <v>95160</v>
      </c>
      <c r="V424" s="12">
        <f>T424*U424</f>
        <v>95160</v>
      </c>
    </row>
    <row r="425" spans="13:33">
      <c r="M425" s="14"/>
      <c r="N425" s="14"/>
      <c r="O425" s="14"/>
      <c r="P425" s="14"/>
      <c r="Q425" s="14"/>
      <c r="R425" s="14"/>
      <c r="S425" s="14"/>
      <c r="T425" s="14"/>
      <c r="U425" s="14"/>
      <c r="V425" s="16">
        <f>SUM(V424)</f>
        <v>95160</v>
      </c>
    </row>
    <row r="427" spans="13:33">
      <c r="M427" s="2" t="s">
        <v>277</v>
      </c>
      <c r="N427" s="2"/>
      <c r="O427" s="2" t="s">
        <v>110</v>
      </c>
      <c r="P427" s="2"/>
      <c r="Q427" s="2"/>
      <c r="R427" s="2"/>
      <c r="S427" s="2"/>
      <c r="T427" s="2"/>
      <c r="U427" s="2"/>
    </row>
    <row r="428" spans="13:33">
      <c r="M428" s="2" t="s">
        <v>278</v>
      </c>
      <c r="N428" s="2" t="s">
        <v>1359</v>
      </c>
      <c r="O428" s="4" t="s">
        <v>280</v>
      </c>
      <c r="P428" s="5">
        <v>1</v>
      </c>
      <c r="Q428" s="4" t="s">
        <v>281</v>
      </c>
      <c r="R428" s="5">
        <f>P428</f>
        <v>1</v>
      </c>
      <c r="S428" s="2" t="s">
        <v>282</v>
      </c>
      <c r="U428" s="4" t="s">
        <v>1350</v>
      </c>
      <c r="V428" s="6">
        <f>V444</f>
        <v>3770.838940859569</v>
      </c>
      <c r="X428" s="2" t="s">
        <v>735</v>
      </c>
      <c r="Y428" s="2"/>
      <c r="Z428" s="2" t="s">
        <v>1351</v>
      </c>
      <c r="AA428" s="2"/>
      <c r="AB428" s="2"/>
      <c r="AC428" s="2"/>
      <c r="AD428" s="2"/>
      <c r="AE428" s="2"/>
      <c r="AF428" s="2"/>
    </row>
    <row r="429" spans="13:33">
      <c r="M429" s="2" t="s">
        <v>283</v>
      </c>
      <c r="N429" s="2" t="s">
        <v>284</v>
      </c>
      <c r="R429" s="4" t="s">
        <v>122</v>
      </c>
      <c r="S429" s="4" t="s">
        <v>285</v>
      </c>
      <c r="T429" s="4" t="s">
        <v>286</v>
      </c>
      <c r="U429" s="4" t="s">
        <v>287</v>
      </c>
      <c r="V429" s="4" t="s">
        <v>288</v>
      </c>
      <c r="X429" s="2" t="s">
        <v>278</v>
      </c>
      <c r="Y429" s="2" t="s">
        <v>416</v>
      </c>
      <c r="Z429" s="4" t="s">
        <v>280</v>
      </c>
      <c r="AA429" s="5">
        <v>3.5</v>
      </c>
      <c r="AB429" s="4" t="s">
        <v>281</v>
      </c>
      <c r="AC429" s="5">
        <f>AA429</f>
        <v>3.5</v>
      </c>
      <c r="AD429" s="2" t="s">
        <v>282</v>
      </c>
      <c r="AF429" s="4" t="s">
        <v>203</v>
      </c>
      <c r="AG429" s="6">
        <f>AG434+AG437</f>
        <v>56.462834285714287</v>
      </c>
    </row>
    <row r="430" spans="13:33">
      <c r="N430" s="7" t="s">
        <v>294</v>
      </c>
      <c r="X430" s="2" t="s">
        <v>283</v>
      </c>
      <c r="Y430" s="2" t="s">
        <v>284</v>
      </c>
      <c r="AC430" s="4" t="s">
        <v>122</v>
      </c>
      <c r="AD430" s="4" t="s">
        <v>285</v>
      </c>
      <c r="AE430" s="4" t="s">
        <v>286</v>
      </c>
      <c r="AF430" s="4" t="s">
        <v>287</v>
      </c>
      <c r="AG430" s="4" t="s">
        <v>288</v>
      </c>
    </row>
    <row r="431" spans="13:33">
      <c r="N431" t="s">
        <v>1351</v>
      </c>
      <c r="R431" s="8" t="s">
        <v>203</v>
      </c>
      <c r="S431" s="9"/>
      <c r="T431" s="10">
        <v>1.9800000000000002</v>
      </c>
      <c r="U431" s="12">
        <f>AG429</f>
        <v>56.462834285714287</v>
      </c>
      <c r="V431" s="12">
        <f>T431*U431</f>
        <v>111.79641188571431</v>
      </c>
      <c r="Y431" s="7" t="s">
        <v>289</v>
      </c>
    </row>
    <row r="432" spans="13:33">
      <c r="N432" t="s">
        <v>462</v>
      </c>
      <c r="R432" s="8" t="s">
        <v>203</v>
      </c>
      <c r="T432" s="10">
        <v>0.6820588235294115</v>
      </c>
      <c r="U432" s="12">
        <f>AG440</f>
        <v>77.227704800000012</v>
      </c>
      <c r="V432" s="12">
        <f t="shared" ref="V432:V443" si="17">T432*U432</f>
        <v>52.673837479764693</v>
      </c>
      <c r="Y432" t="s">
        <v>650</v>
      </c>
      <c r="AC432" s="8" t="s">
        <v>291</v>
      </c>
      <c r="AD432" s="9">
        <v>0.1</v>
      </c>
      <c r="AE432" s="10">
        <f>AD432*8/$AA$429</f>
        <v>0.22857142857142859</v>
      </c>
      <c r="AF432">
        <v>34.729999999999997</v>
      </c>
      <c r="AG432" s="12">
        <f>AE432*AF432</f>
        <v>7.9382857142857146</v>
      </c>
    </row>
    <row r="433" spans="13:33">
      <c r="N433" t="s">
        <v>464</v>
      </c>
      <c r="R433" s="8" t="s">
        <v>203</v>
      </c>
      <c r="T433" s="10">
        <v>0.89294117647058824</v>
      </c>
      <c r="U433" s="12">
        <f>AG457</f>
        <v>30.614538000000003</v>
      </c>
      <c r="V433" s="12">
        <f t="shared" si="17"/>
        <v>27.336981578823533</v>
      </c>
      <c r="Y433" t="s">
        <v>293</v>
      </c>
      <c r="AC433" s="8" t="s">
        <v>291</v>
      </c>
      <c r="AD433" s="9">
        <v>1</v>
      </c>
      <c r="AE433" s="10">
        <f>AD433*8/$AA$429</f>
        <v>2.2857142857142856</v>
      </c>
      <c r="AF433">
        <v>20.51</v>
      </c>
      <c r="AG433" s="12">
        <f>AE433*AF433</f>
        <v>46.88</v>
      </c>
    </row>
    <row r="434" spans="13:33">
      <c r="N434" t="s">
        <v>468</v>
      </c>
      <c r="R434" s="8" t="s">
        <v>203</v>
      </c>
      <c r="T434" s="10">
        <v>0.50625000000000031</v>
      </c>
      <c r="U434" s="12">
        <f>AG474</f>
        <v>12.11253</v>
      </c>
      <c r="V434" s="12">
        <f t="shared" si="17"/>
        <v>6.1319683125000033</v>
      </c>
      <c r="AG434" s="6">
        <f>SUM(AG432:AG433)</f>
        <v>54.818285714285715</v>
      </c>
    </row>
    <row r="435" spans="13:33">
      <c r="N435" t="s">
        <v>470</v>
      </c>
      <c r="R435" s="8" t="s">
        <v>203</v>
      </c>
      <c r="T435" s="10">
        <v>0.50625000000000031</v>
      </c>
      <c r="U435" s="12">
        <f>AG485</f>
        <v>22.910007466666666</v>
      </c>
      <c r="V435" s="12">
        <f t="shared" si="17"/>
        <v>11.598191280000007</v>
      </c>
      <c r="Y435" s="7" t="s">
        <v>317</v>
      </c>
    </row>
    <row r="436" spans="13:33">
      <c r="N436" t="s">
        <v>641</v>
      </c>
      <c r="R436" s="8" t="s">
        <v>144</v>
      </c>
      <c r="T436" s="10">
        <v>1</v>
      </c>
      <c r="U436" s="12">
        <f>AG498</f>
        <v>1489.7348144000002</v>
      </c>
      <c r="V436" s="12">
        <f t="shared" si="17"/>
        <v>1489.7348144000002</v>
      </c>
      <c r="Y436" t="s">
        <v>310</v>
      </c>
      <c r="AC436" s="8" t="s">
        <v>311</v>
      </c>
      <c r="AE436" s="10">
        <v>3</v>
      </c>
      <c r="AF436" s="12">
        <f>AG434</f>
        <v>54.818285714285715</v>
      </c>
      <c r="AG436" s="12">
        <f>AE436%*AF436</f>
        <v>1.6445485714285715</v>
      </c>
    </row>
    <row r="437" spans="13:33">
      <c r="N437" t="s">
        <v>1352</v>
      </c>
      <c r="R437" s="8" t="s">
        <v>144</v>
      </c>
      <c r="T437" s="10">
        <v>1</v>
      </c>
      <c r="U437" s="12">
        <f>AG507</f>
        <v>1583.5817403999999</v>
      </c>
      <c r="V437" s="12">
        <f t="shared" si="17"/>
        <v>1583.5817403999999</v>
      </c>
      <c r="X437" s="14"/>
      <c r="Y437" s="14"/>
      <c r="Z437" s="14"/>
      <c r="AA437" s="14"/>
      <c r="AB437" s="14"/>
      <c r="AC437" s="44"/>
      <c r="AD437" s="45"/>
      <c r="AE437" s="46"/>
      <c r="AF437" s="106"/>
      <c r="AG437" s="16">
        <f>SUM(AG436:AG436)</f>
        <v>1.6445485714285715</v>
      </c>
    </row>
    <row r="438" spans="13:33">
      <c r="N438" t="s">
        <v>645</v>
      </c>
      <c r="R438" s="8" t="s">
        <v>144</v>
      </c>
      <c r="T438" s="10">
        <v>1</v>
      </c>
      <c r="U438" s="12">
        <f>AG517</f>
        <v>107.84565577777778</v>
      </c>
      <c r="V438" s="12">
        <f t="shared" si="17"/>
        <v>107.84565577777778</v>
      </c>
    </row>
    <row r="439" spans="13:33">
      <c r="N439" t="s">
        <v>849</v>
      </c>
      <c r="R439" s="8" t="s">
        <v>144</v>
      </c>
      <c r="T439" s="10">
        <v>2.1606060606060606</v>
      </c>
      <c r="U439" s="12">
        <f>AG659</f>
        <v>110.42</v>
      </c>
      <c r="V439" s="12">
        <f t="shared" si="17"/>
        <v>238.57412121212121</v>
      </c>
      <c r="X439" s="2" t="s">
        <v>735</v>
      </c>
      <c r="Y439" s="2"/>
      <c r="Z439" s="2" t="s">
        <v>462</v>
      </c>
      <c r="AA439" s="2"/>
      <c r="AB439" s="2"/>
      <c r="AC439" s="2"/>
      <c r="AD439" s="2"/>
      <c r="AE439" s="2"/>
      <c r="AF439" s="2"/>
    </row>
    <row r="440" spans="13:33">
      <c r="N440" t="s">
        <v>647</v>
      </c>
      <c r="R440" s="8" t="s">
        <v>144</v>
      </c>
      <c r="T440" s="10">
        <v>0.11931818181818182</v>
      </c>
      <c r="U440" s="12">
        <f>AG666</f>
        <v>18.857006400000003</v>
      </c>
      <c r="V440" s="12">
        <f t="shared" si="17"/>
        <v>2.2499837181818187</v>
      </c>
      <c r="X440" s="2" t="s">
        <v>278</v>
      </c>
      <c r="Y440" s="2" t="s">
        <v>416</v>
      </c>
      <c r="Z440" s="4" t="s">
        <v>280</v>
      </c>
      <c r="AA440" s="5">
        <v>25</v>
      </c>
      <c r="AB440" s="4" t="s">
        <v>281</v>
      </c>
      <c r="AC440" s="5">
        <f>AA440</f>
        <v>25</v>
      </c>
      <c r="AD440" s="2" t="s">
        <v>282</v>
      </c>
      <c r="AF440" s="4" t="s">
        <v>203</v>
      </c>
      <c r="AG440" s="6">
        <f>AG446+AG450+AG454</f>
        <v>77.227704800000012</v>
      </c>
    </row>
    <row r="441" spans="13:33">
      <c r="N441" t="s">
        <v>851</v>
      </c>
      <c r="R441" s="8" t="s">
        <v>133</v>
      </c>
      <c r="T441" s="10">
        <v>0.38636363636363635</v>
      </c>
      <c r="U441" s="12">
        <f>AG681</f>
        <v>67.768372461538462</v>
      </c>
      <c r="V441" s="12">
        <f t="shared" si="17"/>
        <v>26.183234814685314</v>
      </c>
      <c r="X441" s="2" t="s">
        <v>283</v>
      </c>
      <c r="Y441" s="2" t="s">
        <v>284</v>
      </c>
      <c r="AC441" s="4" t="s">
        <v>122</v>
      </c>
      <c r="AD441" s="4" t="s">
        <v>285</v>
      </c>
      <c r="AE441" s="4" t="s">
        <v>286</v>
      </c>
      <c r="AF441" s="4" t="s">
        <v>287</v>
      </c>
      <c r="AG441" s="4" t="s">
        <v>288</v>
      </c>
    </row>
    <row r="442" spans="13:33">
      <c r="N442" t="s">
        <v>853</v>
      </c>
      <c r="R442" s="8" t="s">
        <v>133</v>
      </c>
      <c r="T442" s="10">
        <v>0.4</v>
      </c>
      <c r="U442" s="12">
        <f>AG701</f>
        <v>39.51</v>
      </c>
      <c r="V442" s="12">
        <f t="shared" si="17"/>
        <v>15.804</v>
      </c>
      <c r="Y442" s="7" t="s">
        <v>289</v>
      </c>
    </row>
    <row r="443" spans="13:33">
      <c r="N443" t="s">
        <v>855</v>
      </c>
      <c r="R443" s="8" t="s">
        <v>133</v>
      </c>
      <c r="T443" s="10">
        <v>5.6</v>
      </c>
      <c r="U443" s="12">
        <f>AG708</f>
        <v>17.38</v>
      </c>
      <c r="V443" s="12">
        <f t="shared" si="17"/>
        <v>97.327999999999989</v>
      </c>
      <c r="Y443" t="s">
        <v>650</v>
      </c>
      <c r="AC443" s="8" t="s">
        <v>291</v>
      </c>
      <c r="AD443" s="9">
        <v>0.1</v>
      </c>
      <c r="AE443" s="10">
        <f>AD443*8/$AA$440</f>
        <v>3.2000000000000001E-2</v>
      </c>
      <c r="AF443">
        <v>34.729999999999997</v>
      </c>
      <c r="AG443" s="12">
        <f>AE443*AF443</f>
        <v>1.1113599999999999</v>
      </c>
    </row>
    <row r="444" spans="13:33">
      <c r="M444" s="14"/>
      <c r="N444" s="14"/>
      <c r="O444" s="14"/>
      <c r="P444" s="14"/>
      <c r="Q444" s="14"/>
      <c r="R444" s="14"/>
      <c r="S444" s="14"/>
      <c r="T444" s="14"/>
      <c r="U444" s="14"/>
      <c r="V444" s="16">
        <f>SUM(V431:V443)</f>
        <v>3770.838940859569</v>
      </c>
      <c r="Y444" t="s">
        <v>663</v>
      </c>
      <c r="AC444" s="8" t="s">
        <v>291</v>
      </c>
      <c r="AD444" s="9">
        <v>1</v>
      </c>
      <c r="AE444" s="10">
        <f>AD444*8/$AA$440</f>
        <v>0.32</v>
      </c>
      <c r="AF444">
        <v>30.97</v>
      </c>
      <c r="AG444" s="12">
        <f>AE444*AF444</f>
        <v>9.9103999999999992</v>
      </c>
    </row>
    <row r="445" spans="13:33">
      <c r="Y445" t="s">
        <v>293</v>
      </c>
      <c r="AC445" s="8" t="s">
        <v>291</v>
      </c>
      <c r="AD445" s="9">
        <v>2</v>
      </c>
      <c r="AE445" s="10">
        <f>AD445*8/$AA$440</f>
        <v>0.64</v>
      </c>
      <c r="AF445">
        <v>20.51</v>
      </c>
      <c r="AG445" s="12">
        <f>AE445*AF445</f>
        <v>13.126400000000002</v>
      </c>
    </row>
    <row r="446" spans="13:33">
      <c r="AG446" s="6">
        <f>SUM(AG443:AG445)</f>
        <v>24.148160000000001</v>
      </c>
    </row>
    <row r="447" spans="13:33">
      <c r="Y447" s="7" t="s">
        <v>294</v>
      </c>
    </row>
    <row r="448" spans="13:33">
      <c r="Y448" t="s">
        <v>664</v>
      </c>
      <c r="AC448" s="8" t="s">
        <v>203</v>
      </c>
      <c r="AE448" s="10">
        <v>0.08</v>
      </c>
      <c r="AF448">
        <v>6.14</v>
      </c>
      <c r="AG448" s="12">
        <f>AE448*AF448</f>
        <v>0.49119999999999997</v>
      </c>
    </row>
    <row r="449" spans="24:33">
      <c r="Y449" t="s">
        <v>654</v>
      </c>
      <c r="AC449" s="8" t="s">
        <v>203</v>
      </c>
      <c r="AE449" s="10">
        <v>1.05</v>
      </c>
      <c r="AF449">
        <v>44.07</v>
      </c>
      <c r="AG449" s="12">
        <f>AE449*AF449</f>
        <v>46.273500000000006</v>
      </c>
    </row>
    <row r="450" spans="24:33">
      <c r="AG450" s="6">
        <f>SUM(AG448:AG449)</f>
        <v>46.764700000000005</v>
      </c>
    </row>
    <row r="451" spans="24:33">
      <c r="Y451" s="7" t="s">
        <v>317</v>
      </c>
    </row>
    <row r="452" spans="24:33">
      <c r="Y452" t="s">
        <v>310</v>
      </c>
      <c r="AC452" s="8" t="s">
        <v>311</v>
      </c>
      <c r="AE452" s="10">
        <v>3</v>
      </c>
      <c r="AF452" s="12">
        <f>AG446</f>
        <v>24.148160000000001</v>
      </c>
      <c r="AG452" s="12">
        <f>AE452%*AF452</f>
        <v>0.7244448</v>
      </c>
    </row>
    <row r="453" spans="24:33">
      <c r="Y453" t="s">
        <v>656</v>
      </c>
      <c r="AC453" s="8" t="s">
        <v>337</v>
      </c>
      <c r="AD453" s="9">
        <v>1</v>
      </c>
      <c r="AE453" s="10">
        <f>AD453*8/$AA$440</f>
        <v>0.32</v>
      </c>
      <c r="AF453">
        <v>17.47</v>
      </c>
      <c r="AG453" s="12">
        <f>AE453*AF453</f>
        <v>5.5903999999999998</v>
      </c>
    </row>
    <row r="454" spans="24:33">
      <c r="X454" s="14"/>
      <c r="Y454" s="14"/>
      <c r="Z454" s="14"/>
      <c r="AA454" s="14"/>
      <c r="AB454" s="14"/>
      <c r="AC454" s="44"/>
      <c r="AD454" s="45"/>
      <c r="AE454" s="46"/>
      <c r="AF454" s="106"/>
      <c r="AG454" s="16">
        <f>SUM(AG452:AG453)</f>
        <v>6.3148447999999995</v>
      </c>
    </row>
    <row r="456" spans="24:33">
      <c r="X456" s="2" t="s">
        <v>735</v>
      </c>
      <c r="Y456" s="2"/>
      <c r="Z456" s="2" t="s">
        <v>464</v>
      </c>
      <c r="AA456" s="2"/>
      <c r="AB456" s="2"/>
      <c r="AC456" s="2"/>
      <c r="AD456" s="2"/>
      <c r="AE456" s="2"/>
      <c r="AF456" s="2"/>
    </row>
    <row r="457" spans="24:33">
      <c r="X457" s="2" t="s">
        <v>278</v>
      </c>
      <c r="Y457" s="2" t="s">
        <v>416</v>
      </c>
      <c r="Z457" s="4" t="s">
        <v>280</v>
      </c>
      <c r="AA457" s="5">
        <v>40</v>
      </c>
      <c r="AB457" s="4" t="s">
        <v>281</v>
      </c>
      <c r="AC457" s="5">
        <f>AA457</f>
        <v>40</v>
      </c>
      <c r="AD457" s="2" t="s">
        <v>282</v>
      </c>
      <c r="AF457" s="4" t="s">
        <v>203</v>
      </c>
      <c r="AG457" s="6">
        <f>AG463+AG466+AG471</f>
        <v>30.614538000000003</v>
      </c>
    </row>
    <row r="458" spans="24:33">
      <c r="X458" s="2" t="s">
        <v>283</v>
      </c>
      <c r="Y458" s="2" t="s">
        <v>284</v>
      </c>
      <c r="AC458" s="4" t="s">
        <v>122</v>
      </c>
      <c r="AD458" s="4" t="s">
        <v>285</v>
      </c>
      <c r="AE458" s="4" t="s">
        <v>286</v>
      </c>
      <c r="AF458" s="4" t="s">
        <v>287</v>
      </c>
      <c r="AG458" s="4" t="s">
        <v>288</v>
      </c>
    </row>
    <row r="459" spans="24:33">
      <c r="Y459" s="7" t="s">
        <v>289</v>
      </c>
    </row>
    <row r="460" spans="24:33">
      <c r="Y460" t="s">
        <v>650</v>
      </c>
      <c r="AC460" s="8" t="s">
        <v>291</v>
      </c>
      <c r="AD460" s="9">
        <v>0.1</v>
      </c>
      <c r="AE460" s="10">
        <f>AD460*8/$AA$457</f>
        <v>0.02</v>
      </c>
      <c r="AF460">
        <v>34.729999999999997</v>
      </c>
      <c r="AG460" s="12">
        <f>AE460*AF460</f>
        <v>0.6946</v>
      </c>
    </row>
    <row r="461" spans="24:33">
      <c r="Y461" t="s">
        <v>663</v>
      </c>
      <c r="AC461" s="8" t="s">
        <v>291</v>
      </c>
      <c r="AD461" s="9">
        <v>1</v>
      </c>
      <c r="AE461" s="10">
        <f>AD461*8/$AA$457</f>
        <v>0.2</v>
      </c>
      <c r="AF461">
        <v>30.97</v>
      </c>
      <c r="AG461" s="12">
        <f>AE461*AF461</f>
        <v>6.194</v>
      </c>
    </row>
    <row r="462" spans="24:33">
      <c r="Y462" t="s">
        <v>293</v>
      </c>
      <c r="AC462" s="8" t="s">
        <v>291</v>
      </c>
      <c r="AD462" s="9">
        <v>3</v>
      </c>
      <c r="AE462" s="10">
        <f>AD462*8/$AA$457</f>
        <v>0.6</v>
      </c>
      <c r="AF462">
        <v>20.51</v>
      </c>
      <c r="AG462" s="12">
        <f>AE462*AF462</f>
        <v>12.306000000000001</v>
      </c>
    </row>
    <row r="463" spans="24:33">
      <c r="AG463" s="6">
        <f>SUM(AG460:AG462)</f>
        <v>19.194600000000001</v>
      </c>
    </row>
    <row r="464" spans="24:33">
      <c r="Y464" s="7" t="s">
        <v>294</v>
      </c>
    </row>
    <row r="465" spans="24:33">
      <c r="Y465" t="s">
        <v>664</v>
      </c>
      <c r="AC465" s="8" t="s">
        <v>203</v>
      </c>
      <c r="AE465" s="10">
        <v>0.08</v>
      </c>
      <c r="AF465">
        <v>6.14</v>
      </c>
      <c r="AG465" s="12">
        <f>AE465*AF465</f>
        <v>0.49119999999999997</v>
      </c>
    </row>
    <row r="466" spans="24:33">
      <c r="AG466" s="6">
        <f>SUM(AG465:AG465)</f>
        <v>0.49119999999999997</v>
      </c>
    </row>
    <row r="467" spans="24:33">
      <c r="Y467" s="7" t="s">
        <v>317</v>
      </c>
    </row>
    <row r="468" spans="24:33">
      <c r="Y468" t="s">
        <v>310</v>
      </c>
      <c r="AC468" s="8" t="s">
        <v>311</v>
      </c>
      <c r="AE468" s="10">
        <v>3</v>
      </c>
      <c r="AF468" s="12">
        <f>AG463</f>
        <v>19.194600000000001</v>
      </c>
      <c r="AG468" s="12">
        <f>AE468%*AF468</f>
        <v>0.57583799999999996</v>
      </c>
    </row>
    <row r="469" spans="24:33">
      <c r="Y469" s="186" t="s">
        <v>657</v>
      </c>
      <c r="AC469" s="8" t="s">
        <v>337</v>
      </c>
      <c r="AD469" s="9">
        <v>0.05</v>
      </c>
      <c r="AE469" s="10">
        <f>AD469*8/$AA$457</f>
        <v>0.01</v>
      </c>
      <c r="AF469">
        <v>167.49</v>
      </c>
      <c r="AG469" s="12">
        <f>AE469*AF469</f>
        <v>1.6749000000000001</v>
      </c>
    </row>
    <row r="470" spans="24:33">
      <c r="Y470" s="186" t="s">
        <v>1360</v>
      </c>
      <c r="AC470" s="8" t="s">
        <v>337</v>
      </c>
      <c r="AD470" s="9">
        <v>1</v>
      </c>
      <c r="AE470" s="10">
        <f>AD470*8/$AA$457</f>
        <v>0.2</v>
      </c>
      <c r="AF470">
        <v>43.39</v>
      </c>
      <c r="AG470" s="12">
        <f>AE470*AF470</f>
        <v>8.6780000000000008</v>
      </c>
    </row>
    <row r="471" spans="24:33">
      <c r="X471" s="14"/>
      <c r="Y471" s="14"/>
      <c r="Z471" s="14"/>
      <c r="AA471" s="14"/>
      <c r="AB471" s="14"/>
      <c r="AC471" s="44"/>
      <c r="AD471" s="45"/>
      <c r="AE471" s="46"/>
      <c r="AF471" s="106"/>
      <c r="AG471" s="16">
        <f>SUM(AG468:AG470)</f>
        <v>10.928738000000001</v>
      </c>
    </row>
    <row r="473" spans="24:33">
      <c r="X473" s="2" t="s">
        <v>277</v>
      </c>
      <c r="Y473" s="2"/>
      <c r="Z473" s="2" t="s">
        <v>468</v>
      </c>
      <c r="AA473" s="2"/>
    </row>
    <row r="474" spans="24:33">
      <c r="X474" s="2" t="s">
        <v>278</v>
      </c>
      <c r="Y474" s="2" t="s">
        <v>313</v>
      </c>
      <c r="Z474" s="4" t="s">
        <v>280</v>
      </c>
      <c r="AA474" s="5">
        <v>80</v>
      </c>
      <c r="AB474" s="4" t="s">
        <v>281</v>
      </c>
      <c r="AC474" s="5">
        <f>AA474</f>
        <v>80</v>
      </c>
      <c r="AD474" s="2" t="s">
        <v>282</v>
      </c>
      <c r="AF474" s="4" t="s">
        <v>144</v>
      </c>
      <c r="AG474" s="6">
        <f>AG478+AG482</f>
        <v>12.11253</v>
      </c>
    </row>
    <row r="475" spans="24:33">
      <c r="X475" s="2" t="s">
        <v>283</v>
      </c>
      <c r="Y475" s="2" t="s">
        <v>284</v>
      </c>
      <c r="AC475" s="4" t="s">
        <v>122</v>
      </c>
      <c r="AD475" s="4" t="s">
        <v>285</v>
      </c>
      <c r="AE475" s="4" t="s">
        <v>286</v>
      </c>
      <c r="AF475" s="4" t="s">
        <v>287</v>
      </c>
      <c r="AG475" s="4" t="s">
        <v>288</v>
      </c>
    </row>
    <row r="476" spans="24:33">
      <c r="Y476" s="7" t="s">
        <v>289</v>
      </c>
    </row>
    <row r="477" spans="24:33">
      <c r="Y477" t="s">
        <v>293</v>
      </c>
      <c r="AC477" s="8" t="s">
        <v>291</v>
      </c>
      <c r="AD477" s="9">
        <v>1</v>
      </c>
      <c r="AE477" s="10">
        <f>AD477*8/$AA$474</f>
        <v>0.1</v>
      </c>
      <c r="AF477">
        <v>20.51</v>
      </c>
      <c r="AG477" s="12">
        <f>AE477*AF477</f>
        <v>2.0510000000000002</v>
      </c>
    </row>
    <row r="478" spans="24:33">
      <c r="AC478" s="8"/>
      <c r="AD478" s="9"/>
      <c r="AE478" s="10"/>
      <c r="AG478" s="6">
        <f>SUM(AG477:AG477)</f>
        <v>2.0510000000000002</v>
      </c>
    </row>
    <row r="479" spans="24:33">
      <c r="Y479" s="7" t="s">
        <v>309</v>
      </c>
    </row>
    <row r="480" spans="24:33">
      <c r="Y480" t="s">
        <v>310</v>
      </c>
      <c r="AC480" s="8" t="s">
        <v>311</v>
      </c>
      <c r="AE480" s="10">
        <v>3</v>
      </c>
      <c r="AF480" s="12">
        <f>AG478</f>
        <v>2.0510000000000002</v>
      </c>
      <c r="AG480" s="12">
        <f>AE480%*AF480</f>
        <v>6.1530000000000001E-2</v>
      </c>
    </row>
    <row r="481" spans="24:36">
      <c r="Y481" t="s">
        <v>660</v>
      </c>
      <c r="AC481" s="8" t="s">
        <v>337</v>
      </c>
      <c r="AD481" s="9">
        <v>1</v>
      </c>
      <c r="AE481" s="10">
        <f>AD481*8/$AA$474</f>
        <v>0.1</v>
      </c>
      <c r="AF481">
        <v>100</v>
      </c>
      <c r="AG481" s="12">
        <f>AE481*AF481</f>
        <v>10</v>
      </c>
    </row>
    <row r="482" spans="24:36">
      <c r="X482" s="14"/>
      <c r="Y482" s="14"/>
      <c r="Z482" s="14"/>
      <c r="AA482" s="14"/>
      <c r="AB482" s="14"/>
      <c r="AC482" s="14"/>
      <c r="AD482" s="14"/>
      <c r="AE482" s="14"/>
      <c r="AF482" s="15"/>
      <c r="AG482" s="16">
        <f>SUM(AG480:AG481)</f>
        <v>10.061529999999999</v>
      </c>
    </row>
    <row r="484" spans="24:36">
      <c r="X484" s="2" t="s">
        <v>277</v>
      </c>
      <c r="Y484" s="2"/>
      <c r="Z484" s="2" t="s">
        <v>470</v>
      </c>
      <c r="AA484" s="2"/>
    </row>
    <row r="485" spans="24:36">
      <c r="X485" s="2" t="s">
        <v>278</v>
      </c>
      <c r="Y485" s="2" t="s">
        <v>416</v>
      </c>
      <c r="Z485" s="4" t="s">
        <v>280</v>
      </c>
      <c r="AA485" s="5">
        <v>187.5</v>
      </c>
      <c r="AB485" s="4" t="s">
        <v>281</v>
      </c>
      <c r="AC485" s="5">
        <f>AA485</f>
        <v>187.5</v>
      </c>
      <c r="AD485" s="2" t="s">
        <v>282</v>
      </c>
      <c r="AF485" s="4" t="s">
        <v>203</v>
      </c>
      <c r="AG485" s="6">
        <f>AG490+AG495</f>
        <v>22.910007466666666</v>
      </c>
    </row>
    <row r="486" spans="24:36">
      <c r="X486" s="2" t="s">
        <v>283</v>
      </c>
      <c r="Y486" s="2" t="s">
        <v>284</v>
      </c>
      <c r="AC486" s="4" t="s">
        <v>122</v>
      </c>
      <c r="AD486" s="4" t="s">
        <v>285</v>
      </c>
      <c r="AE486" s="4" t="s">
        <v>286</v>
      </c>
      <c r="AF486" s="4" t="s">
        <v>287</v>
      </c>
      <c r="AG486" s="4" t="s">
        <v>288</v>
      </c>
      <c r="AJ486" t="s">
        <v>1361</v>
      </c>
    </row>
    <row r="487" spans="24:36">
      <c r="Y487" s="7" t="s">
        <v>289</v>
      </c>
    </row>
    <row r="488" spans="24:36">
      <c r="Y488" t="s">
        <v>292</v>
      </c>
      <c r="AC488" s="8" t="s">
        <v>291</v>
      </c>
      <c r="AD488" s="9">
        <v>1</v>
      </c>
      <c r="AE488" s="10">
        <f>AD488*8/$AA$485</f>
        <v>4.2666666666666665E-2</v>
      </c>
      <c r="AF488">
        <v>23.6</v>
      </c>
      <c r="AG488" s="12">
        <f>AE488*AF488</f>
        <v>1.0069333333333335</v>
      </c>
    </row>
    <row r="489" spans="24:36">
      <c r="Y489" t="s">
        <v>293</v>
      </c>
      <c r="AC489" s="8" t="s">
        <v>291</v>
      </c>
      <c r="AD489" s="9">
        <v>1</v>
      </c>
      <c r="AE489" s="10">
        <f>AD489*8/$AA$485</f>
        <v>4.2666666666666665E-2</v>
      </c>
      <c r="AF489">
        <v>20.51</v>
      </c>
      <c r="AG489" s="12">
        <f>AE489*AF489</f>
        <v>0.87509333333333339</v>
      </c>
    </row>
    <row r="490" spans="24:36">
      <c r="AC490" s="8"/>
      <c r="AD490" s="9"/>
      <c r="AE490" s="10"/>
      <c r="AG490" s="6">
        <f>SUM(AG488:AG489)</f>
        <v>1.882026666666667</v>
      </c>
    </row>
    <row r="491" spans="24:36">
      <c r="Y491" s="7" t="s">
        <v>309</v>
      </c>
    </row>
    <row r="492" spans="24:36">
      <c r="Y492" t="s">
        <v>310</v>
      </c>
      <c r="AC492" s="8" t="s">
        <v>311</v>
      </c>
      <c r="AE492" s="10">
        <v>3</v>
      </c>
      <c r="AF492" s="12">
        <f>AG490</f>
        <v>1.882026666666667</v>
      </c>
      <c r="AG492" s="12">
        <f>AE492%*AF492</f>
        <v>5.6460800000000005E-2</v>
      </c>
    </row>
    <row r="493" spans="24:36">
      <c r="Y493" t="s">
        <v>661</v>
      </c>
      <c r="AC493" s="8" t="s">
        <v>337</v>
      </c>
      <c r="AD493" s="9">
        <v>1</v>
      </c>
      <c r="AE493" s="10">
        <f>AD493*8/$AA$485</f>
        <v>4.2666666666666665E-2</v>
      </c>
      <c r="AF493" s="12">
        <v>118.64</v>
      </c>
      <c r="AG493" s="12">
        <f>AE493*AF493</f>
        <v>5.0619733333333334</v>
      </c>
    </row>
    <row r="494" spans="24:36">
      <c r="Y494" t="s">
        <v>662</v>
      </c>
      <c r="AC494" s="8" t="s">
        <v>337</v>
      </c>
      <c r="AD494" s="9">
        <v>2</v>
      </c>
      <c r="AE494" s="10">
        <f>AD494*8/$AA$485</f>
        <v>8.533333333333333E-2</v>
      </c>
      <c r="AF494" s="12">
        <v>186.44</v>
      </c>
      <c r="AG494" s="12">
        <f>AE494*AF494</f>
        <v>15.909546666666666</v>
      </c>
    </row>
    <row r="495" spans="24:36">
      <c r="X495" s="14"/>
      <c r="Y495" s="14"/>
      <c r="Z495" s="14"/>
      <c r="AA495" s="14"/>
      <c r="AB495" s="14"/>
      <c r="AC495" s="14"/>
      <c r="AD495" s="14"/>
      <c r="AE495" s="14"/>
      <c r="AF495" s="15"/>
      <c r="AG495" s="16">
        <f>SUM(AG492:AG494)</f>
        <v>21.027980799999998</v>
      </c>
    </row>
    <row r="497" spans="24:45">
      <c r="X497" s="2" t="s">
        <v>277</v>
      </c>
      <c r="Y497" s="2"/>
      <c r="Z497" s="2" t="s">
        <v>641</v>
      </c>
      <c r="AA497" s="2"/>
      <c r="AJ497" s="31" t="s">
        <v>277</v>
      </c>
      <c r="AK497" s="31"/>
      <c r="AL497" s="31" t="s">
        <v>736</v>
      </c>
      <c r="AM497" s="31"/>
    </row>
    <row r="498" spans="24:45">
      <c r="X498" s="2" t="s">
        <v>278</v>
      </c>
      <c r="Y498" s="2" t="s">
        <v>416</v>
      </c>
      <c r="Z498" s="4" t="s">
        <v>280</v>
      </c>
      <c r="AA498" s="5">
        <v>187.5</v>
      </c>
      <c r="AB498" s="4" t="s">
        <v>281</v>
      </c>
      <c r="AC498" s="5">
        <f>AA498</f>
        <v>187.5</v>
      </c>
      <c r="AD498" s="2" t="s">
        <v>282</v>
      </c>
      <c r="AF498" s="4" t="s">
        <v>203</v>
      </c>
      <c r="AG498" s="6">
        <f>AG504</f>
        <v>1489.7348144000002</v>
      </c>
      <c r="AJ498" s="31" t="s">
        <v>278</v>
      </c>
      <c r="AK498" s="31" t="s">
        <v>279</v>
      </c>
      <c r="AL498" s="32" t="s">
        <v>280</v>
      </c>
      <c r="AM498" s="33">
        <v>10</v>
      </c>
      <c r="AN498" s="32" t="s">
        <v>281</v>
      </c>
      <c r="AO498" s="33">
        <f>AM498</f>
        <v>10</v>
      </c>
      <c r="AP498" s="31" t="s">
        <v>282</v>
      </c>
      <c r="AR498" s="32" t="s">
        <v>133</v>
      </c>
      <c r="AS498" s="34">
        <f>AS504+AS509+AS512</f>
        <v>76.557780000000008</v>
      </c>
    </row>
    <row r="499" spans="24:45">
      <c r="X499" s="2" t="s">
        <v>283</v>
      </c>
      <c r="Y499" s="2" t="s">
        <v>284</v>
      </c>
      <c r="AC499" s="4" t="s">
        <v>122</v>
      </c>
      <c r="AD499" s="4" t="s">
        <v>285</v>
      </c>
      <c r="AE499" s="4" t="s">
        <v>286</v>
      </c>
      <c r="AF499" s="4" t="s">
        <v>287</v>
      </c>
      <c r="AG499" s="4" t="s">
        <v>288</v>
      </c>
      <c r="AJ499" s="31" t="s">
        <v>283</v>
      </c>
      <c r="AK499" s="31" t="s">
        <v>284</v>
      </c>
      <c r="AO499" s="32" t="s">
        <v>122</v>
      </c>
      <c r="AP499" s="32" t="s">
        <v>285</v>
      </c>
      <c r="AQ499" s="32" t="s">
        <v>286</v>
      </c>
      <c r="AR499" s="32" t="s">
        <v>287</v>
      </c>
      <c r="AS499" s="32" t="s">
        <v>288</v>
      </c>
    </row>
    <row r="500" spans="24:45">
      <c r="Y500" s="7" t="s">
        <v>737</v>
      </c>
      <c r="AK500" s="35" t="s">
        <v>289</v>
      </c>
    </row>
    <row r="501" spans="24:45">
      <c r="Y501" t="s">
        <v>736</v>
      </c>
      <c r="AC501" s="8" t="s">
        <v>133</v>
      </c>
      <c r="AE501" s="10">
        <v>6.88</v>
      </c>
      <c r="AF501" s="12">
        <f>AS498</f>
        <v>76.557780000000008</v>
      </c>
      <c r="AG501" s="12">
        <f>AE501*AF501</f>
        <v>526.7175264</v>
      </c>
      <c r="AK501" t="s">
        <v>290</v>
      </c>
      <c r="AO501" s="8" t="s">
        <v>291</v>
      </c>
      <c r="AP501" s="9">
        <v>1</v>
      </c>
      <c r="AQ501" s="10">
        <f>AP501*8/$AM$498</f>
        <v>0.8</v>
      </c>
      <c r="AR501" s="12">
        <v>28.94</v>
      </c>
      <c r="AS501" s="12">
        <f>AQ501*AR501</f>
        <v>23.152000000000001</v>
      </c>
    </row>
    <row r="502" spans="24:45">
      <c r="Y502" t="s">
        <v>738</v>
      </c>
      <c r="AC502" s="8" t="s">
        <v>203</v>
      </c>
      <c r="AD502" s="9"/>
      <c r="AE502" s="10">
        <v>0.95</v>
      </c>
      <c r="AF502" s="12">
        <f>AS515</f>
        <v>469.75504000000001</v>
      </c>
      <c r="AG502" s="12">
        <f>AE502*AF502</f>
        <v>446.26728800000001</v>
      </c>
      <c r="AK502" t="s">
        <v>292</v>
      </c>
      <c r="AO502" s="8" t="s">
        <v>291</v>
      </c>
      <c r="AP502" s="9">
        <v>1</v>
      </c>
      <c r="AQ502" s="10">
        <f>AP502*8/$AM$498</f>
        <v>0.8</v>
      </c>
      <c r="AR502" s="12">
        <v>23.6</v>
      </c>
      <c r="AS502" s="12">
        <f>AQ502*AR502</f>
        <v>18.880000000000003</v>
      </c>
    </row>
    <row r="503" spans="24:45">
      <c r="Y503" t="s">
        <v>739</v>
      </c>
      <c r="AC503" s="8" t="s">
        <v>296</v>
      </c>
      <c r="AE503">
        <v>79.500000000000014</v>
      </c>
      <c r="AF503" s="12">
        <v>6.5</v>
      </c>
      <c r="AG503" s="12">
        <f>AE503*AF503</f>
        <v>516.75000000000011</v>
      </c>
      <c r="AK503" t="s">
        <v>293</v>
      </c>
      <c r="AO503" s="8" t="s">
        <v>291</v>
      </c>
      <c r="AP503" s="9">
        <v>0.5</v>
      </c>
      <c r="AQ503" s="10">
        <f>AP503*8/$AM$498</f>
        <v>0.4</v>
      </c>
      <c r="AR503" s="12">
        <v>21.36</v>
      </c>
      <c r="AS503" s="12">
        <f>AQ503*AR503</f>
        <v>8.5440000000000005</v>
      </c>
    </row>
    <row r="504" spans="24:45">
      <c r="X504" s="14"/>
      <c r="Y504" s="14"/>
      <c r="Z504" s="14"/>
      <c r="AA504" s="14"/>
      <c r="AB504" s="14"/>
      <c r="AC504" s="14"/>
      <c r="AD504" s="14"/>
      <c r="AE504" s="14"/>
      <c r="AF504" s="15"/>
      <c r="AG504" s="16">
        <f>SUM(AG501:AG503)</f>
        <v>1489.7348144000002</v>
      </c>
      <c r="AO504" s="8"/>
      <c r="AP504" s="9"/>
      <c r="AQ504" s="10"/>
      <c r="AS504" s="34">
        <f>SUM(AS501:AS503)</f>
        <v>50.576000000000008</v>
      </c>
    </row>
    <row r="505" spans="24:45">
      <c r="AK505" s="35" t="s">
        <v>653</v>
      </c>
      <c r="AO505" s="8"/>
      <c r="AP505" s="9"/>
      <c r="AQ505" s="10"/>
      <c r="AS505" s="12"/>
    </row>
    <row r="506" spans="24:45">
      <c r="X506" s="2" t="s">
        <v>277</v>
      </c>
      <c r="Y506" s="2"/>
      <c r="Z506" s="2" t="s">
        <v>740</v>
      </c>
      <c r="AA506" s="2"/>
      <c r="AK506" t="s">
        <v>688</v>
      </c>
      <c r="AO506" s="8" t="s">
        <v>296</v>
      </c>
      <c r="AQ506" s="10">
        <v>0.1</v>
      </c>
      <c r="AR506" s="12">
        <v>2.64</v>
      </c>
      <c r="AS506" s="12">
        <f>AQ506*AR506</f>
        <v>0.26400000000000001</v>
      </c>
    </row>
    <row r="507" spans="24:45">
      <c r="X507" s="2" t="s">
        <v>278</v>
      </c>
      <c r="Y507" s="2" t="s">
        <v>416</v>
      </c>
      <c r="Z507" s="4" t="s">
        <v>280</v>
      </c>
      <c r="AA507" s="5">
        <v>187.5</v>
      </c>
      <c r="AB507" s="4" t="s">
        <v>281</v>
      </c>
      <c r="AC507" s="5">
        <f>AA507</f>
        <v>187.5</v>
      </c>
      <c r="AD507" s="2" t="s">
        <v>282</v>
      </c>
      <c r="AF507" s="4" t="s">
        <v>203</v>
      </c>
      <c r="AG507" s="6">
        <f>AG513</f>
        <v>1583.5817403999999</v>
      </c>
      <c r="AK507" t="s">
        <v>301</v>
      </c>
      <c r="AO507" s="8" t="s">
        <v>296</v>
      </c>
      <c r="AQ507" s="10">
        <v>0.15</v>
      </c>
      <c r="AR507" s="12">
        <v>5.51</v>
      </c>
      <c r="AS507" s="12">
        <f>AQ507*AR507</f>
        <v>0.8264999999999999</v>
      </c>
    </row>
    <row r="508" spans="24:45">
      <c r="X508" s="2" t="s">
        <v>283</v>
      </c>
      <c r="Y508" s="2" t="s">
        <v>284</v>
      </c>
      <c r="AC508" s="4" t="s">
        <v>122</v>
      </c>
      <c r="AD508" s="4" t="s">
        <v>285</v>
      </c>
      <c r="AE508" s="4" t="s">
        <v>286</v>
      </c>
      <c r="AF508" s="4" t="s">
        <v>287</v>
      </c>
      <c r="AG508" s="4" t="s">
        <v>288</v>
      </c>
      <c r="AK508" t="s">
        <v>669</v>
      </c>
      <c r="AO508" s="8" t="s">
        <v>305</v>
      </c>
      <c r="AQ508" s="10">
        <v>4.03</v>
      </c>
      <c r="AR508" s="12">
        <v>5.8</v>
      </c>
      <c r="AS508" s="12">
        <f>AQ508*AR508</f>
        <v>23.374000000000002</v>
      </c>
    </row>
    <row r="509" spans="24:45">
      <c r="Y509" s="7" t="s">
        <v>737</v>
      </c>
      <c r="AO509" s="8"/>
      <c r="AQ509" s="10"/>
      <c r="AR509" s="12"/>
      <c r="AS509" s="34">
        <f>SUM(AS506:AS508)</f>
        <v>24.464500000000001</v>
      </c>
    </row>
    <row r="510" spans="24:45">
      <c r="Y510" t="s">
        <v>1362</v>
      </c>
      <c r="AC510" s="8" t="s">
        <v>133</v>
      </c>
      <c r="AE510">
        <v>6.88</v>
      </c>
      <c r="AF510" s="12">
        <f>AS549</f>
        <v>79.243380000000002</v>
      </c>
      <c r="AG510" s="12">
        <f>AE510*AF510</f>
        <v>545.19445440000004</v>
      </c>
      <c r="AK510" s="35" t="s">
        <v>309</v>
      </c>
    </row>
    <row r="511" spans="24:45">
      <c r="Y511" t="s">
        <v>1363</v>
      </c>
      <c r="AC511" s="8" t="s">
        <v>203</v>
      </c>
      <c r="AD511" s="9"/>
      <c r="AE511">
        <v>0.95</v>
      </c>
      <c r="AF511" s="12">
        <f>AS566</f>
        <v>549.09188000000006</v>
      </c>
      <c r="AG511" s="12">
        <f>AE511*AF511</f>
        <v>521.63728600000002</v>
      </c>
      <c r="AK511" t="s">
        <v>310</v>
      </c>
      <c r="AO511" s="8" t="s">
        <v>311</v>
      </c>
      <c r="AQ511" s="10">
        <v>3</v>
      </c>
      <c r="AR511" s="12">
        <f>AS504</f>
        <v>50.576000000000008</v>
      </c>
      <c r="AS511" s="12">
        <f>AQ511%*AR511</f>
        <v>1.5172800000000002</v>
      </c>
    </row>
    <row r="512" spans="24:45">
      <c r="Y512" t="s">
        <v>1364</v>
      </c>
      <c r="AC512" s="8" t="s">
        <v>296</v>
      </c>
      <c r="AE512">
        <v>79.500000000000014</v>
      </c>
      <c r="AF512" s="12">
        <v>6.5</v>
      </c>
      <c r="AG512" s="12">
        <f>AE512*AF512</f>
        <v>516.75000000000011</v>
      </c>
      <c r="AJ512" s="14"/>
      <c r="AK512" s="14"/>
      <c r="AL512" s="14"/>
      <c r="AM512" s="14"/>
      <c r="AN512" s="14"/>
      <c r="AO512" s="14"/>
      <c r="AP512" s="14"/>
      <c r="AQ512" s="14"/>
      <c r="AR512" s="14"/>
      <c r="AS512" s="36">
        <f>SUM(AS511)</f>
        <v>1.5172800000000002</v>
      </c>
    </row>
    <row r="513" spans="24:45">
      <c r="X513" s="14"/>
      <c r="Y513" s="14"/>
      <c r="Z513" s="14"/>
      <c r="AA513" s="14"/>
      <c r="AB513" s="14"/>
      <c r="AC513" s="14"/>
      <c r="AD513" s="14"/>
      <c r="AE513" s="14"/>
      <c r="AF513" s="15"/>
      <c r="AG513" s="16">
        <f>SUM(AG510:AG512)</f>
        <v>1583.5817403999999</v>
      </c>
    </row>
    <row r="514" spans="24:45">
      <c r="AJ514" s="31" t="s">
        <v>277</v>
      </c>
      <c r="AK514" s="31"/>
      <c r="AL514" s="31" t="s">
        <v>738</v>
      </c>
      <c r="AM514" s="31"/>
    </row>
    <row r="515" spans="24:45">
      <c r="AC515" s="8"/>
      <c r="AJ515" s="31" t="s">
        <v>278</v>
      </c>
      <c r="AK515" s="31" t="s">
        <v>416</v>
      </c>
      <c r="AL515" s="32" t="s">
        <v>280</v>
      </c>
      <c r="AM515" s="33">
        <v>20</v>
      </c>
      <c r="AN515" s="32" t="s">
        <v>281</v>
      </c>
      <c r="AO515" s="33">
        <f>AM515</f>
        <v>20</v>
      </c>
      <c r="AP515" s="31" t="s">
        <v>282</v>
      </c>
      <c r="AR515" s="32" t="s">
        <v>203</v>
      </c>
      <c r="AS515" s="34">
        <f>AS521+AS526+AS530</f>
        <v>469.75504000000001</v>
      </c>
    </row>
    <row r="516" spans="24:45">
      <c r="X516" s="2" t="s">
        <v>277</v>
      </c>
      <c r="Y516" s="2"/>
      <c r="Z516" s="2" t="s">
        <v>645</v>
      </c>
      <c r="AA516" s="2"/>
      <c r="AJ516" s="31" t="s">
        <v>283</v>
      </c>
      <c r="AK516" s="31" t="s">
        <v>284</v>
      </c>
      <c r="AO516" s="32" t="s">
        <v>122</v>
      </c>
      <c r="AP516" s="32" t="s">
        <v>285</v>
      </c>
      <c r="AQ516" s="32" t="s">
        <v>286</v>
      </c>
      <c r="AR516" s="32" t="s">
        <v>287</v>
      </c>
      <c r="AS516" s="32" t="s">
        <v>288</v>
      </c>
    </row>
    <row r="517" spans="24:45">
      <c r="X517" s="2" t="s">
        <v>278</v>
      </c>
      <c r="Y517" s="2" t="s">
        <v>416</v>
      </c>
      <c r="Z517" s="4" t="s">
        <v>280</v>
      </c>
      <c r="AA517" s="5">
        <v>187.5</v>
      </c>
      <c r="AB517" s="4" t="s">
        <v>281</v>
      </c>
      <c r="AC517" s="5">
        <f>AA517</f>
        <v>187.5</v>
      </c>
      <c r="AD517" s="2" t="s">
        <v>282</v>
      </c>
      <c r="AF517" s="4" t="s">
        <v>203</v>
      </c>
      <c r="AG517" s="6">
        <f>AG523</f>
        <v>107.84565577777778</v>
      </c>
      <c r="AK517" s="35" t="s">
        <v>289</v>
      </c>
    </row>
    <row r="518" spans="24:45">
      <c r="X518" s="2" t="s">
        <v>283</v>
      </c>
      <c r="Y518" s="2" t="s">
        <v>284</v>
      </c>
      <c r="AC518" s="4" t="s">
        <v>122</v>
      </c>
      <c r="AD518" s="4" t="s">
        <v>285</v>
      </c>
      <c r="AE518" s="4" t="s">
        <v>286</v>
      </c>
      <c r="AF518" s="4" t="s">
        <v>287</v>
      </c>
      <c r="AG518" s="4" t="s">
        <v>288</v>
      </c>
      <c r="AK518" t="s">
        <v>290</v>
      </c>
      <c r="AO518" s="8" t="s">
        <v>291</v>
      </c>
      <c r="AP518" s="9">
        <v>2</v>
      </c>
      <c r="AQ518" s="10">
        <f>AP518*8/$AM$515</f>
        <v>0.8</v>
      </c>
      <c r="AR518" s="12">
        <v>28.94</v>
      </c>
      <c r="AS518" s="12">
        <f>AQ518*AR518</f>
        <v>23.152000000000001</v>
      </c>
    </row>
    <row r="519" spans="24:45">
      <c r="Y519" s="7" t="s">
        <v>737</v>
      </c>
      <c r="AK519" t="s">
        <v>292</v>
      </c>
      <c r="AO519" s="8" t="s">
        <v>291</v>
      </c>
      <c r="AP519" s="9">
        <v>1</v>
      </c>
      <c r="AQ519" s="10">
        <f>AP519*8/$AM$515</f>
        <v>0.4</v>
      </c>
      <c r="AR519" s="12">
        <v>23.6</v>
      </c>
      <c r="AS519" s="12">
        <f>AQ519*AR519</f>
        <v>9.4400000000000013</v>
      </c>
    </row>
    <row r="520" spans="24:45">
      <c r="Y520" t="s">
        <v>1365</v>
      </c>
      <c r="AC520" s="8" t="s">
        <v>133</v>
      </c>
      <c r="AE520">
        <v>0.4</v>
      </c>
      <c r="AF520" s="12">
        <f>AS603</f>
        <v>79.016844444444445</v>
      </c>
      <c r="AG520" s="12">
        <f>AE520*AF520</f>
        <v>31.606737777777781</v>
      </c>
      <c r="AK520" t="s">
        <v>293</v>
      </c>
      <c r="AO520" s="8" t="s">
        <v>291</v>
      </c>
      <c r="AP520" s="9">
        <v>4</v>
      </c>
      <c r="AQ520" s="10">
        <f>AP520*8/$AM$515</f>
        <v>1.6</v>
      </c>
      <c r="AR520" s="12">
        <v>21.36</v>
      </c>
      <c r="AS520" s="12">
        <f>AQ520*AR520</f>
        <v>34.176000000000002</v>
      </c>
    </row>
    <row r="521" spans="24:45">
      <c r="Y521" t="s">
        <v>1366</v>
      </c>
      <c r="AC521" s="8" t="s">
        <v>203</v>
      </c>
      <c r="AE521">
        <v>0.05</v>
      </c>
      <c r="AF521" s="12">
        <f>AS619</f>
        <v>419.77836000000002</v>
      </c>
      <c r="AG521" s="12">
        <f>AE521*AF521</f>
        <v>20.988918000000002</v>
      </c>
      <c r="AO521" s="8"/>
      <c r="AP521" s="9"/>
      <c r="AQ521" s="10"/>
      <c r="AS521" s="34">
        <f>SUM(AS518:AS520)</f>
        <v>66.768000000000001</v>
      </c>
    </row>
    <row r="522" spans="24:45">
      <c r="Y522" t="s">
        <v>1367</v>
      </c>
      <c r="AC522" s="8" t="s">
        <v>296</v>
      </c>
      <c r="AD522" s="9"/>
      <c r="AE522" s="10">
        <v>8.5</v>
      </c>
      <c r="AF522" s="12">
        <v>6.5</v>
      </c>
      <c r="AG522" s="12">
        <f>AE522*AF522</f>
        <v>55.25</v>
      </c>
      <c r="AK522" s="35" t="s">
        <v>653</v>
      </c>
      <c r="AO522" s="8"/>
      <c r="AP522" s="9"/>
      <c r="AQ522" s="10"/>
      <c r="AS522" s="12"/>
    </row>
    <row r="523" spans="24:45">
      <c r="X523" s="14"/>
      <c r="Y523" s="14"/>
      <c r="Z523" s="14"/>
      <c r="AA523" s="14"/>
      <c r="AB523" s="14"/>
      <c r="AC523" s="14"/>
      <c r="AD523" s="14"/>
      <c r="AE523" s="14"/>
      <c r="AF523" s="15"/>
      <c r="AG523" s="16">
        <f>SUM(AG520:AG522)</f>
        <v>107.84565577777778</v>
      </c>
      <c r="AK523" s="186" t="s">
        <v>721</v>
      </c>
      <c r="AO523" s="8" t="s">
        <v>203</v>
      </c>
      <c r="AQ523" s="10">
        <v>0.1</v>
      </c>
      <c r="AR523" s="12">
        <v>24.52</v>
      </c>
      <c r="AS523" s="12">
        <f>AQ523*AR523</f>
        <v>2.452</v>
      </c>
    </row>
    <row r="524" spans="24:45">
      <c r="AK524" s="186" t="s">
        <v>722</v>
      </c>
      <c r="AO524" s="8" t="s">
        <v>203</v>
      </c>
      <c r="AQ524" s="10">
        <v>1.02</v>
      </c>
      <c r="AR524" s="12">
        <v>358</v>
      </c>
      <c r="AS524" s="12">
        <f>AQ524*AR524</f>
        <v>365.16</v>
      </c>
    </row>
    <row r="525" spans="24:45">
      <c r="AK525" s="186" t="s">
        <v>723</v>
      </c>
      <c r="AO525" s="8" t="s">
        <v>307</v>
      </c>
      <c r="AQ525" s="10">
        <v>1.02</v>
      </c>
      <c r="AR525" s="12">
        <v>30</v>
      </c>
      <c r="AS525" s="12">
        <f>AQ525*AR525</f>
        <v>30.6</v>
      </c>
    </row>
    <row r="526" spans="24:45">
      <c r="AC526" s="8"/>
      <c r="AO526" s="8"/>
      <c r="AQ526" s="10"/>
      <c r="AR526" s="12"/>
      <c r="AS526" s="34">
        <f>SUM(AS523:AS525)</f>
        <v>398.21200000000005</v>
      </c>
    </row>
    <row r="527" spans="24:45">
      <c r="AC527" s="8"/>
      <c r="AK527" s="35" t="s">
        <v>309</v>
      </c>
    </row>
    <row r="528" spans="24:45">
      <c r="AC528" s="8"/>
      <c r="AD528" s="9"/>
      <c r="AE528" s="10"/>
      <c r="AF528" s="12"/>
      <c r="AG528" s="12"/>
      <c r="AK528" t="s">
        <v>310</v>
      </c>
      <c r="AO528" s="8" t="s">
        <v>311</v>
      </c>
      <c r="AQ528" s="10">
        <v>3</v>
      </c>
      <c r="AR528" s="12">
        <f>AS521</f>
        <v>66.768000000000001</v>
      </c>
      <c r="AS528" s="12">
        <f>AQ528%*AR528</f>
        <v>2.0030399999999999</v>
      </c>
    </row>
    <row r="529" spans="36:45">
      <c r="AK529" s="186" t="s">
        <v>724</v>
      </c>
      <c r="AO529" s="8" t="s">
        <v>337</v>
      </c>
      <c r="AP529" s="9">
        <v>1</v>
      </c>
      <c r="AQ529" s="10">
        <f>AP529*8/$AM$515</f>
        <v>0.4</v>
      </c>
      <c r="AR529" s="12">
        <v>6.93</v>
      </c>
      <c r="AS529" s="12">
        <f>AQ529*AR529</f>
        <v>2.7720000000000002</v>
      </c>
    </row>
    <row r="530" spans="36:45">
      <c r="AJ530" s="14"/>
      <c r="AK530" s="14"/>
      <c r="AL530" s="14"/>
      <c r="AM530" s="14"/>
      <c r="AN530" s="14"/>
      <c r="AO530" s="14"/>
      <c r="AP530" s="14"/>
      <c r="AQ530" s="14"/>
      <c r="AR530" s="14"/>
      <c r="AS530" s="36">
        <f>SUM(AS528:AS529)</f>
        <v>4.7750400000000006</v>
      </c>
    </row>
    <row r="532" spans="36:45">
      <c r="AJ532" s="31" t="s">
        <v>277</v>
      </c>
      <c r="AK532" s="31"/>
      <c r="AL532" s="31" t="s">
        <v>739</v>
      </c>
      <c r="AM532" s="31"/>
    </row>
    <row r="533" spans="36:45">
      <c r="AJ533" s="31" t="s">
        <v>278</v>
      </c>
      <c r="AK533" s="31" t="s">
        <v>279</v>
      </c>
      <c r="AL533" s="32" t="s">
        <v>280</v>
      </c>
      <c r="AM533" s="33">
        <v>250</v>
      </c>
      <c r="AN533" s="32" t="s">
        <v>281</v>
      </c>
      <c r="AO533" s="33">
        <f>AM533</f>
        <v>250</v>
      </c>
      <c r="AP533" s="31" t="s">
        <v>282</v>
      </c>
      <c r="AR533" s="32" t="s">
        <v>133</v>
      </c>
      <c r="AS533" s="34">
        <f>AS538+AS542+AS546</f>
        <v>8.7959183999999997</v>
      </c>
    </row>
    <row r="534" spans="36:45">
      <c r="AJ534" s="31" t="s">
        <v>283</v>
      </c>
      <c r="AK534" s="31" t="s">
        <v>284</v>
      </c>
      <c r="AO534" s="32" t="s">
        <v>122</v>
      </c>
      <c r="AP534" s="32" t="s">
        <v>285</v>
      </c>
      <c r="AQ534" s="32" t="s">
        <v>286</v>
      </c>
      <c r="AR534" s="32" t="s">
        <v>287</v>
      </c>
      <c r="AS534" s="32" t="s">
        <v>288</v>
      </c>
    </row>
    <row r="535" spans="36:45">
      <c r="AK535" s="35" t="s">
        <v>289</v>
      </c>
    </row>
    <row r="536" spans="36:45">
      <c r="AK536" t="s">
        <v>290</v>
      </c>
      <c r="AO536" s="8" t="s">
        <v>291</v>
      </c>
      <c r="AP536" s="9">
        <v>1</v>
      </c>
      <c r="AQ536" s="10">
        <f>AP536*8/$AM$533</f>
        <v>3.2000000000000001E-2</v>
      </c>
      <c r="AR536" s="12">
        <v>28.94</v>
      </c>
      <c r="AS536" s="12">
        <f>AQ536*AR536</f>
        <v>0.92608000000000001</v>
      </c>
    </row>
    <row r="537" spans="36:45">
      <c r="AK537" t="s">
        <v>679</v>
      </c>
      <c r="AO537" s="8" t="s">
        <v>291</v>
      </c>
      <c r="AP537" s="9">
        <v>1</v>
      </c>
      <c r="AQ537" s="10">
        <f>AP537*8/$AM$533</f>
        <v>3.2000000000000001E-2</v>
      </c>
      <c r="AR537" s="12">
        <v>23.6</v>
      </c>
      <c r="AS537" s="12">
        <f>AQ537*AR537</f>
        <v>0.75520000000000009</v>
      </c>
    </row>
    <row r="538" spans="36:45">
      <c r="AO538" s="8"/>
      <c r="AP538" s="9"/>
      <c r="AS538" s="34">
        <f>SUM(AS536:AS537)</f>
        <v>1.6812800000000001</v>
      </c>
    </row>
    <row r="539" spans="36:45">
      <c r="AK539" s="35" t="s">
        <v>294</v>
      </c>
      <c r="AO539" s="8"/>
      <c r="AP539" s="9"/>
      <c r="AQ539" s="18"/>
    </row>
    <row r="540" spans="36:45">
      <c r="AK540" t="s">
        <v>295</v>
      </c>
      <c r="AO540" s="8" t="s">
        <v>296</v>
      </c>
      <c r="AP540" s="9"/>
      <c r="AQ540" s="18">
        <v>0.03</v>
      </c>
      <c r="AR540" s="12">
        <v>2.64</v>
      </c>
      <c r="AS540" s="12">
        <f>AQ540*AR540</f>
        <v>7.9200000000000007E-2</v>
      </c>
    </row>
    <row r="541" spans="36:45">
      <c r="AK541" t="s">
        <v>680</v>
      </c>
      <c r="AO541" s="8" t="s">
        <v>296</v>
      </c>
      <c r="AP541" s="9"/>
      <c r="AQ541" s="18">
        <v>1.05</v>
      </c>
      <c r="AR541" s="12">
        <v>6.5</v>
      </c>
      <c r="AS541" s="12">
        <f>AQ541*AR541</f>
        <v>6.8250000000000002</v>
      </c>
    </row>
    <row r="542" spans="36:45">
      <c r="AO542" s="8"/>
      <c r="AP542" s="9"/>
      <c r="AS542" s="34">
        <f>SUM(AS540:AS541)</f>
        <v>6.9042000000000003</v>
      </c>
    </row>
    <row r="543" spans="36:45">
      <c r="AK543" s="35" t="s">
        <v>317</v>
      </c>
      <c r="AO543" s="8"/>
      <c r="AP543" s="9"/>
    </row>
    <row r="544" spans="36:45">
      <c r="AK544" t="s">
        <v>310</v>
      </c>
      <c r="AO544" s="8" t="s">
        <v>311</v>
      </c>
      <c r="AQ544" s="10">
        <v>3</v>
      </c>
      <c r="AR544" s="12">
        <f>AS538</f>
        <v>1.6812800000000001</v>
      </c>
      <c r="AS544" s="12">
        <f>AQ544%*AR544</f>
        <v>5.0438400000000001E-2</v>
      </c>
    </row>
    <row r="545" spans="36:45">
      <c r="AK545" t="s">
        <v>681</v>
      </c>
      <c r="AO545" s="8" t="s">
        <v>291</v>
      </c>
      <c r="AP545" s="9">
        <v>1</v>
      </c>
      <c r="AQ545" s="10">
        <f>AP545*8/$AM$533</f>
        <v>3.2000000000000001E-2</v>
      </c>
      <c r="AR545" s="12">
        <v>5</v>
      </c>
      <c r="AS545" s="12">
        <f>AQ545*AR545</f>
        <v>0.16</v>
      </c>
    </row>
    <row r="546" spans="36:45">
      <c r="AJ546" s="14"/>
      <c r="AK546" s="14"/>
      <c r="AL546" s="14"/>
      <c r="AM546" s="14"/>
      <c r="AN546" s="14"/>
      <c r="AO546" s="14"/>
      <c r="AP546" s="14"/>
      <c r="AQ546" s="14"/>
      <c r="AR546" s="14"/>
      <c r="AS546" s="36">
        <f>SUM(AS544:AS545)</f>
        <v>0.2104384</v>
      </c>
    </row>
    <row r="547" spans="36:45">
      <c r="AO547" s="8"/>
      <c r="AQ547" s="10"/>
      <c r="AS547" s="12"/>
    </row>
    <row r="548" spans="36:45">
      <c r="AJ548" s="31" t="s">
        <v>277</v>
      </c>
      <c r="AK548" s="31"/>
      <c r="AL548" s="31" t="s">
        <v>528</v>
      </c>
      <c r="AM548" s="31"/>
    </row>
    <row r="549" spans="36:45">
      <c r="AJ549" s="31" t="s">
        <v>278</v>
      </c>
      <c r="AK549" s="31" t="s">
        <v>279</v>
      </c>
      <c r="AL549" s="32" t="s">
        <v>280</v>
      </c>
      <c r="AM549" s="33">
        <v>20</v>
      </c>
      <c r="AN549" s="32" t="s">
        <v>281</v>
      </c>
      <c r="AO549" s="33">
        <f>AM549</f>
        <v>20</v>
      </c>
      <c r="AP549" s="31" t="s">
        <v>282</v>
      </c>
      <c r="AR549" s="32" t="s">
        <v>133</v>
      </c>
      <c r="AS549" s="34">
        <f>AS555+AS560+AS563</f>
        <v>79.243380000000002</v>
      </c>
    </row>
    <row r="550" spans="36:45">
      <c r="AJ550" s="31" t="s">
        <v>283</v>
      </c>
      <c r="AK550" s="31" t="s">
        <v>284</v>
      </c>
      <c r="AO550" s="32" t="s">
        <v>122</v>
      </c>
      <c r="AP550" s="32" t="s">
        <v>285</v>
      </c>
      <c r="AQ550" s="32" t="s">
        <v>286</v>
      </c>
      <c r="AR550" s="32" t="s">
        <v>287</v>
      </c>
      <c r="AS550" s="32" t="s">
        <v>288</v>
      </c>
    </row>
    <row r="551" spans="36:45">
      <c r="AK551" s="35" t="s">
        <v>289</v>
      </c>
    </row>
    <row r="552" spans="36:45">
      <c r="AK552" t="s">
        <v>290</v>
      </c>
      <c r="AO552" s="8" t="s">
        <v>291</v>
      </c>
      <c r="AP552" s="9">
        <v>2</v>
      </c>
      <c r="AQ552" s="10">
        <f>AP552*8/$AM$549</f>
        <v>0.8</v>
      </c>
      <c r="AR552" s="12">
        <v>28.94</v>
      </c>
      <c r="AS552" s="12">
        <f>AQ552*AR552</f>
        <v>23.152000000000001</v>
      </c>
    </row>
    <row r="553" spans="36:45">
      <c r="AK553" t="s">
        <v>292</v>
      </c>
      <c r="AO553" s="8" t="s">
        <v>291</v>
      </c>
      <c r="AP553" s="9">
        <v>2</v>
      </c>
      <c r="AQ553" s="10">
        <f>AP553*8/$AM$549</f>
        <v>0.8</v>
      </c>
      <c r="AR553" s="12">
        <v>23.6</v>
      </c>
      <c r="AS553" s="12">
        <f>AQ553*AR553</f>
        <v>18.880000000000003</v>
      </c>
    </row>
    <row r="554" spans="36:45">
      <c r="AK554" t="s">
        <v>293</v>
      </c>
      <c r="AO554" s="8" t="s">
        <v>291</v>
      </c>
      <c r="AP554" s="9">
        <v>1</v>
      </c>
      <c r="AQ554" s="10">
        <f>AP554*8/$AM$549</f>
        <v>0.4</v>
      </c>
      <c r="AR554" s="12">
        <v>21.36</v>
      </c>
      <c r="AS554" s="12">
        <f>AQ554*AR554</f>
        <v>8.5440000000000005</v>
      </c>
    </row>
    <row r="555" spans="36:45">
      <c r="AO555" s="8"/>
      <c r="AP555" s="9"/>
      <c r="AQ555" s="10"/>
      <c r="AS555" s="34">
        <f>SUM(AS552:AS554)</f>
        <v>50.576000000000008</v>
      </c>
    </row>
    <row r="556" spans="36:45">
      <c r="AK556" s="35" t="s">
        <v>653</v>
      </c>
      <c r="AO556" s="8"/>
      <c r="AP556" s="9"/>
      <c r="AQ556" s="10"/>
      <c r="AS556" s="12"/>
    </row>
    <row r="557" spans="36:45">
      <c r="AK557" t="s">
        <v>688</v>
      </c>
      <c r="AO557" s="8" t="s">
        <v>296</v>
      </c>
      <c r="AQ557" s="10">
        <v>0.3</v>
      </c>
      <c r="AR557" s="12">
        <v>2.64</v>
      </c>
      <c r="AS557" s="12">
        <f>AQ557*AR557</f>
        <v>0.79200000000000004</v>
      </c>
    </row>
    <row r="558" spans="36:45">
      <c r="AK558" t="s">
        <v>301</v>
      </c>
      <c r="AO558" s="8" t="s">
        <v>296</v>
      </c>
      <c r="AQ558" s="10">
        <v>0.31</v>
      </c>
      <c r="AR558" s="12">
        <v>5.51</v>
      </c>
      <c r="AS558" s="12">
        <f>AQ558*AR558</f>
        <v>1.7081</v>
      </c>
    </row>
    <row r="559" spans="36:45">
      <c r="AK559" t="s">
        <v>669</v>
      </c>
      <c r="AO559" s="8" t="s">
        <v>305</v>
      </c>
      <c r="AQ559" s="10">
        <v>4.25</v>
      </c>
      <c r="AR559" s="12">
        <v>5.8</v>
      </c>
      <c r="AS559" s="12">
        <f>AQ559*AR559</f>
        <v>24.65</v>
      </c>
    </row>
    <row r="560" spans="36:45">
      <c r="AO560" s="8"/>
      <c r="AQ560" s="10"/>
      <c r="AR560" s="12"/>
      <c r="AS560" s="34">
        <f>SUM(AS557:AS559)</f>
        <v>27.150099999999998</v>
      </c>
    </row>
    <row r="561" spans="36:45">
      <c r="AK561" s="35" t="s">
        <v>309</v>
      </c>
    </row>
    <row r="562" spans="36:45">
      <c r="AK562" t="s">
        <v>310</v>
      </c>
      <c r="AO562" s="8" t="s">
        <v>311</v>
      </c>
      <c r="AQ562" s="10">
        <v>3</v>
      </c>
      <c r="AR562" s="12">
        <f>AS555</f>
        <v>50.576000000000008</v>
      </c>
      <c r="AS562" s="12">
        <f>AQ562%*AR562</f>
        <v>1.5172800000000002</v>
      </c>
    </row>
    <row r="563" spans="36:45">
      <c r="AJ563" s="14"/>
      <c r="AK563" s="14"/>
      <c r="AL563" s="14"/>
      <c r="AM563" s="14"/>
      <c r="AN563" s="14"/>
      <c r="AO563" s="14"/>
      <c r="AP563" s="14"/>
      <c r="AQ563" s="14"/>
      <c r="AR563" s="14"/>
      <c r="AS563" s="36">
        <f>SUM(AS562)</f>
        <v>1.5172800000000002</v>
      </c>
    </row>
    <row r="564" spans="36:45">
      <c r="AO564" s="8"/>
      <c r="AQ564" s="10"/>
      <c r="AS564" s="12"/>
    </row>
    <row r="565" spans="36:45">
      <c r="AJ565" s="31" t="s">
        <v>277</v>
      </c>
      <c r="AK565" s="31"/>
      <c r="AL565" s="31" t="s">
        <v>526</v>
      </c>
      <c r="AM565" s="31"/>
    </row>
    <row r="566" spans="36:45">
      <c r="AJ566" s="31" t="s">
        <v>278</v>
      </c>
      <c r="AK566" s="31" t="s">
        <v>416</v>
      </c>
      <c r="AL566" s="32" t="s">
        <v>280</v>
      </c>
      <c r="AM566" s="33">
        <v>10</v>
      </c>
      <c r="AN566" s="32" t="s">
        <v>281</v>
      </c>
      <c r="AO566" s="33">
        <f>AM566</f>
        <v>10</v>
      </c>
      <c r="AP566" s="31" t="s">
        <v>282</v>
      </c>
      <c r="AR566" s="32" t="s">
        <v>203</v>
      </c>
      <c r="AS566" s="34">
        <f>AS572+AS579+AS584</f>
        <v>549.09188000000006</v>
      </c>
    </row>
    <row r="567" spans="36:45">
      <c r="AJ567" s="31" t="s">
        <v>283</v>
      </c>
      <c r="AK567" s="31" t="s">
        <v>284</v>
      </c>
      <c r="AO567" s="32" t="s">
        <v>122</v>
      </c>
      <c r="AP567" s="32" t="s">
        <v>285</v>
      </c>
      <c r="AQ567" s="32" t="s">
        <v>286</v>
      </c>
      <c r="AR567" s="32" t="s">
        <v>287</v>
      </c>
      <c r="AS567" s="32" t="s">
        <v>288</v>
      </c>
    </row>
    <row r="568" spans="36:45">
      <c r="AK568" s="35" t="s">
        <v>289</v>
      </c>
    </row>
    <row r="569" spans="36:45">
      <c r="AK569" t="s">
        <v>290</v>
      </c>
      <c r="AO569" s="8" t="s">
        <v>291</v>
      </c>
      <c r="AP569" s="9">
        <v>2</v>
      </c>
      <c r="AQ569" s="10">
        <f>AP569*8/$AM$566</f>
        <v>1.6</v>
      </c>
      <c r="AR569" s="12">
        <v>28.94</v>
      </c>
      <c r="AS569" s="12">
        <f>AQ569*AR569</f>
        <v>46.304000000000002</v>
      </c>
    </row>
    <row r="570" spans="36:45">
      <c r="AK570" t="s">
        <v>292</v>
      </c>
      <c r="AO570" s="8" t="s">
        <v>291</v>
      </c>
      <c r="AP570" s="9">
        <v>2</v>
      </c>
      <c r="AQ570" s="10">
        <f>AP570*8/$AM$566</f>
        <v>1.6</v>
      </c>
      <c r="AR570" s="12">
        <v>23.6</v>
      </c>
      <c r="AS570" s="12">
        <f>AQ570*AR570</f>
        <v>37.760000000000005</v>
      </c>
    </row>
    <row r="571" spans="36:45">
      <c r="AK571" t="s">
        <v>293</v>
      </c>
      <c r="AO571" s="8" t="s">
        <v>291</v>
      </c>
      <c r="AP571" s="9">
        <v>8</v>
      </c>
      <c r="AQ571" s="10">
        <f>AP571*8/$AM$566</f>
        <v>6.4</v>
      </c>
      <c r="AR571" s="12">
        <v>21.36</v>
      </c>
      <c r="AS571" s="12">
        <f>AQ571*AR571</f>
        <v>136.70400000000001</v>
      </c>
    </row>
    <row r="572" spans="36:45">
      <c r="AO572" s="8"/>
      <c r="AP572" s="9"/>
      <c r="AQ572" s="10"/>
      <c r="AS572" s="34">
        <f>SUM(AS569:AS571)</f>
        <v>220.76800000000003</v>
      </c>
    </row>
    <row r="573" spans="36:45">
      <c r="AK573" s="35" t="s">
        <v>653</v>
      </c>
      <c r="AO573" s="8"/>
      <c r="AP573" s="9"/>
      <c r="AQ573" s="10"/>
      <c r="AS573" s="12"/>
    </row>
    <row r="574" spans="36:45">
      <c r="AK574" t="s">
        <v>672</v>
      </c>
      <c r="AO574" s="8" t="s">
        <v>203</v>
      </c>
      <c r="AQ574" s="10">
        <v>0.53</v>
      </c>
      <c r="AR574" s="12">
        <v>55.08</v>
      </c>
      <c r="AS574" s="12">
        <f>AQ574*AR574</f>
        <v>29.192399999999999</v>
      </c>
    </row>
    <row r="575" spans="36:45">
      <c r="AK575" t="s">
        <v>673</v>
      </c>
      <c r="AO575" s="8" t="s">
        <v>203</v>
      </c>
      <c r="AQ575" s="10">
        <v>0.52</v>
      </c>
      <c r="AR575" s="12">
        <v>47</v>
      </c>
      <c r="AS575" s="12">
        <f>AQ575*AR575</f>
        <v>24.44</v>
      </c>
    </row>
    <row r="576" spans="36:45">
      <c r="AK576" t="s">
        <v>306</v>
      </c>
      <c r="AO576" s="8" t="s">
        <v>307</v>
      </c>
      <c r="AQ576" s="10">
        <v>9.73</v>
      </c>
      <c r="AR576" s="12">
        <v>24.52</v>
      </c>
      <c r="AS576" s="12">
        <f>AQ576*AR576</f>
        <v>238.5796</v>
      </c>
    </row>
    <row r="577" spans="36:45">
      <c r="AK577" t="s">
        <v>655</v>
      </c>
      <c r="AO577" s="8" t="s">
        <v>203</v>
      </c>
      <c r="AQ577" s="10">
        <v>0.186</v>
      </c>
      <c r="AR577">
        <v>6.14</v>
      </c>
      <c r="AS577" s="12">
        <f>AQ577*AR577</f>
        <v>1.1420399999999999</v>
      </c>
    </row>
    <row r="578" spans="36:45">
      <c r="AK578" t="s">
        <v>665</v>
      </c>
      <c r="AO578" s="8" t="s">
        <v>439</v>
      </c>
      <c r="AQ578" s="10">
        <v>0.36</v>
      </c>
      <c r="AR578">
        <v>13.93</v>
      </c>
      <c r="AS578" s="12">
        <f>AQ578*AR578</f>
        <v>5.0148000000000001</v>
      </c>
    </row>
    <row r="579" spans="36:45">
      <c r="AO579" s="8"/>
      <c r="AQ579" s="10"/>
      <c r="AR579" s="12"/>
      <c r="AS579" s="34">
        <f>SUM(AS574:AS578)</f>
        <v>298.36883999999998</v>
      </c>
    </row>
    <row r="580" spans="36:45">
      <c r="AK580" s="35" t="s">
        <v>309</v>
      </c>
    </row>
    <row r="581" spans="36:45">
      <c r="AK581" t="s">
        <v>310</v>
      </c>
      <c r="AO581" s="8" t="s">
        <v>311</v>
      </c>
      <c r="AQ581" s="10">
        <v>3</v>
      </c>
      <c r="AR581" s="12">
        <f>AS572</f>
        <v>220.76800000000003</v>
      </c>
      <c r="AS581" s="12">
        <f>AQ581%*AR581</f>
        <v>6.6230400000000005</v>
      </c>
    </row>
    <row r="582" spans="36:45">
      <c r="AK582" t="s">
        <v>667</v>
      </c>
      <c r="AO582" s="8" t="s">
        <v>337</v>
      </c>
      <c r="AP582" s="9">
        <v>1</v>
      </c>
      <c r="AQ582" s="10">
        <f>AP582*8/$AM$566</f>
        <v>0.8</v>
      </c>
      <c r="AR582" s="12">
        <v>25.63</v>
      </c>
      <c r="AS582" s="12">
        <f>AQ582*AR582</f>
        <v>20.504000000000001</v>
      </c>
    </row>
    <row r="583" spans="36:45">
      <c r="AK583" t="s">
        <v>675</v>
      </c>
      <c r="AO583" s="8" t="s">
        <v>337</v>
      </c>
      <c r="AP583" s="9">
        <v>0.5</v>
      </c>
      <c r="AQ583" s="10">
        <f>AP583*8/$AM$566</f>
        <v>0.4</v>
      </c>
      <c r="AR583" s="12">
        <v>7.07</v>
      </c>
      <c r="AS583" s="12">
        <f>AQ583*AR583</f>
        <v>2.8280000000000003</v>
      </c>
    </row>
    <row r="584" spans="36:45">
      <c r="AJ584" s="14"/>
      <c r="AK584" s="14"/>
      <c r="AL584" s="14"/>
      <c r="AM584" s="14"/>
      <c r="AN584" s="14"/>
      <c r="AO584" s="14"/>
      <c r="AP584" s="14"/>
      <c r="AQ584" s="14"/>
      <c r="AR584" s="14"/>
      <c r="AS584" s="36">
        <f>SUM(AS581:AS583)</f>
        <v>29.95504</v>
      </c>
    </row>
    <row r="585" spans="36:45">
      <c r="AO585" s="8"/>
      <c r="AQ585" s="10"/>
      <c r="AS585" s="12"/>
    </row>
    <row r="586" spans="36:45">
      <c r="AJ586" s="31" t="s">
        <v>277</v>
      </c>
      <c r="AK586" s="31"/>
      <c r="AL586" s="31" t="s">
        <v>530</v>
      </c>
      <c r="AM586" s="31"/>
    </row>
    <row r="587" spans="36:45">
      <c r="AJ587" s="31" t="s">
        <v>278</v>
      </c>
      <c r="AK587" s="31" t="s">
        <v>279</v>
      </c>
      <c r="AL587" s="32" t="s">
        <v>280</v>
      </c>
      <c r="AM587" s="33">
        <v>250</v>
      </c>
      <c r="AN587" s="32" t="s">
        <v>281</v>
      </c>
      <c r="AO587" s="33">
        <f>AM587</f>
        <v>250</v>
      </c>
      <c r="AP587" s="31" t="s">
        <v>282</v>
      </c>
      <c r="AR587" s="32" t="s">
        <v>133</v>
      </c>
      <c r="AS587" s="34">
        <f>AS592+AS596+AS600</f>
        <v>8.7959183999999997</v>
      </c>
    </row>
    <row r="588" spans="36:45">
      <c r="AJ588" s="31" t="s">
        <v>283</v>
      </c>
      <c r="AK588" s="31" t="s">
        <v>284</v>
      </c>
      <c r="AO588" s="32" t="s">
        <v>122</v>
      </c>
      <c r="AP588" s="32" t="s">
        <v>285</v>
      </c>
      <c r="AQ588" s="32" t="s">
        <v>286</v>
      </c>
      <c r="AR588" s="32" t="s">
        <v>287</v>
      </c>
      <c r="AS588" s="32" t="s">
        <v>288</v>
      </c>
    </row>
    <row r="589" spans="36:45">
      <c r="AK589" s="35" t="s">
        <v>289</v>
      </c>
    </row>
    <row r="590" spans="36:45">
      <c r="AK590" t="s">
        <v>290</v>
      </c>
      <c r="AO590" s="8" t="s">
        <v>291</v>
      </c>
      <c r="AP590" s="9">
        <v>1</v>
      </c>
      <c r="AQ590" s="10">
        <f>AP590*8/$AM$587</f>
        <v>3.2000000000000001E-2</v>
      </c>
      <c r="AR590" s="12">
        <v>28.94</v>
      </c>
      <c r="AS590" s="12">
        <f>AQ590*AR590</f>
        <v>0.92608000000000001</v>
      </c>
    </row>
    <row r="591" spans="36:45">
      <c r="AK591" t="s">
        <v>679</v>
      </c>
      <c r="AO591" s="8" t="s">
        <v>291</v>
      </c>
      <c r="AP591" s="9">
        <v>1</v>
      </c>
      <c r="AQ591" s="10">
        <f>AP591*8/$AM$587</f>
        <v>3.2000000000000001E-2</v>
      </c>
      <c r="AR591" s="12">
        <v>23.6</v>
      </c>
      <c r="AS591" s="12">
        <f>AQ591*AR591</f>
        <v>0.75520000000000009</v>
      </c>
    </row>
    <row r="592" spans="36:45">
      <c r="AO592" s="8"/>
      <c r="AP592" s="9"/>
      <c r="AS592" s="34">
        <f>SUM(AS590:AS591)</f>
        <v>1.6812800000000001</v>
      </c>
    </row>
    <row r="593" spans="36:45">
      <c r="AK593" s="35" t="s">
        <v>294</v>
      </c>
      <c r="AO593" s="8"/>
      <c r="AP593" s="9"/>
      <c r="AQ593" s="18"/>
    </row>
    <row r="594" spans="36:45">
      <c r="AK594" t="s">
        <v>295</v>
      </c>
      <c r="AO594" s="8" t="s">
        <v>296</v>
      </c>
      <c r="AP594" s="9"/>
      <c r="AQ594" s="18">
        <v>0.03</v>
      </c>
      <c r="AR594" s="12">
        <v>2.64</v>
      </c>
      <c r="AS594" s="12">
        <f>AQ594*AR594</f>
        <v>7.9200000000000007E-2</v>
      </c>
    </row>
    <row r="595" spans="36:45">
      <c r="AK595" t="s">
        <v>680</v>
      </c>
      <c r="AO595" s="8" t="s">
        <v>296</v>
      </c>
      <c r="AP595" s="9"/>
      <c r="AQ595" s="18">
        <v>1.05</v>
      </c>
      <c r="AR595" s="12">
        <v>6.5</v>
      </c>
      <c r="AS595" s="12">
        <f>AQ595*AR595</f>
        <v>6.8250000000000002</v>
      </c>
    </row>
    <row r="596" spans="36:45">
      <c r="AO596" s="8"/>
      <c r="AP596" s="9"/>
      <c r="AS596" s="34">
        <f>SUM(AS594:AS595)</f>
        <v>6.9042000000000003</v>
      </c>
    </row>
    <row r="597" spans="36:45">
      <c r="AK597" s="35" t="s">
        <v>317</v>
      </c>
      <c r="AO597" s="8"/>
      <c r="AP597" s="9"/>
    </row>
    <row r="598" spans="36:45">
      <c r="AK598" t="s">
        <v>310</v>
      </c>
      <c r="AO598" s="8" t="s">
        <v>311</v>
      </c>
      <c r="AQ598" s="10">
        <v>3</v>
      </c>
      <c r="AR598" s="12">
        <f>AS592</f>
        <v>1.6812800000000001</v>
      </c>
      <c r="AS598" s="12">
        <f>AQ598%*AR598</f>
        <v>5.0438400000000001E-2</v>
      </c>
    </row>
    <row r="599" spans="36:45">
      <c r="AK599" t="s">
        <v>681</v>
      </c>
      <c r="AO599" s="8" t="s">
        <v>291</v>
      </c>
      <c r="AP599" s="9">
        <v>1</v>
      </c>
      <c r="AQ599" s="10">
        <f>AP599*8/$AM$587</f>
        <v>3.2000000000000001E-2</v>
      </c>
      <c r="AR599" s="12">
        <v>5</v>
      </c>
      <c r="AS599" s="12">
        <f>AQ599*AR599</f>
        <v>0.16</v>
      </c>
    </row>
    <row r="600" spans="36:45">
      <c r="AJ600" s="14"/>
      <c r="AK600" s="14"/>
      <c r="AL600" s="14"/>
      <c r="AM600" s="14"/>
      <c r="AN600" s="14"/>
      <c r="AO600" s="14"/>
      <c r="AP600" s="14"/>
      <c r="AQ600" s="14"/>
      <c r="AR600" s="14"/>
      <c r="AS600" s="36">
        <f>SUM(AS598:AS599)</f>
        <v>0.2104384</v>
      </c>
    </row>
    <row r="601" spans="36:45">
      <c r="AS601" s="34"/>
    </row>
    <row r="602" spans="36:45">
      <c r="AJ602" s="31" t="s">
        <v>277</v>
      </c>
      <c r="AK602" s="31"/>
      <c r="AL602" s="31" t="s">
        <v>544</v>
      </c>
      <c r="AM602" s="31"/>
    </row>
    <row r="603" spans="36:45">
      <c r="AJ603" s="31" t="s">
        <v>278</v>
      </c>
      <c r="AK603" s="31" t="s">
        <v>279</v>
      </c>
      <c r="AL603" s="32" t="s">
        <v>280</v>
      </c>
      <c r="AM603" s="33">
        <v>18</v>
      </c>
      <c r="AN603" s="32" t="s">
        <v>281</v>
      </c>
      <c r="AO603" s="33">
        <f>AM603</f>
        <v>18</v>
      </c>
      <c r="AP603" s="31" t="s">
        <v>282</v>
      </c>
      <c r="AR603" s="32" t="s">
        <v>133</v>
      </c>
      <c r="AS603" s="34">
        <f>AS608+AS613+AS616</f>
        <v>79.016844444444445</v>
      </c>
    </row>
    <row r="604" spans="36:45">
      <c r="AJ604" s="31" t="s">
        <v>283</v>
      </c>
      <c r="AK604" s="31" t="s">
        <v>284</v>
      </c>
      <c r="AO604" s="32" t="s">
        <v>122</v>
      </c>
      <c r="AP604" s="32" t="s">
        <v>285</v>
      </c>
      <c r="AQ604" s="32" t="s">
        <v>286</v>
      </c>
      <c r="AR604" s="32" t="s">
        <v>287</v>
      </c>
      <c r="AS604" s="32" t="s">
        <v>288</v>
      </c>
    </row>
    <row r="605" spans="36:45">
      <c r="AK605" s="35" t="s">
        <v>289</v>
      </c>
    </row>
    <row r="606" spans="36:45">
      <c r="AK606" t="s">
        <v>290</v>
      </c>
      <c r="AO606" s="8" t="s">
        <v>291</v>
      </c>
      <c r="AP606" s="9">
        <v>2</v>
      </c>
      <c r="AQ606" s="10">
        <f>AP606*8/$AM$603</f>
        <v>0.88888888888888884</v>
      </c>
      <c r="AR606" s="12">
        <v>28.94</v>
      </c>
      <c r="AS606" s="12">
        <f>AQ606*AR606</f>
        <v>25.724444444444444</v>
      </c>
    </row>
    <row r="607" spans="36:45">
      <c r="AK607" t="s">
        <v>293</v>
      </c>
      <c r="AO607" s="8" t="s">
        <v>291</v>
      </c>
      <c r="AP607" s="9">
        <v>2</v>
      </c>
      <c r="AQ607" s="10">
        <f>AP607*8/$AM$603</f>
        <v>0.88888888888888884</v>
      </c>
      <c r="AR607" s="12">
        <v>21.36</v>
      </c>
      <c r="AS607" s="12">
        <f>AQ607*AR607</f>
        <v>18.986666666666665</v>
      </c>
    </row>
    <row r="608" spans="36:45">
      <c r="AO608" s="8"/>
      <c r="AP608" s="9"/>
      <c r="AQ608" s="10"/>
      <c r="AR608" s="12"/>
      <c r="AS608" s="34">
        <f>SUM(AS606:AS607)</f>
        <v>44.711111111111109</v>
      </c>
    </row>
    <row r="609" spans="36:45">
      <c r="AK609" s="35" t="s">
        <v>653</v>
      </c>
      <c r="AO609" s="8"/>
      <c r="AP609" s="9"/>
      <c r="AQ609" s="10"/>
      <c r="AS609" s="12"/>
    </row>
    <row r="610" spans="36:45">
      <c r="AK610" t="s">
        <v>688</v>
      </c>
      <c r="AO610" s="8" t="s">
        <v>296</v>
      </c>
      <c r="AQ610" s="10">
        <v>0.1</v>
      </c>
      <c r="AR610" s="12">
        <v>2.64</v>
      </c>
      <c r="AS610" s="12">
        <f>AQ610*AR610</f>
        <v>0.26400000000000001</v>
      </c>
    </row>
    <row r="611" spans="36:45">
      <c r="AK611" t="s">
        <v>301</v>
      </c>
      <c r="AO611" s="8" t="s">
        <v>296</v>
      </c>
      <c r="AQ611" s="10">
        <v>0.24</v>
      </c>
      <c r="AR611" s="12">
        <v>5.51</v>
      </c>
      <c r="AS611" s="12">
        <f>AQ611*AR611</f>
        <v>1.3223999999999998</v>
      </c>
    </row>
    <row r="612" spans="36:45">
      <c r="AK612" t="s">
        <v>669</v>
      </c>
      <c r="AO612" s="8" t="s">
        <v>305</v>
      </c>
      <c r="AQ612" s="10">
        <v>5.41</v>
      </c>
      <c r="AR612" s="12">
        <v>5.8</v>
      </c>
      <c r="AS612" s="12">
        <f>AQ612*AR612</f>
        <v>31.378</v>
      </c>
    </row>
    <row r="613" spans="36:45">
      <c r="AO613" s="8"/>
      <c r="AQ613" s="10"/>
      <c r="AR613" s="12"/>
      <c r="AS613" s="34">
        <f>SUM(AS610:AS612)</f>
        <v>32.964399999999998</v>
      </c>
    </row>
    <row r="614" spans="36:45">
      <c r="AK614" s="35" t="s">
        <v>309</v>
      </c>
    </row>
    <row r="615" spans="36:45">
      <c r="AK615" t="s">
        <v>310</v>
      </c>
      <c r="AO615" s="8" t="s">
        <v>311</v>
      </c>
      <c r="AQ615" s="10">
        <v>3</v>
      </c>
      <c r="AR615" s="12">
        <f>AS608</f>
        <v>44.711111111111109</v>
      </c>
      <c r="AS615" s="12">
        <f>AQ615%*AR615</f>
        <v>1.3413333333333333</v>
      </c>
    </row>
    <row r="616" spans="36:45">
      <c r="AJ616" s="14"/>
      <c r="AK616" s="14"/>
      <c r="AL616" s="14"/>
      <c r="AM616" s="14"/>
      <c r="AN616" s="14"/>
      <c r="AO616" s="14"/>
      <c r="AP616" s="14"/>
      <c r="AQ616" s="14"/>
      <c r="AR616" s="14"/>
      <c r="AS616" s="36">
        <f>SUM(AS615)</f>
        <v>1.3413333333333333</v>
      </c>
    </row>
    <row r="617" spans="36:45">
      <c r="AS617" s="34"/>
    </row>
    <row r="618" spans="36:45">
      <c r="AJ618" s="31" t="s">
        <v>277</v>
      </c>
      <c r="AK618" s="31"/>
      <c r="AL618" s="31" t="s">
        <v>542</v>
      </c>
      <c r="AM618" s="31"/>
    </row>
    <row r="619" spans="36:45">
      <c r="AJ619" s="31" t="s">
        <v>278</v>
      </c>
      <c r="AK619" s="31" t="s">
        <v>416</v>
      </c>
      <c r="AL619" s="32" t="s">
        <v>280</v>
      </c>
      <c r="AM619" s="33">
        <v>20</v>
      </c>
      <c r="AN619" s="32" t="s">
        <v>281</v>
      </c>
      <c r="AO619" s="33">
        <f>AM619</f>
        <v>20</v>
      </c>
      <c r="AP619" s="31" t="s">
        <v>282</v>
      </c>
      <c r="AR619" s="32" t="s">
        <v>203</v>
      </c>
      <c r="AS619" s="34">
        <f>AS625+AS632+AS638</f>
        <v>419.77836000000002</v>
      </c>
    </row>
    <row r="620" spans="36:45">
      <c r="AJ620" s="31" t="s">
        <v>283</v>
      </c>
      <c r="AK620" s="31" t="s">
        <v>284</v>
      </c>
      <c r="AO620" s="32" t="s">
        <v>122</v>
      </c>
      <c r="AP620" s="32" t="s">
        <v>285</v>
      </c>
      <c r="AQ620" s="32" t="s">
        <v>286</v>
      </c>
      <c r="AR620" s="32" t="s">
        <v>287</v>
      </c>
      <c r="AS620" s="32" t="s">
        <v>288</v>
      </c>
    </row>
    <row r="621" spans="36:45">
      <c r="AK621" s="35" t="s">
        <v>289</v>
      </c>
    </row>
    <row r="622" spans="36:45">
      <c r="AK622" t="s">
        <v>290</v>
      </c>
      <c r="AO622" s="8" t="s">
        <v>291</v>
      </c>
      <c r="AP622" s="9">
        <v>2</v>
      </c>
      <c r="AQ622" s="10">
        <f>AP622*8/$AM$619</f>
        <v>0.8</v>
      </c>
      <c r="AR622" s="12">
        <v>28.94</v>
      </c>
      <c r="AS622" s="12">
        <f>AQ622*AR622</f>
        <v>23.152000000000001</v>
      </c>
    </row>
    <row r="623" spans="36:45">
      <c r="AK623" t="s">
        <v>292</v>
      </c>
      <c r="AO623" s="8" t="s">
        <v>291</v>
      </c>
      <c r="AP623" s="9">
        <v>1</v>
      </c>
      <c r="AQ623" s="10">
        <f>AP623*8/$AM$619</f>
        <v>0.4</v>
      </c>
      <c r="AR623" s="12">
        <v>23.6</v>
      </c>
      <c r="AS623" s="12">
        <f>AQ623*AR623</f>
        <v>9.4400000000000013</v>
      </c>
    </row>
    <row r="624" spans="36:45">
      <c r="AK624" t="s">
        <v>293</v>
      </c>
      <c r="AO624" s="8" t="s">
        <v>291</v>
      </c>
      <c r="AP624" s="9">
        <v>8</v>
      </c>
      <c r="AQ624" s="10">
        <f>AP624*8/$AM$619</f>
        <v>3.2</v>
      </c>
      <c r="AR624" s="12">
        <v>21.36</v>
      </c>
      <c r="AS624" s="12">
        <f>AQ624*AR624</f>
        <v>68.352000000000004</v>
      </c>
    </row>
    <row r="625" spans="36:45">
      <c r="AO625" s="8"/>
      <c r="AP625" s="9"/>
      <c r="AQ625" s="10"/>
      <c r="AS625" s="34">
        <f>SUM(AS622:AS624)</f>
        <v>100.944</v>
      </c>
    </row>
    <row r="626" spans="36:45">
      <c r="AK626" s="35" t="s">
        <v>653</v>
      </c>
      <c r="AO626" s="8"/>
      <c r="AP626" s="9"/>
      <c r="AQ626" s="10"/>
      <c r="AS626" s="12"/>
    </row>
    <row r="627" spans="36:45">
      <c r="AK627" t="s">
        <v>672</v>
      </c>
      <c r="AO627" s="8" t="s">
        <v>203</v>
      </c>
      <c r="AQ627" s="10">
        <v>0.53</v>
      </c>
      <c r="AR627" s="12">
        <v>55.08</v>
      </c>
      <c r="AS627" s="12">
        <f>AQ627*AR627</f>
        <v>29.192399999999999</v>
      </c>
    </row>
    <row r="628" spans="36:45">
      <c r="AK628" t="s">
        <v>673</v>
      </c>
      <c r="AO628" s="8" t="s">
        <v>203</v>
      </c>
      <c r="AQ628" s="10">
        <v>0.52</v>
      </c>
      <c r="AR628" s="12">
        <v>47</v>
      </c>
      <c r="AS628" s="12">
        <f>AQ628*AR628</f>
        <v>24.44</v>
      </c>
    </row>
    <row r="629" spans="36:45">
      <c r="AK629" t="s">
        <v>306</v>
      </c>
      <c r="AO629" s="8" t="s">
        <v>307</v>
      </c>
      <c r="AQ629" s="10">
        <v>9.73</v>
      </c>
      <c r="AR629" s="12">
        <v>24.52</v>
      </c>
      <c r="AS629" s="12">
        <f>AQ629*AR629</f>
        <v>238.5796</v>
      </c>
    </row>
    <row r="630" spans="36:45">
      <c r="AK630" t="s">
        <v>655</v>
      </c>
      <c r="AO630" s="8" t="s">
        <v>203</v>
      </c>
      <c r="AQ630" s="10">
        <v>0.186</v>
      </c>
      <c r="AR630">
        <v>6.14</v>
      </c>
      <c r="AS630" s="12">
        <f>AQ630*AR630</f>
        <v>1.1420399999999999</v>
      </c>
    </row>
    <row r="631" spans="36:45">
      <c r="AK631" t="s">
        <v>665</v>
      </c>
      <c r="AO631" s="8" t="s">
        <v>439</v>
      </c>
      <c r="AQ631" s="10">
        <v>0.2</v>
      </c>
      <c r="AR631">
        <v>13.93</v>
      </c>
      <c r="AS631" s="12">
        <f>AQ631*AR631</f>
        <v>2.786</v>
      </c>
    </row>
    <row r="632" spans="36:45">
      <c r="AO632" s="8"/>
      <c r="AQ632" s="10"/>
      <c r="AR632" s="12"/>
      <c r="AS632" s="34">
        <f>SUM(AS627:AS631)</f>
        <v>296.14004</v>
      </c>
    </row>
    <row r="633" spans="36:45">
      <c r="AK633" s="35" t="s">
        <v>309</v>
      </c>
    </row>
    <row r="634" spans="36:45">
      <c r="AK634" t="s">
        <v>310</v>
      </c>
      <c r="AO634" s="8" t="s">
        <v>311</v>
      </c>
      <c r="AQ634" s="10">
        <v>3</v>
      </c>
      <c r="AR634" s="12">
        <f>AS625</f>
        <v>100.944</v>
      </c>
      <c r="AS634" s="12">
        <f>AQ634%*AR634</f>
        <v>3.0283199999999999</v>
      </c>
    </row>
    <row r="635" spans="36:45">
      <c r="AK635" t="s">
        <v>667</v>
      </c>
      <c r="AO635" s="8" t="s">
        <v>337</v>
      </c>
      <c r="AP635" s="9">
        <v>1</v>
      </c>
      <c r="AQ635" s="10">
        <f>AP635*8/$AM$619</f>
        <v>0.4</v>
      </c>
      <c r="AR635" s="12">
        <v>25.63</v>
      </c>
      <c r="AS635" s="12">
        <f>AQ635*AR635</f>
        <v>10.252000000000001</v>
      </c>
    </row>
    <row r="636" spans="36:45">
      <c r="AK636" t="s">
        <v>690</v>
      </c>
      <c r="AO636" s="8" t="s">
        <v>337</v>
      </c>
      <c r="AP636" s="9">
        <v>1</v>
      </c>
      <c r="AQ636" s="10">
        <f>AP636*8/$AM$619</f>
        <v>0.4</v>
      </c>
      <c r="AR636" s="12">
        <v>20</v>
      </c>
      <c r="AS636" s="12">
        <f>AQ636*AR636</f>
        <v>8</v>
      </c>
    </row>
    <row r="637" spans="36:45">
      <c r="AK637" t="s">
        <v>675</v>
      </c>
      <c r="AO637" s="8" t="s">
        <v>337</v>
      </c>
      <c r="AP637" s="9">
        <v>0.5</v>
      </c>
      <c r="AQ637" s="10">
        <f>AP637*8/$AM$619</f>
        <v>0.2</v>
      </c>
      <c r="AR637">
        <v>7.07</v>
      </c>
      <c r="AS637" s="12">
        <f>AQ637*AR637</f>
        <v>1.4140000000000001</v>
      </c>
    </row>
    <row r="638" spans="36:45">
      <c r="AJ638" s="14"/>
      <c r="AK638" s="14"/>
      <c r="AL638" s="14"/>
      <c r="AM638" s="14"/>
      <c r="AN638" s="14"/>
      <c r="AO638" s="14"/>
      <c r="AP638" s="14"/>
      <c r="AQ638" s="14"/>
      <c r="AR638" s="14"/>
      <c r="AS638" s="36">
        <f>SUM(AS634:AS637)</f>
        <v>22.694320000000001</v>
      </c>
    </row>
    <row r="639" spans="36:45">
      <c r="AO639" s="8"/>
      <c r="AQ639" s="10"/>
      <c r="AS639" s="12"/>
    </row>
    <row r="640" spans="36:45">
      <c r="AJ640" s="31" t="s">
        <v>277</v>
      </c>
      <c r="AK640" s="31"/>
      <c r="AL640" s="31" t="s">
        <v>691</v>
      </c>
      <c r="AM640" s="31"/>
    </row>
    <row r="641" spans="36:45">
      <c r="AJ641" s="31" t="s">
        <v>278</v>
      </c>
      <c r="AK641" s="31" t="s">
        <v>678</v>
      </c>
      <c r="AL641" s="32" t="s">
        <v>280</v>
      </c>
      <c r="AM641" s="33">
        <v>250</v>
      </c>
      <c r="AN641" s="32" t="s">
        <v>281</v>
      </c>
      <c r="AO641" s="33">
        <f>AM641</f>
        <v>250</v>
      </c>
      <c r="AP641" s="31" t="s">
        <v>282</v>
      </c>
      <c r="AR641" s="32" t="s">
        <v>296</v>
      </c>
      <c r="AS641" s="34">
        <f>AS646+AS650+AS654</f>
        <v>8.7959183999999997</v>
      </c>
    </row>
    <row r="642" spans="36:45">
      <c r="AJ642" s="31" t="s">
        <v>283</v>
      </c>
      <c r="AK642" s="31" t="s">
        <v>284</v>
      </c>
      <c r="AO642" s="32" t="s">
        <v>122</v>
      </c>
      <c r="AP642" s="32" t="s">
        <v>285</v>
      </c>
      <c r="AQ642" s="32" t="s">
        <v>286</v>
      </c>
      <c r="AR642" s="32" t="s">
        <v>287</v>
      </c>
      <c r="AS642" s="32" t="s">
        <v>288</v>
      </c>
    </row>
    <row r="643" spans="36:45">
      <c r="AK643" s="35" t="s">
        <v>289</v>
      </c>
    </row>
    <row r="644" spans="36:45">
      <c r="AK644" t="s">
        <v>290</v>
      </c>
      <c r="AO644" s="8" t="s">
        <v>291</v>
      </c>
      <c r="AP644" s="9">
        <v>1</v>
      </c>
      <c r="AQ644" s="10">
        <f>AP644*8/$AM$641</f>
        <v>3.2000000000000001E-2</v>
      </c>
      <c r="AR644" s="12">
        <v>28.94</v>
      </c>
      <c r="AS644" s="12">
        <f>AQ644*AR644</f>
        <v>0.92608000000000001</v>
      </c>
    </row>
    <row r="645" spans="36:45">
      <c r="AK645" t="s">
        <v>679</v>
      </c>
      <c r="AO645" s="8" t="s">
        <v>291</v>
      </c>
      <c r="AP645" s="9">
        <v>1</v>
      </c>
      <c r="AQ645" s="10">
        <f>AP645*8/$AM$641</f>
        <v>3.2000000000000001E-2</v>
      </c>
      <c r="AR645" s="12">
        <v>23.6</v>
      </c>
      <c r="AS645" s="12">
        <f>AQ645*AR645</f>
        <v>0.75520000000000009</v>
      </c>
    </row>
    <row r="646" spans="36:45">
      <c r="AO646" s="8"/>
      <c r="AP646" s="9"/>
      <c r="AS646" s="34">
        <f>SUM(AS644:AS645)</f>
        <v>1.6812800000000001</v>
      </c>
    </row>
    <row r="647" spans="36:45">
      <c r="AK647" s="35" t="s">
        <v>294</v>
      </c>
      <c r="AO647" s="8"/>
      <c r="AP647" s="9"/>
      <c r="AQ647" s="18"/>
    </row>
    <row r="648" spans="36:45">
      <c r="AK648" t="s">
        <v>295</v>
      </c>
      <c r="AO648" s="8" t="s">
        <v>296</v>
      </c>
      <c r="AP648" s="9"/>
      <c r="AQ648" s="18">
        <v>0.03</v>
      </c>
      <c r="AR648" s="12">
        <v>2.64</v>
      </c>
      <c r="AS648" s="12">
        <f>AQ648*AR648</f>
        <v>7.9200000000000007E-2</v>
      </c>
    </row>
    <row r="649" spans="36:45">
      <c r="AK649" t="s">
        <v>680</v>
      </c>
      <c r="AO649" s="8" t="s">
        <v>296</v>
      </c>
      <c r="AP649" s="9"/>
      <c r="AQ649" s="18">
        <v>1.05</v>
      </c>
      <c r="AR649" s="12">
        <v>6.5</v>
      </c>
      <c r="AS649" s="12">
        <f>AQ649*AR649</f>
        <v>6.8250000000000002</v>
      </c>
    </row>
    <row r="650" spans="36:45">
      <c r="AO650" s="8"/>
      <c r="AP650" s="9"/>
      <c r="AS650" s="34">
        <f>SUM(AS648:AS649)</f>
        <v>6.9042000000000003</v>
      </c>
    </row>
    <row r="651" spans="36:45">
      <c r="AK651" s="35" t="s">
        <v>317</v>
      </c>
      <c r="AO651" s="8"/>
      <c r="AP651" s="9"/>
    </row>
    <row r="652" spans="36:45">
      <c r="AK652" t="s">
        <v>310</v>
      </c>
      <c r="AO652" s="8" t="s">
        <v>311</v>
      </c>
      <c r="AQ652" s="10">
        <v>3</v>
      </c>
      <c r="AR652" s="12">
        <f>AS646</f>
        <v>1.6812800000000001</v>
      </c>
      <c r="AS652" s="12">
        <f>AQ652%*AR652</f>
        <v>5.0438400000000001E-2</v>
      </c>
    </row>
    <row r="653" spans="36:45">
      <c r="AK653" t="s">
        <v>681</v>
      </c>
      <c r="AO653" s="8" t="s">
        <v>291</v>
      </c>
      <c r="AP653" s="9">
        <v>1</v>
      </c>
      <c r="AQ653" s="10">
        <f>AP653*8/$AM$641</f>
        <v>3.2000000000000001E-2</v>
      </c>
      <c r="AR653" s="12">
        <v>5</v>
      </c>
      <c r="AS653" s="12">
        <f>AQ653*AR653</f>
        <v>0.16</v>
      </c>
    </row>
    <row r="654" spans="36:45">
      <c r="AJ654" s="14"/>
      <c r="AK654" s="14"/>
      <c r="AL654" s="14"/>
      <c r="AM654" s="14"/>
      <c r="AN654" s="14"/>
      <c r="AO654" s="14"/>
      <c r="AP654" s="14"/>
      <c r="AQ654" s="14"/>
      <c r="AR654" s="14"/>
      <c r="AS654" s="36">
        <f>SUM(AS652:AS653)</f>
        <v>0.2104384</v>
      </c>
    </row>
    <row r="655" spans="36:45">
      <c r="AO655" s="8"/>
      <c r="AQ655" s="10"/>
      <c r="AS655" s="12"/>
    </row>
    <row r="656" spans="36:45">
      <c r="AO656" s="8"/>
      <c r="AQ656" s="10"/>
      <c r="AS656" s="12"/>
    </row>
    <row r="657" spans="24:45">
      <c r="AO657" s="8"/>
      <c r="AQ657" s="10"/>
      <c r="AS657" s="12"/>
    </row>
    <row r="658" spans="24:45">
      <c r="X658" s="2" t="s">
        <v>277</v>
      </c>
      <c r="Y658" s="2"/>
      <c r="Z658" s="2" t="s">
        <v>966</v>
      </c>
      <c r="AA658" s="2"/>
      <c r="AO658" s="8"/>
      <c r="AQ658" s="10"/>
      <c r="AS658" s="12"/>
    </row>
    <row r="659" spans="24:45">
      <c r="X659" s="2" t="s">
        <v>278</v>
      </c>
      <c r="Y659" s="2" t="s">
        <v>313</v>
      </c>
      <c r="Z659" s="4" t="s">
        <v>280</v>
      </c>
      <c r="AA659" s="5">
        <v>1</v>
      </c>
      <c r="AB659" s="4" t="s">
        <v>281</v>
      </c>
      <c r="AC659" s="5">
        <f>AA659</f>
        <v>1</v>
      </c>
      <c r="AD659" s="2" t="s">
        <v>282</v>
      </c>
      <c r="AF659" s="4" t="s">
        <v>144</v>
      </c>
      <c r="AG659" s="6">
        <f>AG663</f>
        <v>110.42</v>
      </c>
      <c r="AO659" s="8"/>
      <c r="AQ659" s="10"/>
      <c r="AS659" s="12"/>
    </row>
    <row r="660" spans="24:45">
      <c r="X660" s="2" t="s">
        <v>283</v>
      </c>
      <c r="Y660" s="2" t="s">
        <v>284</v>
      </c>
      <c r="AC660" s="4" t="s">
        <v>122</v>
      </c>
      <c r="AD660" s="4" t="s">
        <v>285</v>
      </c>
      <c r="AE660" s="4" t="s">
        <v>286</v>
      </c>
      <c r="AF660" s="4" t="s">
        <v>287</v>
      </c>
      <c r="AG660" s="4" t="s">
        <v>288</v>
      </c>
      <c r="AO660" s="8"/>
      <c r="AQ660" s="10"/>
      <c r="AS660" s="12"/>
    </row>
    <row r="661" spans="24:45">
      <c r="Y661" s="7" t="s">
        <v>294</v>
      </c>
      <c r="AO661" s="8"/>
      <c r="AQ661" s="10"/>
      <c r="AS661" s="12"/>
    </row>
    <row r="662" spans="24:45">
      <c r="Y662" t="s">
        <v>966</v>
      </c>
      <c r="AC662" s="8" t="s">
        <v>144</v>
      </c>
      <c r="AE662">
        <v>1</v>
      </c>
      <c r="AF662" s="12">
        <v>110.42</v>
      </c>
      <c r="AG662" s="12">
        <f>AE662*AF662</f>
        <v>110.42</v>
      </c>
      <c r="AO662" s="8"/>
      <c r="AQ662" s="10"/>
      <c r="AS662" s="12"/>
    </row>
    <row r="663" spans="24:45">
      <c r="X663" s="14"/>
      <c r="Y663" s="14"/>
      <c r="Z663" s="14"/>
      <c r="AA663" s="14"/>
      <c r="AB663" s="14"/>
      <c r="AC663" s="14"/>
      <c r="AD663" s="14"/>
      <c r="AE663" s="14"/>
      <c r="AF663" s="15"/>
      <c r="AG663" s="16">
        <f>SUM(AG662)</f>
        <v>110.42</v>
      </c>
      <c r="AO663" s="8"/>
      <c r="AQ663" s="10"/>
      <c r="AS663" s="12"/>
    </row>
    <row r="664" spans="24:45">
      <c r="AO664" s="8"/>
      <c r="AQ664" s="10"/>
      <c r="AS664" s="12"/>
    </row>
    <row r="665" spans="24:45">
      <c r="X665" s="2" t="s">
        <v>964</v>
      </c>
      <c r="Y665" s="2"/>
      <c r="Z665" s="2" t="s">
        <v>647</v>
      </c>
      <c r="AA665" s="2"/>
      <c r="AB665" s="2"/>
      <c r="AC665" s="2"/>
      <c r="AD665" s="2"/>
      <c r="AE665" s="2"/>
      <c r="AF665" s="2"/>
      <c r="AO665" s="8"/>
      <c r="AQ665" s="10"/>
      <c r="AS665" s="12"/>
    </row>
    <row r="666" spans="24:45">
      <c r="X666" s="2" t="s">
        <v>278</v>
      </c>
      <c r="Y666" s="2" t="s">
        <v>313</v>
      </c>
      <c r="Z666" s="4" t="s">
        <v>280</v>
      </c>
      <c r="AA666" s="5">
        <v>100</v>
      </c>
      <c r="AB666" s="4" t="s">
        <v>281</v>
      </c>
      <c r="AC666" s="5">
        <f>AA666</f>
        <v>100</v>
      </c>
      <c r="AD666" s="2" t="s">
        <v>282</v>
      </c>
      <c r="AF666" s="4" t="s">
        <v>144</v>
      </c>
      <c r="AG666" s="6">
        <f>AG671+AG675+AG678</f>
        <v>18.857006400000003</v>
      </c>
      <c r="AO666" s="8"/>
      <c r="AQ666" s="10"/>
      <c r="AS666" s="12"/>
    </row>
    <row r="667" spans="24:45">
      <c r="X667" s="2" t="s">
        <v>283</v>
      </c>
      <c r="Y667" s="2" t="s">
        <v>284</v>
      </c>
      <c r="AC667" s="4" t="s">
        <v>122</v>
      </c>
      <c r="AD667" s="4" t="s">
        <v>285</v>
      </c>
      <c r="AE667" s="4" t="s">
        <v>286</v>
      </c>
      <c r="AF667" s="4" t="s">
        <v>287</v>
      </c>
      <c r="AG667" s="4" t="s">
        <v>288</v>
      </c>
      <c r="AO667" s="8"/>
      <c r="AQ667" s="10"/>
      <c r="AS667" s="12"/>
    </row>
    <row r="668" spans="24:45">
      <c r="Y668" s="7" t="s">
        <v>289</v>
      </c>
      <c r="AO668" s="8"/>
      <c r="AQ668" s="10"/>
      <c r="AS668" s="12"/>
    </row>
    <row r="669" spans="24:45">
      <c r="Y669" t="s">
        <v>650</v>
      </c>
      <c r="AC669" s="8" t="s">
        <v>291</v>
      </c>
      <c r="AD669" s="9">
        <v>0.2</v>
      </c>
      <c r="AE669" s="10">
        <f>AD669*8/$AA$666</f>
        <v>1.6E-2</v>
      </c>
      <c r="AF669" s="12">
        <v>34.729999999999997</v>
      </c>
      <c r="AG669" s="12">
        <f>AE669*AF669</f>
        <v>0.55567999999999995</v>
      </c>
      <c r="AO669" s="8"/>
      <c r="AQ669" s="10"/>
      <c r="AS669" s="12"/>
    </row>
    <row r="670" spans="24:45">
      <c r="Y670" t="s">
        <v>290</v>
      </c>
      <c r="AC670" s="8" t="s">
        <v>291</v>
      </c>
      <c r="AD670" s="9">
        <v>1</v>
      </c>
      <c r="AE670" s="10">
        <f>AD670*8/$AA$666</f>
        <v>0.08</v>
      </c>
      <c r="AF670" s="12">
        <v>28.94</v>
      </c>
      <c r="AG670" s="12">
        <f>AE670*AF670</f>
        <v>2.3152000000000004</v>
      </c>
      <c r="AO670" s="8"/>
      <c r="AQ670" s="10"/>
      <c r="AS670" s="12"/>
    </row>
    <row r="671" spans="24:45">
      <c r="AC671" s="8"/>
      <c r="AD671" s="9"/>
      <c r="AE671" s="10"/>
      <c r="AF671" s="12"/>
      <c r="AG671" s="6">
        <f>SUM(AG669:AG670)</f>
        <v>2.8708800000000005</v>
      </c>
      <c r="AO671" s="8"/>
      <c r="AQ671" s="10"/>
      <c r="AS671" s="12"/>
    </row>
    <row r="672" spans="24:45">
      <c r="Y672" s="7" t="s">
        <v>294</v>
      </c>
      <c r="AC672" s="8"/>
      <c r="AO672" s="8"/>
      <c r="AQ672" s="10"/>
      <c r="AS672" s="12"/>
    </row>
    <row r="673" spans="24:45">
      <c r="Y673" t="s">
        <v>729</v>
      </c>
      <c r="AC673" s="8" t="s">
        <v>133</v>
      </c>
      <c r="AE673" s="10">
        <v>0.05</v>
      </c>
      <c r="AF673" s="12">
        <v>18</v>
      </c>
      <c r="AG673" s="12">
        <f>AE673*AF673</f>
        <v>0.9</v>
      </c>
      <c r="AO673" s="8"/>
      <c r="AQ673" s="10"/>
      <c r="AS673" s="12"/>
    </row>
    <row r="674" spans="24:45">
      <c r="Y674" t="s">
        <v>730</v>
      </c>
      <c r="AC674" s="8" t="s">
        <v>439</v>
      </c>
      <c r="AE674" s="10">
        <v>0.1</v>
      </c>
      <c r="AF674" s="12">
        <v>150</v>
      </c>
      <c r="AG674" s="12">
        <f>AE674*AF674</f>
        <v>15</v>
      </c>
      <c r="AO674" s="8"/>
      <c r="AQ674" s="10"/>
      <c r="AS674" s="12"/>
    </row>
    <row r="675" spans="24:45">
      <c r="AG675" s="6">
        <f>SUM(AG673:AG674)</f>
        <v>15.9</v>
      </c>
      <c r="AO675" s="8"/>
      <c r="AQ675" s="10"/>
      <c r="AS675" s="12"/>
    </row>
    <row r="676" spans="24:45">
      <c r="Y676" s="7" t="s">
        <v>317</v>
      </c>
      <c r="AO676" s="8"/>
      <c r="AQ676" s="10"/>
      <c r="AS676" s="12"/>
    </row>
    <row r="677" spans="24:45">
      <c r="Y677" t="s">
        <v>310</v>
      </c>
      <c r="AC677" s="8" t="s">
        <v>311</v>
      </c>
      <c r="AE677" s="10">
        <v>3</v>
      </c>
      <c r="AF677" s="12">
        <f>AG671</f>
        <v>2.8708800000000005</v>
      </c>
      <c r="AG677" s="12">
        <f>AE677%*AF677</f>
        <v>8.612640000000002E-2</v>
      </c>
      <c r="AO677" s="8"/>
      <c r="AQ677" s="10"/>
      <c r="AS677" s="12"/>
    </row>
    <row r="678" spans="24:45">
      <c r="X678" s="14"/>
      <c r="Y678" s="14"/>
      <c r="Z678" s="14"/>
      <c r="AA678" s="14"/>
      <c r="AB678" s="14"/>
      <c r="AC678" s="14"/>
      <c r="AD678" s="14"/>
      <c r="AE678" s="14"/>
      <c r="AF678" s="14"/>
      <c r="AG678" s="36">
        <f>SUM(AG677)</f>
        <v>8.612640000000002E-2</v>
      </c>
      <c r="AO678" s="8"/>
      <c r="AQ678" s="10"/>
      <c r="AS678" s="12"/>
    </row>
    <row r="679" spans="24:45">
      <c r="AO679" s="8"/>
      <c r="AQ679" s="10"/>
      <c r="AS679" s="12"/>
    </row>
    <row r="680" spans="24:45">
      <c r="X680" s="2" t="s">
        <v>964</v>
      </c>
      <c r="Y680" s="2"/>
      <c r="Z680" s="2" t="s">
        <v>851</v>
      </c>
      <c r="AA680" s="2"/>
      <c r="AB680" s="2"/>
      <c r="AC680" s="2"/>
      <c r="AD680" s="2"/>
      <c r="AE680" s="2"/>
      <c r="AF680" s="2"/>
      <c r="AO680" s="8"/>
      <c r="AQ680" s="10"/>
      <c r="AS680" s="12"/>
    </row>
    <row r="681" spans="24:45">
      <c r="X681" s="2" t="s">
        <v>278</v>
      </c>
      <c r="Y681" s="2" t="s">
        <v>279</v>
      </c>
      <c r="Z681" s="4" t="s">
        <v>280</v>
      </c>
      <c r="AA681" s="5">
        <v>6.5</v>
      </c>
      <c r="AB681" s="4" t="s">
        <v>281</v>
      </c>
      <c r="AC681" s="5">
        <f>AA681</f>
        <v>6.5</v>
      </c>
      <c r="AD681" s="2" t="s">
        <v>282</v>
      </c>
      <c r="AF681" s="4" t="s">
        <v>133</v>
      </c>
      <c r="AG681" s="6">
        <f>AG687+AG695+AG698</f>
        <v>67.768372461538462</v>
      </c>
    </row>
    <row r="682" spans="24:45">
      <c r="X682" s="2" t="s">
        <v>283</v>
      </c>
      <c r="Y682" s="2" t="s">
        <v>284</v>
      </c>
      <c r="AC682" s="4" t="s">
        <v>122</v>
      </c>
      <c r="AD682" s="4" t="s">
        <v>285</v>
      </c>
      <c r="AE682" s="4" t="s">
        <v>286</v>
      </c>
      <c r="AF682" s="4" t="s">
        <v>287</v>
      </c>
      <c r="AG682" s="4" t="s">
        <v>288</v>
      </c>
    </row>
    <row r="683" spans="24:45">
      <c r="Y683" s="7" t="s">
        <v>289</v>
      </c>
    </row>
    <row r="684" spans="24:45">
      <c r="Y684" t="s">
        <v>650</v>
      </c>
      <c r="AC684" s="8" t="s">
        <v>291</v>
      </c>
      <c r="AD684" s="9">
        <v>0.1</v>
      </c>
      <c r="AE684" s="10">
        <f>AD684*8/$AA$681</f>
        <v>0.12307692307692308</v>
      </c>
      <c r="AF684" s="12">
        <v>34.729999999999997</v>
      </c>
      <c r="AG684" s="12">
        <f>AE684*AF684</f>
        <v>4.2744615384615381</v>
      </c>
    </row>
    <row r="685" spans="24:45">
      <c r="Y685" t="s">
        <v>290</v>
      </c>
      <c r="AC685" s="8" t="s">
        <v>291</v>
      </c>
      <c r="AD685" s="9">
        <v>1</v>
      </c>
      <c r="AE685" s="10">
        <f t="shared" ref="AE685:AE687" si="18">AD685*8/$AA$681</f>
        <v>1.2307692307692308</v>
      </c>
      <c r="AF685" s="12">
        <v>28.94</v>
      </c>
      <c r="AG685" s="12">
        <f>AE685*AF685</f>
        <v>35.618461538461546</v>
      </c>
    </row>
    <row r="686" spans="24:45">
      <c r="Y686" t="s">
        <v>293</v>
      </c>
      <c r="AC686" s="8" t="s">
        <v>291</v>
      </c>
      <c r="AD686" s="9">
        <v>0.4</v>
      </c>
      <c r="AE686" s="10">
        <f t="shared" si="18"/>
        <v>0.49230769230769234</v>
      </c>
      <c r="AF686" s="12">
        <v>20.51</v>
      </c>
      <c r="AG686" s="12">
        <f>AE686*AF686</f>
        <v>10.097230769230771</v>
      </c>
    </row>
    <row r="687" spans="24:45">
      <c r="AE687" s="10"/>
      <c r="AG687" s="6">
        <f>SUM(AG684:AG686)</f>
        <v>49.990153846153852</v>
      </c>
    </row>
    <row r="688" spans="24:45">
      <c r="Y688" s="7" t="s">
        <v>294</v>
      </c>
      <c r="AC688" s="8"/>
    </row>
    <row r="689" spans="24:33">
      <c r="Y689" t="s">
        <v>664</v>
      </c>
      <c r="AC689" s="8" t="s">
        <v>203</v>
      </c>
      <c r="AE689" s="10">
        <v>4.0000000000000001E-3</v>
      </c>
      <c r="AF689" s="12">
        <v>6.14</v>
      </c>
      <c r="AG689" s="12">
        <f>AE689*AF689</f>
        <v>2.4559999999999998E-2</v>
      </c>
    </row>
    <row r="690" spans="24:33">
      <c r="Y690" t="s">
        <v>301</v>
      </c>
      <c r="AC690" s="8" t="s">
        <v>296</v>
      </c>
      <c r="AE690" s="10">
        <v>4.3999999999999997E-2</v>
      </c>
      <c r="AF690" s="12">
        <v>5.51</v>
      </c>
      <c r="AG690" s="12">
        <f>AE690*AF690</f>
        <v>0.24243999999999999</v>
      </c>
    </row>
    <row r="691" spans="24:33">
      <c r="Y691" t="s">
        <v>967</v>
      </c>
      <c r="AC691" s="8" t="s">
        <v>305</v>
      </c>
      <c r="AE691" s="10">
        <v>3.8800000000000001E-2</v>
      </c>
      <c r="AF691" s="12">
        <v>17.48</v>
      </c>
      <c r="AG691" s="12">
        <f t="shared" ref="AG691:AG694" si="19">AE691*AF691</f>
        <v>0.67822400000000005</v>
      </c>
    </row>
    <row r="692" spans="24:33">
      <c r="Y692" t="s">
        <v>721</v>
      </c>
      <c r="AC692" s="8" t="s">
        <v>431</v>
      </c>
      <c r="AE692" s="10">
        <v>0.11700000000000001</v>
      </c>
      <c r="AF692" s="12">
        <v>24.52</v>
      </c>
      <c r="AG692" s="12">
        <f t="shared" si="19"/>
        <v>2.8688400000000001</v>
      </c>
    </row>
    <row r="693" spans="24:33">
      <c r="Y693" t="s">
        <v>896</v>
      </c>
      <c r="AC693" s="8" t="s">
        <v>203</v>
      </c>
      <c r="AE693" s="10">
        <v>1.7000000000000001E-2</v>
      </c>
      <c r="AF693" s="12">
        <v>50.85</v>
      </c>
      <c r="AG693" s="12">
        <f t="shared" si="19"/>
        <v>0.86445000000000005</v>
      </c>
    </row>
    <row r="694" spans="24:33">
      <c r="Y694" t="s">
        <v>308</v>
      </c>
      <c r="AC694" s="8" t="s">
        <v>305</v>
      </c>
      <c r="AE694" s="10">
        <v>2</v>
      </c>
      <c r="AF694" s="12">
        <v>5.8</v>
      </c>
      <c r="AG694" s="12">
        <f t="shared" si="19"/>
        <v>11.6</v>
      </c>
    </row>
    <row r="695" spans="24:33">
      <c r="AG695" s="6">
        <f>SUM(AG689:AG694)</f>
        <v>16.278514000000001</v>
      </c>
    </row>
    <row r="696" spans="24:33">
      <c r="Y696" s="7" t="s">
        <v>317</v>
      </c>
    </row>
    <row r="697" spans="24:33">
      <c r="Y697" t="s">
        <v>310</v>
      </c>
      <c r="AC697" s="8" t="s">
        <v>311</v>
      </c>
      <c r="AE697" s="10">
        <v>3</v>
      </c>
      <c r="AF697" s="12">
        <f>AG687</f>
        <v>49.990153846153852</v>
      </c>
      <c r="AG697" s="12">
        <f>AE697%*AF697</f>
        <v>1.4997046153846154</v>
      </c>
    </row>
    <row r="698" spans="24:33">
      <c r="X698" s="14"/>
      <c r="Y698" s="14"/>
      <c r="Z698" s="14"/>
      <c r="AA698" s="14"/>
      <c r="AB698" s="14"/>
      <c r="AC698" s="14"/>
      <c r="AD698" s="14"/>
      <c r="AE698" s="14"/>
      <c r="AF698" s="14"/>
      <c r="AG698" s="16">
        <f>SUM(AG697)</f>
        <v>1.4997046153846154</v>
      </c>
    </row>
    <row r="700" spans="24:33">
      <c r="X700" s="2" t="s">
        <v>735</v>
      </c>
      <c r="Y700" s="2"/>
      <c r="Z700" s="2" t="s">
        <v>968</v>
      </c>
      <c r="AA700" s="2"/>
      <c r="AB700" s="2"/>
      <c r="AC700" s="2"/>
      <c r="AD700" s="2"/>
      <c r="AE700" s="2"/>
      <c r="AF700" s="2"/>
    </row>
    <row r="701" spans="24:33">
      <c r="X701" s="2" t="s">
        <v>278</v>
      </c>
      <c r="Y701" s="2" t="s">
        <v>279</v>
      </c>
      <c r="Z701" s="4" t="s">
        <v>280</v>
      </c>
      <c r="AA701" s="5">
        <v>1</v>
      </c>
      <c r="AB701" s="4" t="s">
        <v>281</v>
      </c>
      <c r="AC701" s="5">
        <f>AA701</f>
        <v>1</v>
      </c>
      <c r="AD701" s="2" t="s">
        <v>282</v>
      </c>
      <c r="AF701" s="4" t="s">
        <v>133</v>
      </c>
      <c r="AG701" s="6">
        <f>AG705</f>
        <v>39.51</v>
      </c>
    </row>
    <row r="702" spans="24:33">
      <c r="X702" s="2" t="s">
        <v>283</v>
      </c>
      <c r="Y702" s="2" t="s">
        <v>284</v>
      </c>
      <c r="AC702" s="4" t="s">
        <v>122</v>
      </c>
      <c r="AD702" s="4" t="s">
        <v>285</v>
      </c>
      <c r="AE702" s="4" t="s">
        <v>286</v>
      </c>
      <c r="AF702" s="4" t="s">
        <v>287</v>
      </c>
      <c r="AG702" s="4" t="s">
        <v>288</v>
      </c>
    </row>
    <row r="703" spans="24:33">
      <c r="Y703" s="7" t="s">
        <v>294</v>
      </c>
    </row>
    <row r="704" spans="24:33">
      <c r="Y704" t="s">
        <v>968</v>
      </c>
      <c r="AC704" s="8" t="s">
        <v>133</v>
      </c>
      <c r="AD704" s="9"/>
      <c r="AE704" s="10">
        <v>1</v>
      </c>
      <c r="AF704">
        <v>39.51</v>
      </c>
      <c r="AG704" s="12">
        <f>AE704*AF704</f>
        <v>39.51</v>
      </c>
    </row>
    <row r="705" spans="13:33">
      <c r="X705" s="14"/>
      <c r="Y705" s="14"/>
      <c r="Z705" s="14"/>
      <c r="AA705" s="14"/>
      <c r="AB705" s="14"/>
      <c r="AC705" s="14"/>
      <c r="AD705" s="14"/>
      <c r="AE705" s="14"/>
      <c r="AF705" s="14"/>
      <c r="AG705" s="16">
        <f>SUM(AG704)</f>
        <v>39.51</v>
      </c>
    </row>
    <row r="707" spans="13:33">
      <c r="X707" s="2" t="s">
        <v>735</v>
      </c>
      <c r="Y707" s="2"/>
      <c r="Z707" s="2" t="s">
        <v>969</v>
      </c>
      <c r="AA707" s="2"/>
      <c r="AB707" s="2"/>
      <c r="AC707" s="2"/>
      <c r="AD707" s="2"/>
      <c r="AE707" s="2"/>
      <c r="AF707" s="2"/>
    </row>
    <row r="708" spans="13:33">
      <c r="X708" s="2" t="s">
        <v>278</v>
      </c>
      <c r="Y708" s="2" t="s">
        <v>279</v>
      </c>
      <c r="Z708" s="4" t="s">
        <v>280</v>
      </c>
      <c r="AA708" s="5">
        <v>1</v>
      </c>
      <c r="AB708" s="4" t="s">
        <v>281</v>
      </c>
      <c r="AC708" s="5">
        <f>AA708</f>
        <v>1</v>
      </c>
      <c r="AD708" s="2" t="s">
        <v>282</v>
      </c>
      <c r="AF708" s="4" t="s">
        <v>133</v>
      </c>
      <c r="AG708" s="6">
        <f>AG712</f>
        <v>17.38</v>
      </c>
    </row>
    <row r="709" spans="13:33">
      <c r="X709" s="2" t="s">
        <v>283</v>
      </c>
      <c r="Y709" s="2" t="s">
        <v>284</v>
      </c>
      <c r="AC709" s="4" t="s">
        <v>122</v>
      </c>
      <c r="AD709" s="4" t="s">
        <v>285</v>
      </c>
      <c r="AE709" s="4" t="s">
        <v>286</v>
      </c>
      <c r="AF709" s="4" t="s">
        <v>287</v>
      </c>
      <c r="AG709" s="4" t="s">
        <v>288</v>
      </c>
    </row>
    <row r="710" spans="13:33">
      <c r="Y710" s="7" t="s">
        <v>294</v>
      </c>
    </row>
    <row r="711" spans="13:33">
      <c r="Y711" t="s">
        <v>969</v>
      </c>
      <c r="AC711" s="8" t="s">
        <v>133</v>
      </c>
      <c r="AD711" s="9"/>
      <c r="AE711" s="10">
        <v>1</v>
      </c>
      <c r="AF711">
        <v>17.38</v>
      </c>
      <c r="AG711" s="12">
        <f>AE711*AF711</f>
        <v>17.38</v>
      </c>
    </row>
    <row r="712" spans="13:33">
      <c r="X712" s="14"/>
      <c r="Y712" s="14"/>
      <c r="Z712" s="14"/>
      <c r="AA712" s="14"/>
      <c r="AB712" s="14"/>
      <c r="AC712" s="14"/>
      <c r="AD712" s="14"/>
      <c r="AE712" s="14"/>
      <c r="AF712" s="14"/>
      <c r="AG712" s="16">
        <f>SUM(AG711)</f>
        <v>17.38</v>
      </c>
    </row>
    <row r="714" spans="13:33">
      <c r="M714" s="2" t="s">
        <v>277</v>
      </c>
      <c r="N714" s="2"/>
      <c r="O714" s="2" t="s">
        <v>753</v>
      </c>
      <c r="P714" s="2"/>
      <c r="Q714" s="2"/>
      <c r="R714" s="2"/>
      <c r="S714" s="2"/>
      <c r="T714" s="2"/>
      <c r="U714" s="2"/>
    </row>
    <row r="715" spans="13:33">
      <c r="M715" s="2" t="s">
        <v>278</v>
      </c>
      <c r="N715" s="2" t="s">
        <v>331</v>
      </c>
      <c r="O715" s="4" t="s">
        <v>280</v>
      </c>
      <c r="P715" s="5">
        <v>1</v>
      </c>
      <c r="Q715" s="4" t="s">
        <v>281</v>
      </c>
      <c r="R715" s="5">
        <f>P715</f>
        <v>1</v>
      </c>
      <c r="S715" s="2" t="s">
        <v>282</v>
      </c>
      <c r="U715" s="4" t="s">
        <v>154</v>
      </c>
      <c r="V715" s="6">
        <f>V719</f>
        <v>29580.58810716619</v>
      </c>
    </row>
    <row r="716" spans="13:33">
      <c r="M716" s="2" t="s">
        <v>283</v>
      </c>
      <c r="N716" s="2" t="s">
        <v>284</v>
      </c>
      <c r="R716" s="4" t="s">
        <v>122</v>
      </c>
      <c r="S716" s="4" t="s">
        <v>285</v>
      </c>
      <c r="T716" s="4" t="s">
        <v>286</v>
      </c>
      <c r="U716" s="4" t="s">
        <v>287</v>
      </c>
      <c r="V716" s="4" t="s">
        <v>288</v>
      </c>
    </row>
    <row r="717" spans="13:33">
      <c r="N717" s="7" t="s">
        <v>294</v>
      </c>
    </row>
    <row r="718" spans="13:33">
      <c r="N718" t="s">
        <v>753</v>
      </c>
      <c r="R718" s="8" t="s">
        <v>154</v>
      </c>
      <c r="S718" s="9"/>
      <c r="T718" s="10">
        <v>1</v>
      </c>
      <c r="U718" s="12">
        <v>29580.58810716619</v>
      </c>
      <c r="V718" s="12">
        <f>T718*U718</f>
        <v>29580.58810716619</v>
      </c>
    </row>
    <row r="719" spans="13:33">
      <c r="M719" s="14"/>
      <c r="N719" s="14"/>
      <c r="O719" s="14"/>
      <c r="P719" s="14"/>
      <c r="Q719" s="14"/>
      <c r="R719" s="14"/>
      <c r="S719" s="14"/>
      <c r="T719" s="14"/>
      <c r="U719" s="14"/>
      <c r="V719" s="16">
        <f>SUM(V718)</f>
        <v>29580.58810716619</v>
      </c>
    </row>
    <row r="720" spans="13:33">
      <c r="R720" s="8"/>
      <c r="S720" s="9"/>
      <c r="T720" s="10"/>
      <c r="U720" s="12"/>
      <c r="V720" s="12"/>
    </row>
    <row r="721" spans="13:22">
      <c r="M721" s="2"/>
      <c r="N721" s="2"/>
      <c r="O721" s="2"/>
      <c r="P721" s="2"/>
      <c r="Q721" s="2"/>
      <c r="R721" s="2"/>
      <c r="S721" s="2"/>
      <c r="T721" s="2"/>
      <c r="U721" s="2"/>
    </row>
    <row r="722" spans="13:22">
      <c r="M722" s="2"/>
      <c r="N722" s="2"/>
      <c r="O722" s="4"/>
      <c r="P722" s="5"/>
      <c r="Q722" s="4"/>
      <c r="R722" s="5"/>
      <c r="S722" s="2"/>
      <c r="U722" s="4"/>
      <c r="V722" s="6"/>
    </row>
    <row r="723" spans="13:22">
      <c r="M723" s="2"/>
      <c r="N723" s="2"/>
      <c r="R723" s="4"/>
      <c r="S723" s="4"/>
      <c r="T723" s="4"/>
      <c r="U723" s="4"/>
      <c r="V723" s="4"/>
    </row>
    <row r="724" spans="13:22">
      <c r="N724" s="7"/>
    </row>
    <row r="725" spans="13:22">
      <c r="R725" s="8"/>
      <c r="S725" s="9"/>
      <c r="T725" s="10"/>
      <c r="U725" s="12"/>
      <c r="V725" s="12"/>
    </row>
    <row r="726" spans="13:22">
      <c r="M726" s="14"/>
      <c r="N726" s="14"/>
      <c r="O726" s="14"/>
      <c r="P726" s="14"/>
      <c r="Q726" s="14"/>
      <c r="R726" s="14"/>
      <c r="S726" s="14"/>
      <c r="T726" s="14"/>
      <c r="U726" s="14"/>
      <c r="V726" s="1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C6B0B-C926-46D3-8377-F5FBD9DE1545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88</v>
      </c>
      <c r="M2" s="25">
        <f>'Datos iniciales '!B11</f>
        <v>1</v>
      </c>
    </row>
    <row r="3" spans="1:25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807.41657368555923</v>
      </c>
      <c r="L4" s="25" t="s">
        <v>1368</v>
      </c>
      <c r="M4" s="25">
        <f>J4/M2</f>
        <v>807.41657368555923</v>
      </c>
      <c r="P4" s="31" t="s">
        <v>277</v>
      </c>
      <c r="Q4" s="31"/>
      <c r="R4" s="31" t="s">
        <v>526</v>
      </c>
      <c r="S4" s="31"/>
    </row>
    <row r="5" spans="1:25">
      <c r="A5" s="1" t="s">
        <v>524</v>
      </c>
      <c r="E5" s="10"/>
      <c r="F5" s="26"/>
      <c r="G5" s="21"/>
      <c r="P5" s="31" t="s">
        <v>278</v>
      </c>
      <c r="Q5" s="31" t="s">
        <v>416</v>
      </c>
      <c r="R5" s="32" t="s">
        <v>280</v>
      </c>
      <c r="S5" s="33">
        <v>15</v>
      </c>
      <c r="T5" s="32" t="s">
        <v>281</v>
      </c>
      <c r="U5" s="33">
        <f>S5</f>
        <v>15</v>
      </c>
      <c r="V5" s="31" t="s">
        <v>282</v>
      </c>
      <c r="X5" s="32" t="s">
        <v>203</v>
      </c>
      <c r="Y5" s="34">
        <f>Y11+Y18+Y23</f>
        <v>402.68478666666664</v>
      </c>
    </row>
    <row r="6" spans="1:25">
      <c r="A6" t="s">
        <v>526</v>
      </c>
      <c r="E6">
        <v>0.1601295731707317</v>
      </c>
      <c r="F6" s="26" t="s">
        <v>203</v>
      </c>
      <c r="G6" s="21">
        <f>E6*$M$2</f>
        <v>0.1601295731707317</v>
      </c>
      <c r="H6" s="43">
        <f>Y5</f>
        <v>402.68478666666664</v>
      </c>
      <c r="I6">
        <f>G6*H6</f>
        <v>64.481743011280486</v>
      </c>
      <c r="P6" s="31" t="s">
        <v>283</v>
      </c>
      <c r="Q6" s="31" t="s">
        <v>284</v>
      </c>
      <c r="U6" s="32" t="s">
        <v>122</v>
      </c>
      <c r="V6" s="32" t="s">
        <v>285</v>
      </c>
      <c r="W6" s="32" t="s">
        <v>286</v>
      </c>
      <c r="X6" s="32" t="s">
        <v>287</v>
      </c>
      <c r="Y6" s="32" t="s">
        <v>288</v>
      </c>
    </row>
    <row r="7" spans="1:25">
      <c r="A7" t="s">
        <v>528</v>
      </c>
      <c r="E7">
        <v>1.1652439024390246</v>
      </c>
      <c r="F7" s="26" t="s">
        <v>133</v>
      </c>
      <c r="G7" s="21">
        <f t="shared" ref="G7:G21" si="0">E7*$M$2</f>
        <v>1.1652439024390246</v>
      </c>
      <c r="H7" s="267">
        <f>Y26</f>
        <v>47.011574285714282</v>
      </c>
      <c r="I7">
        <f t="shared" ref="I7:I8" si="1">G7*H7</f>
        <v>54.77995028048781</v>
      </c>
      <c r="Q7" s="35" t="s">
        <v>289</v>
      </c>
    </row>
    <row r="8" spans="1:25">
      <c r="A8" t="s">
        <v>530</v>
      </c>
      <c r="F8" s="26" t="s">
        <v>296</v>
      </c>
      <c r="G8" s="203">
        <f>G6*170</f>
        <v>27.222027439024391</v>
      </c>
      <c r="H8" s="43">
        <f>Y43</f>
        <v>5.5639628445000007</v>
      </c>
      <c r="I8">
        <f t="shared" si="1"/>
        <v>151.46234922269122</v>
      </c>
      <c r="J8">
        <f>G8/G6</f>
        <v>170</v>
      </c>
      <c r="Q8" t="s">
        <v>290</v>
      </c>
      <c r="U8" s="8" t="s">
        <v>291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540</v>
      </c>
      <c r="G9" s="21"/>
      <c r="Q9" t="s">
        <v>292</v>
      </c>
      <c r="U9" s="8" t="s">
        <v>291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542</v>
      </c>
      <c r="E10">
        <v>0.16849085365853661</v>
      </c>
      <c r="F10" s="26" t="s">
        <v>203</v>
      </c>
      <c r="G10" s="21">
        <f>E10*$M$2</f>
        <v>0.16849085365853661</v>
      </c>
      <c r="H10" s="27">
        <f>Y61</f>
        <v>392.5379309090909</v>
      </c>
      <c r="I10">
        <f>G10*H10</f>
        <v>66.139051072228384</v>
      </c>
      <c r="Q10" t="s">
        <v>293</v>
      </c>
      <c r="U10" s="8" t="s">
        <v>291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544</v>
      </c>
      <c r="E11">
        <v>0.82225990853658537</v>
      </c>
      <c r="F11" s="26" t="s">
        <v>133</v>
      </c>
      <c r="G11" s="21">
        <f t="shared" si="0"/>
        <v>0.82225990853658537</v>
      </c>
      <c r="H11" s="268">
        <f>Y83</f>
        <v>50.790514285714288</v>
      </c>
      <c r="I11">
        <f>G11*H11</f>
        <v>41.763003631097561</v>
      </c>
      <c r="U11" s="8"/>
      <c r="V11" s="9"/>
      <c r="W11" s="10"/>
      <c r="Y11" s="34">
        <f>SUM(Y8:Y10)</f>
        <v>86.176000000000002</v>
      </c>
    </row>
    <row r="12" spans="1:25">
      <c r="A12" t="s">
        <v>546</v>
      </c>
      <c r="F12" s="26" t="s">
        <v>296</v>
      </c>
      <c r="G12" s="203">
        <f>G10*140</f>
        <v>23.588719512195127</v>
      </c>
      <c r="H12" s="12">
        <f>Y99</f>
        <v>5.5639628445000007</v>
      </c>
      <c r="I12">
        <f>G12*H12</f>
        <v>131.24675891518586</v>
      </c>
      <c r="J12">
        <f>G12/G10</f>
        <v>140</v>
      </c>
      <c r="Q12" s="35" t="s">
        <v>653</v>
      </c>
      <c r="U12" s="8"/>
      <c r="V12" s="9"/>
      <c r="W12" s="10"/>
      <c r="Y12" s="12"/>
    </row>
    <row r="13" spans="1:25">
      <c r="A13" s="1" t="s">
        <v>556</v>
      </c>
      <c r="G13" s="21"/>
      <c r="Q13" t="s">
        <v>672</v>
      </c>
      <c r="U13" s="8" t="s">
        <v>203</v>
      </c>
      <c r="W13" s="10">
        <v>0.53</v>
      </c>
      <c r="X13" s="12">
        <v>55.08</v>
      </c>
      <c r="Y13" s="12">
        <f>W13*X13</f>
        <v>29.192399999999999</v>
      </c>
    </row>
    <row r="14" spans="1:25">
      <c r="A14" s="21" t="s">
        <v>558</v>
      </c>
      <c r="E14">
        <v>0.11687500000000001</v>
      </c>
      <c r="F14" t="s">
        <v>203</v>
      </c>
      <c r="G14" s="21">
        <f t="shared" si="0"/>
        <v>0.11687500000000001</v>
      </c>
      <c r="H14" s="12">
        <f>Y115</f>
        <v>396.88173599999999</v>
      </c>
      <c r="I14">
        <f>G14*H14</f>
        <v>46.385552895000004</v>
      </c>
      <c r="Q14" t="s">
        <v>673</v>
      </c>
      <c r="U14" s="8" t="s">
        <v>203</v>
      </c>
      <c r="W14" s="10">
        <v>0.52</v>
      </c>
      <c r="X14" s="12">
        <v>47</v>
      </c>
      <c r="Y14" s="12">
        <f>W14*X14</f>
        <v>24.44</v>
      </c>
    </row>
    <row r="15" spans="1:25">
      <c r="A15" s="21" t="s">
        <v>560</v>
      </c>
      <c r="E15">
        <v>1.2813643292682928</v>
      </c>
      <c r="F15" t="s">
        <v>133</v>
      </c>
      <c r="G15" s="21">
        <f t="shared" si="0"/>
        <v>1.2813643292682928</v>
      </c>
      <c r="H15" s="50">
        <f>Y140</f>
        <v>43.476599999999998</v>
      </c>
      <c r="I15">
        <f>G15*H15</f>
        <v>55.709364397865855</v>
      </c>
      <c r="Q15" t="s">
        <v>306</v>
      </c>
      <c r="U15" s="8" t="s">
        <v>307</v>
      </c>
      <c r="W15" s="10">
        <v>9.73</v>
      </c>
      <c r="X15" s="12">
        <v>24.52</v>
      </c>
      <c r="Y15" s="12">
        <f>W15*X15</f>
        <v>238.5796</v>
      </c>
    </row>
    <row r="16" spans="1:25">
      <c r="A16" s="21" t="s">
        <v>562</v>
      </c>
      <c r="F16" t="s">
        <v>296</v>
      </c>
      <c r="G16" s="203">
        <f>G14*45</f>
        <v>5.2593750000000004</v>
      </c>
      <c r="H16" s="12">
        <f>Y157</f>
        <v>5.4833634845000008</v>
      </c>
      <c r="I16">
        <f>G16*H16</f>
        <v>28.839064826292194</v>
      </c>
      <c r="J16">
        <f>G16/G14</f>
        <v>45</v>
      </c>
      <c r="Q16" t="s">
        <v>655</v>
      </c>
      <c r="U16" s="8" t="s">
        <v>203</v>
      </c>
      <c r="W16" s="10">
        <v>0.186</v>
      </c>
      <c r="X16">
        <v>6.14</v>
      </c>
      <c r="Y16" s="12">
        <f>W16*X16</f>
        <v>1.1420399999999999</v>
      </c>
    </row>
    <row r="17" spans="1:25">
      <c r="A17" s="21" t="s">
        <v>564</v>
      </c>
      <c r="E17">
        <v>9.7006250000000005</v>
      </c>
      <c r="F17" t="s">
        <v>565</v>
      </c>
      <c r="G17" s="21">
        <f t="shared" si="0"/>
        <v>9.7006250000000005</v>
      </c>
      <c r="H17" s="12">
        <f>Y173</f>
        <v>2.715605</v>
      </c>
      <c r="I17">
        <f>G17*H17</f>
        <v>26.343065753125003</v>
      </c>
      <c r="Q17" t="s">
        <v>665</v>
      </c>
      <c r="U17" s="8" t="s">
        <v>439</v>
      </c>
      <c r="W17" s="10">
        <v>0.36</v>
      </c>
      <c r="X17">
        <v>13.93</v>
      </c>
      <c r="Y17" s="12">
        <f>W17*X17</f>
        <v>5.0148000000000001</v>
      </c>
    </row>
    <row r="18" spans="1:25">
      <c r="A18" s="202" t="s">
        <v>575</v>
      </c>
      <c r="B18" s="200"/>
      <c r="C18" s="200"/>
      <c r="U18" s="8"/>
      <c r="W18" s="10"/>
      <c r="X18" s="12"/>
      <c r="Y18" s="34">
        <f>SUM(Y13:Y17)</f>
        <v>298.36883999999998</v>
      </c>
    </row>
    <row r="19" spans="1:25">
      <c r="A19" s="200" t="s">
        <v>526</v>
      </c>
      <c r="B19" s="200"/>
      <c r="C19" s="200"/>
      <c r="E19" s="200">
        <v>0.08</v>
      </c>
      <c r="F19" s="26" t="s">
        <v>203</v>
      </c>
      <c r="G19" s="21">
        <f t="shared" si="0"/>
        <v>0.08</v>
      </c>
      <c r="H19" s="27">
        <f>Y189</f>
        <v>402.68478666666664</v>
      </c>
      <c r="I19">
        <f>G19*H19</f>
        <v>32.214782933333332</v>
      </c>
      <c r="Q19" s="35" t="s">
        <v>309</v>
      </c>
    </row>
    <row r="20" spans="1:25">
      <c r="A20" s="200" t="s">
        <v>528</v>
      </c>
      <c r="B20" s="200"/>
      <c r="C20" s="200"/>
      <c r="E20" s="200">
        <v>0.96099999999999997</v>
      </c>
      <c r="F20" s="26" t="s">
        <v>133</v>
      </c>
      <c r="G20" s="21">
        <f t="shared" si="0"/>
        <v>0.96099999999999997</v>
      </c>
      <c r="H20" s="50">
        <f>Y210</f>
        <v>47.59157428571428</v>
      </c>
      <c r="I20">
        <f>G20*H20</f>
        <v>45.735502888571425</v>
      </c>
      <c r="Q20" t="s">
        <v>310</v>
      </c>
      <c r="U20" s="8" t="s">
        <v>311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200" t="s">
        <v>530</v>
      </c>
      <c r="B21" s="200"/>
      <c r="C21" s="200"/>
      <c r="E21" s="200"/>
      <c r="F21" s="26" t="s">
        <v>296</v>
      </c>
      <c r="G21" s="203">
        <f>G19*140</f>
        <v>11.200000000000001</v>
      </c>
      <c r="H21" s="12">
        <f>Y227</f>
        <v>5.5639628445000007</v>
      </c>
      <c r="I21">
        <f>G21*H21</f>
        <v>62.316383858400016</v>
      </c>
      <c r="J21">
        <f>G21/G19</f>
        <v>140</v>
      </c>
      <c r="Q21" t="s">
        <v>667</v>
      </c>
      <c r="U21" s="8" t="s">
        <v>337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G22" s="21"/>
      <c r="Q22" t="s">
        <v>675</v>
      </c>
      <c r="U22" s="8" t="s">
        <v>337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277</v>
      </c>
      <c r="Q25" s="31"/>
      <c r="R25" s="31" t="s">
        <v>528</v>
      </c>
      <c r="S25" s="31"/>
    </row>
    <row r="26" spans="1:25">
      <c r="P26" s="31" t="s">
        <v>278</v>
      </c>
      <c r="Q26" s="31" t="s">
        <v>279</v>
      </c>
      <c r="R26" s="32" t="s">
        <v>280</v>
      </c>
      <c r="S26" s="33">
        <v>35</v>
      </c>
      <c r="T26" s="32" t="s">
        <v>281</v>
      </c>
      <c r="U26" s="33">
        <f>S26</f>
        <v>35</v>
      </c>
      <c r="V26" s="31" t="s">
        <v>282</v>
      </c>
      <c r="X26" s="32" t="s">
        <v>133</v>
      </c>
      <c r="Y26" s="34">
        <f>Y32+Y37+Y40</f>
        <v>47.011574285714282</v>
      </c>
    </row>
    <row r="27" spans="1:25">
      <c r="P27" s="31" t="s">
        <v>283</v>
      </c>
      <c r="Q27" s="31" t="s">
        <v>284</v>
      </c>
      <c r="U27" s="32" t="s">
        <v>122</v>
      </c>
      <c r="V27" s="32" t="s">
        <v>285</v>
      </c>
      <c r="W27" s="32" t="s">
        <v>286</v>
      </c>
      <c r="X27" s="32" t="s">
        <v>287</v>
      </c>
      <c r="Y27" s="32" t="s">
        <v>288</v>
      </c>
    </row>
    <row r="28" spans="1:25">
      <c r="Q28" s="35" t="s">
        <v>289</v>
      </c>
    </row>
    <row r="29" spans="1:25">
      <c r="Q29" t="s">
        <v>290</v>
      </c>
      <c r="U29" s="8" t="s">
        <v>291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292</v>
      </c>
      <c r="U30" s="8" t="s">
        <v>291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293</v>
      </c>
      <c r="U31" s="8" t="s">
        <v>291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653</v>
      </c>
      <c r="U33" s="8"/>
      <c r="V33" s="9"/>
      <c r="W33" s="10"/>
      <c r="Y33" s="12"/>
    </row>
    <row r="34" spans="5:25">
      <c r="Q34" t="s">
        <v>688</v>
      </c>
      <c r="U34" s="8" t="s">
        <v>296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301</v>
      </c>
      <c r="U35" s="8" t="s">
        <v>296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669</v>
      </c>
      <c r="U36" s="8" t="s">
        <v>305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309</v>
      </c>
    </row>
    <row r="39" spans="5:25">
      <c r="Q39" t="s">
        <v>310</v>
      </c>
      <c r="U39" s="8" t="s">
        <v>311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277</v>
      </c>
      <c r="Q42" s="31"/>
      <c r="R42" s="31" t="s">
        <v>530</v>
      </c>
      <c r="S42" s="31"/>
    </row>
    <row r="43" spans="5:25">
      <c r="P43" s="31" t="s">
        <v>278</v>
      </c>
      <c r="Q43" s="31" t="s">
        <v>279</v>
      </c>
      <c r="R43" s="32" t="s">
        <v>280</v>
      </c>
      <c r="S43" s="33">
        <v>250</v>
      </c>
      <c r="T43" s="32" t="s">
        <v>281</v>
      </c>
      <c r="U43" s="33">
        <f>S43</f>
        <v>250</v>
      </c>
      <c r="V43" s="31" t="s">
        <v>282</v>
      </c>
      <c r="X43" s="32" t="s">
        <v>133</v>
      </c>
      <c r="Y43" s="34">
        <f>Y48+Y52+Y56</f>
        <v>5.5639628445000007</v>
      </c>
    </row>
    <row r="44" spans="5:25">
      <c r="E44" s="10"/>
      <c r="P44" s="31" t="s">
        <v>283</v>
      </c>
      <c r="Q44" s="31" t="s">
        <v>284</v>
      </c>
      <c r="U44" s="32" t="s">
        <v>122</v>
      </c>
      <c r="V44" s="32" t="s">
        <v>285</v>
      </c>
      <c r="W44" s="32" t="s">
        <v>286</v>
      </c>
      <c r="X44" s="32" t="s">
        <v>287</v>
      </c>
      <c r="Y44" s="32" t="s">
        <v>288</v>
      </c>
    </row>
    <row r="45" spans="5:25">
      <c r="E45" s="10"/>
      <c r="Q45" s="35" t="s">
        <v>289</v>
      </c>
    </row>
    <row r="46" spans="5:25">
      <c r="Q46" t="s">
        <v>290</v>
      </c>
      <c r="U46" s="8" t="s">
        <v>291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679</v>
      </c>
      <c r="U47" s="8" t="s">
        <v>291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294</v>
      </c>
      <c r="U49" s="8"/>
      <c r="V49" s="9"/>
      <c r="W49" s="18"/>
    </row>
    <row r="50" spans="16:25">
      <c r="Q50" t="s">
        <v>295</v>
      </c>
      <c r="U50" s="8" t="s">
        <v>296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680</v>
      </c>
      <c r="U51" s="8" t="s">
        <v>296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317</v>
      </c>
      <c r="U53" s="8"/>
      <c r="V53" s="9"/>
    </row>
    <row r="54" spans="16:25">
      <c r="Q54" t="s">
        <v>310</v>
      </c>
      <c r="U54" s="8" t="s">
        <v>311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681</v>
      </c>
      <c r="U55" s="8" t="s">
        <v>291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277</v>
      </c>
      <c r="Q60" s="31"/>
      <c r="R60" s="31" t="s">
        <v>542</v>
      </c>
      <c r="S60" s="31"/>
    </row>
    <row r="61" spans="16:25">
      <c r="P61" s="31" t="s">
        <v>278</v>
      </c>
      <c r="Q61" s="31" t="s">
        <v>416</v>
      </c>
      <c r="R61" s="32" t="s">
        <v>280</v>
      </c>
      <c r="S61" s="33">
        <v>22</v>
      </c>
      <c r="T61" s="32" t="s">
        <v>281</v>
      </c>
      <c r="U61" s="33">
        <f>S61</f>
        <v>22</v>
      </c>
      <c r="V61" s="31" t="s">
        <v>282</v>
      </c>
      <c r="X61" s="32" t="s">
        <v>203</v>
      </c>
      <c r="Y61" s="34">
        <f>Y67+Y74+Y80</f>
        <v>392.5379309090909</v>
      </c>
    </row>
    <row r="62" spans="16:25">
      <c r="P62" s="31" t="s">
        <v>283</v>
      </c>
      <c r="Q62" s="31" t="s">
        <v>284</v>
      </c>
      <c r="U62" s="32" t="s">
        <v>122</v>
      </c>
      <c r="V62" s="32" t="s">
        <v>285</v>
      </c>
      <c r="W62" s="32" t="s">
        <v>286</v>
      </c>
      <c r="X62" s="32" t="s">
        <v>287</v>
      </c>
      <c r="Y62" s="32" t="s">
        <v>288</v>
      </c>
    </row>
    <row r="63" spans="16:25">
      <c r="Q63" s="35" t="s">
        <v>289</v>
      </c>
    </row>
    <row r="64" spans="16:25">
      <c r="Q64" t="s">
        <v>290</v>
      </c>
      <c r="U64" s="8" t="s">
        <v>291</v>
      </c>
      <c r="V64" s="9">
        <v>2</v>
      </c>
      <c r="W64" s="10">
        <f>V64*8/$S$61</f>
        <v>0.72727272727272729</v>
      </c>
      <c r="X64" s="12">
        <v>28.94</v>
      </c>
      <c r="Y64" s="12">
        <f>W64*X64</f>
        <v>21.04727272727273</v>
      </c>
    </row>
    <row r="65" spans="16:25">
      <c r="Q65" t="s">
        <v>292</v>
      </c>
      <c r="U65" s="8" t="s">
        <v>291</v>
      </c>
      <c r="V65" s="9">
        <v>1</v>
      </c>
      <c r="W65" s="10">
        <f>V65*8/$S$61</f>
        <v>0.36363636363636365</v>
      </c>
      <c r="X65" s="12">
        <v>23.6</v>
      </c>
      <c r="Y65" s="12">
        <f>W65*X65</f>
        <v>8.581818181818182</v>
      </c>
    </row>
    <row r="66" spans="16:25">
      <c r="Q66" t="s">
        <v>293</v>
      </c>
      <c r="U66" s="8" t="s">
        <v>291</v>
      </c>
      <c r="V66" s="9">
        <v>6</v>
      </c>
      <c r="W66" s="10">
        <f>V66*8/$S$61</f>
        <v>2.1818181818181817</v>
      </c>
      <c r="X66" s="12">
        <v>21.36</v>
      </c>
      <c r="Y66" s="12">
        <f>W66*X66</f>
        <v>46.603636363636362</v>
      </c>
    </row>
    <row r="67" spans="16:25">
      <c r="U67" s="8"/>
      <c r="V67" s="9"/>
      <c r="W67" s="10"/>
      <c r="Y67" s="34">
        <f>SUM(Y64:Y66)</f>
        <v>76.232727272727274</v>
      </c>
    </row>
    <row r="68" spans="16:25">
      <c r="Q68" s="35" t="s">
        <v>653</v>
      </c>
      <c r="U68" s="8"/>
      <c r="V68" s="9"/>
      <c r="W68" s="10"/>
      <c r="Y68" s="12"/>
    </row>
    <row r="69" spans="16:25">
      <c r="Q69" t="s">
        <v>672</v>
      </c>
      <c r="U69" s="8" t="s">
        <v>203</v>
      </c>
      <c r="W69" s="10">
        <v>0.53</v>
      </c>
      <c r="X69" s="12">
        <v>55.08</v>
      </c>
      <c r="Y69" s="12">
        <f>W69*X69</f>
        <v>29.192399999999999</v>
      </c>
    </row>
    <row r="70" spans="16:25">
      <c r="Q70" t="s">
        <v>673</v>
      </c>
      <c r="U70" s="8" t="s">
        <v>203</v>
      </c>
      <c r="W70" s="10">
        <v>0.52</v>
      </c>
      <c r="X70" s="12">
        <v>47</v>
      </c>
      <c r="Y70" s="12">
        <f>W70*X70</f>
        <v>24.44</v>
      </c>
    </row>
    <row r="71" spans="16:25">
      <c r="Q71" t="s">
        <v>306</v>
      </c>
      <c r="U71" s="8" t="s">
        <v>307</v>
      </c>
      <c r="W71" s="10">
        <v>9.73</v>
      </c>
      <c r="X71" s="12">
        <v>24.52</v>
      </c>
      <c r="Y71" s="12">
        <f>W71*X71</f>
        <v>238.5796</v>
      </c>
    </row>
    <row r="72" spans="16:25">
      <c r="Q72" t="s">
        <v>655</v>
      </c>
      <c r="U72" s="8" t="s">
        <v>203</v>
      </c>
      <c r="W72" s="10">
        <v>0.186</v>
      </c>
      <c r="X72">
        <v>6.14</v>
      </c>
      <c r="Y72" s="12">
        <f>W72*X72</f>
        <v>1.1420399999999999</v>
      </c>
    </row>
    <row r="73" spans="16:25">
      <c r="Q73" t="s">
        <v>665</v>
      </c>
      <c r="U73" s="8" t="s">
        <v>439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296.14004</v>
      </c>
    </row>
    <row r="75" spans="16:25">
      <c r="Q75" s="35" t="s">
        <v>309</v>
      </c>
    </row>
    <row r="76" spans="16:25">
      <c r="Q76" t="s">
        <v>310</v>
      </c>
      <c r="U76" s="8" t="s">
        <v>311</v>
      </c>
      <c r="W76" s="10">
        <v>3</v>
      </c>
      <c r="X76" s="12">
        <f>Y67</f>
        <v>76.232727272727274</v>
      </c>
      <c r="Y76" s="12">
        <f>W76%*X76</f>
        <v>2.2869818181818182</v>
      </c>
    </row>
    <row r="77" spans="16:25">
      <c r="Q77" t="s">
        <v>667</v>
      </c>
      <c r="U77" s="8" t="s">
        <v>337</v>
      </c>
      <c r="V77" s="9">
        <v>1</v>
      </c>
      <c r="W77" s="10">
        <f>V77*8/$S$61</f>
        <v>0.36363636363636365</v>
      </c>
      <c r="X77" s="12">
        <v>25.63</v>
      </c>
      <c r="Y77" s="12">
        <f>W77*X77</f>
        <v>9.32</v>
      </c>
    </row>
    <row r="78" spans="16:25">
      <c r="Q78" t="s">
        <v>690</v>
      </c>
      <c r="U78" s="8" t="s">
        <v>337</v>
      </c>
      <c r="V78" s="9">
        <v>1</v>
      </c>
      <c r="W78" s="10">
        <f>V78*8/$S$61</f>
        <v>0.36363636363636365</v>
      </c>
      <c r="X78" s="50">
        <v>20</v>
      </c>
      <c r="Y78" s="12">
        <f>W78*X78</f>
        <v>7.2727272727272734</v>
      </c>
    </row>
    <row r="79" spans="16:25">
      <c r="Q79" t="s">
        <v>675</v>
      </c>
      <c r="U79" s="8" t="s">
        <v>337</v>
      </c>
      <c r="V79" s="9">
        <v>0.5</v>
      </c>
      <c r="W79" s="10">
        <f>V79*8/$S$61</f>
        <v>0.18181818181818182</v>
      </c>
      <c r="X79">
        <v>7.07</v>
      </c>
      <c r="Y79" s="12">
        <f>W79*X79</f>
        <v>1.2854545454545456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20.165163636363637</v>
      </c>
    </row>
    <row r="82" spans="16:25">
      <c r="P82" s="31" t="s">
        <v>277</v>
      </c>
      <c r="Q82" s="31"/>
      <c r="R82" s="31" t="s">
        <v>544</v>
      </c>
      <c r="S82" s="31"/>
    </row>
    <row r="83" spans="16:25">
      <c r="P83" s="31" t="s">
        <v>278</v>
      </c>
      <c r="Q83" s="31" t="s">
        <v>279</v>
      </c>
      <c r="R83" s="32" t="s">
        <v>280</v>
      </c>
      <c r="S83" s="33">
        <v>35</v>
      </c>
      <c r="T83" s="32" t="s">
        <v>281</v>
      </c>
      <c r="U83" s="33">
        <f>S83</f>
        <v>35</v>
      </c>
      <c r="V83" s="31" t="s">
        <v>282</v>
      </c>
      <c r="X83" s="32" t="s">
        <v>133</v>
      </c>
      <c r="Y83" s="34">
        <f>Y88+Y93+Y96</f>
        <v>50.790514285714288</v>
      </c>
    </row>
    <row r="84" spans="16:25">
      <c r="P84" s="31" t="s">
        <v>283</v>
      </c>
      <c r="Q84" s="31" t="s">
        <v>284</v>
      </c>
      <c r="U84" s="32" t="s">
        <v>122</v>
      </c>
      <c r="V84" s="32" t="s">
        <v>285</v>
      </c>
      <c r="W84" s="32" t="s">
        <v>286</v>
      </c>
      <c r="X84" s="32" t="s">
        <v>287</v>
      </c>
      <c r="Y84" s="32" t="s">
        <v>288</v>
      </c>
    </row>
    <row r="85" spans="16:25">
      <c r="Q85" s="35" t="s">
        <v>289</v>
      </c>
    </row>
    <row r="86" spans="16:25">
      <c r="Q86" t="s">
        <v>290</v>
      </c>
      <c r="U86" s="8" t="s">
        <v>291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293</v>
      </c>
      <c r="U87" s="8" t="s">
        <v>291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653</v>
      </c>
      <c r="U89" s="8"/>
      <c r="V89" s="9"/>
      <c r="W89" s="10"/>
      <c r="Y89" s="12"/>
    </row>
    <row r="90" spans="16:25">
      <c r="Q90" t="s">
        <v>688</v>
      </c>
      <c r="U90" s="8" t="s">
        <v>296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301</v>
      </c>
      <c r="U91" s="8" t="s">
        <v>296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669</v>
      </c>
      <c r="U92" s="8" t="s">
        <v>305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309</v>
      </c>
    </row>
    <row r="95" spans="16:25">
      <c r="Q95" t="s">
        <v>310</v>
      </c>
      <c r="U95" s="8" t="s">
        <v>311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277</v>
      </c>
      <c r="Q98" s="31"/>
      <c r="R98" s="31" t="s">
        <v>691</v>
      </c>
      <c r="S98" s="31"/>
    </row>
    <row r="99" spans="16:34">
      <c r="P99" s="31" t="s">
        <v>278</v>
      </c>
      <c r="Q99" s="31" t="s">
        <v>678</v>
      </c>
      <c r="R99" s="32" t="s">
        <v>280</v>
      </c>
      <c r="S99" s="33">
        <v>250</v>
      </c>
      <c r="T99" s="32" t="s">
        <v>281</v>
      </c>
      <c r="U99" s="33">
        <f>S99</f>
        <v>250</v>
      </c>
      <c r="V99" s="31" t="s">
        <v>282</v>
      </c>
      <c r="X99" s="32" t="s">
        <v>296</v>
      </c>
      <c r="Y99" s="34">
        <f>Y104+Y108+Y112</f>
        <v>5.5639628445000007</v>
      </c>
    </row>
    <row r="100" spans="16:34">
      <c r="P100" s="31" t="s">
        <v>283</v>
      </c>
      <c r="Q100" s="31" t="s">
        <v>284</v>
      </c>
      <c r="U100" s="32" t="s">
        <v>122</v>
      </c>
      <c r="V100" s="32" t="s">
        <v>285</v>
      </c>
      <c r="W100" s="32" t="s">
        <v>286</v>
      </c>
      <c r="X100" s="32" t="s">
        <v>287</v>
      </c>
      <c r="Y100" s="32" t="s">
        <v>288</v>
      </c>
    </row>
    <row r="101" spans="16:34">
      <c r="Q101" s="35" t="s">
        <v>289</v>
      </c>
      <c r="AE101" s="8"/>
      <c r="AG101" s="10"/>
      <c r="AH101" s="12"/>
    </row>
    <row r="102" spans="16:34">
      <c r="Q102" t="s">
        <v>290</v>
      </c>
      <c r="U102" s="8" t="s">
        <v>291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679</v>
      </c>
      <c r="U103" s="8" t="s">
        <v>291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294</v>
      </c>
      <c r="U105" s="8"/>
      <c r="V105" s="9"/>
      <c r="W105" s="18"/>
      <c r="AE105" s="8"/>
      <c r="AG105" s="10"/>
    </row>
    <row r="106" spans="16:34">
      <c r="Q106" t="s">
        <v>295</v>
      </c>
      <c r="U106" s="8" t="s">
        <v>296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680</v>
      </c>
      <c r="U107" s="8" t="s">
        <v>296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317</v>
      </c>
      <c r="U109" s="8"/>
      <c r="V109" s="9"/>
    </row>
    <row r="110" spans="16:34">
      <c r="Q110" t="s">
        <v>310</v>
      </c>
      <c r="U110" s="8" t="s">
        <v>311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681</v>
      </c>
      <c r="U111" s="8" t="s">
        <v>291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277</v>
      </c>
      <c r="Q114" s="2"/>
      <c r="R114" s="3" t="s">
        <v>694</v>
      </c>
      <c r="S114" s="2"/>
    </row>
    <row r="115" spans="16:25">
      <c r="P115" s="2" t="s">
        <v>278</v>
      </c>
      <c r="Q115" s="2" t="s">
        <v>416</v>
      </c>
      <c r="R115" s="4" t="s">
        <v>280</v>
      </c>
      <c r="S115" s="5">
        <v>25</v>
      </c>
      <c r="T115" s="4" t="s">
        <v>281</v>
      </c>
      <c r="U115" s="5">
        <f>S115</f>
        <v>25</v>
      </c>
      <c r="V115" s="2" t="s">
        <v>282</v>
      </c>
      <c r="X115" s="4" t="s">
        <v>203</v>
      </c>
      <c r="Y115" s="6">
        <f>Y123+Y132+Y137</f>
        <v>396.88173599999999</v>
      </c>
    </row>
    <row r="116" spans="16:25">
      <c r="P116" s="2" t="s">
        <v>283</v>
      </c>
      <c r="Q116" s="2" t="s">
        <v>284</v>
      </c>
      <c r="U116" s="4" t="s">
        <v>122</v>
      </c>
      <c r="V116" s="4" t="s">
        <v>285</v>
      </c>
      <c r="W116" s="4" t="s">
        <v>286</v>
      </c>
      <c r="X116" s="4" t="s">
        <v>287</v>
      </c>
      <c r="Y116" s="4" t="s">
        <v>288</v>
      </c>
    </row>
    <row r="117" spans="16:25">
      <c r="Q117" s="7" t="s">
        <v>289</v>
      </c>
    </row>
    <row r="118" spans="16:25">
      <c r="Q118" t="s">
        <v>650</v>
      </c>
      <c r="U118" s="8" t="s">
        <v>291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290</v>
      </c>
      <c r="U119" s="8" t="s">
        <v>291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679</v>
      </c>
      <c r="U120" s="8" t="s">
        <v>291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293</v>
      </c>
      <c r="U121" s="8" t="s">
        <v>291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663</v>
      </c>
      <c r="U122" s="8" t="s">
        <v>291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653</v>
      </c>
    </row>
    <row r="125" spans="16:25">
      <c r="Q125" t="s">
        <v>695</v>
      </c>
      <c r="U125" s="8" t="s">
        <v>439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696</v>
      </c>
      <c r="U126" s="8" t="s">
        <v>697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698</v>
      </c>
      <c r="U127" s="8" t="s">
        <v>439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699</v>
      </c>
      <c r="U128" s="8" t="s">
        <v>203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700</v>
      </c>
      <c r="U129" s="8" t="s">
        <v>203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664</v>
      </c>
      <c r="U130" s="8" t="s">
        <v>203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701</v>
      </c>
      <c r="U131" s="8" t="s">
        <v>307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309</v>
      </c>
    </row>
    <row r="134" spans="16:33">
      <c r="Q134" t="s">
        <v>702</v>
      </c>
      <c r="U134" s="8" t="s">
        <v>337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703</v>
      </c>
      <c r="U135" s="8" t="s">
        <v>337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310</v>
      </c>
      <c r="U136" s="8" t="s">
        <v>311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277</v>
      </c>
      <c r="Q139" s="2"/>
      <c r="R139" s="2" t="s">
        <v>704</v>
      </c>
      <c r="S139" s="2"/>
      <c r="AE139" s="8"/>
      <c r="AF139" s="9"/>
      <c r="AG139" s="18"/>
    </row>
    <row r="140" spans="16:33">
      <c r="P140" s="2" t="s">
        <v>278</v>
      </c>
      <c r="Q140" s="2" t="s">
        <v>279</v>
      </c>
      <c r="R140" s="4" t="s">
        <v>280</v>
      </c>
      <c r="S140" s="5">
        <v>35</v>
      </c>
      <c r="T140" s="4" t="s">
        <v>281</v>
      </c>
      <c r="U140" s="5">
        <f>S140</f>
        <v>35</v>
      </c>
      <c r="V140" s="2" t="s">
        <v>282</v>
      </c>
      <c r="X140" s="4" t="s">
        <v>133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283</v>
      </c>
      <c r="Q141" s="2" t="s">
        <v>284</v>
      </c>
      <c r="U141" s="4" t="s">
        <v>122</v>
      </c>
      <c r="V141" s="4" t="s">
        <v>285</v>
      </c>
      <c r="W141" s="4" t="s">
        <v>286</v>
      </c>
      <c r="X141" s="4" t="s">
        <v>287</v>
      </c>
      <c r="Y141" s="4" t="s">
        <v>288</v>
      </c>
      <c r="AB141" s="12"/>
    </row>
    <row r="142" spans="16:33">
      <c r="Q142" s="7" t="s">
        <v>289</v>
      </c>
    </row>
    <row r="143" spans="16:33">
      <c r="Q143" t="s">
        <v>290</v>
      </c>
      <c r="U143" s="8" t="s">
        <v>291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679</v>
      </c>
      <c r="U144" s="8" t="s">
        <v>291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293</v>
      </c>
      <c r="U145" s="8" t="s">
        <v>291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653</v>
      </c>
    </row>
    <row r="148" spans="16:25">
      <c r="Q148" t="s">
        <v>688</v>
      </c>
      <c r="U148" s="8" t="s">
        <v>296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301</v>
      </c>
      <c r="U149" s="8" t="s">
        <v>296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669</v>
      </c>
      <c r="U150" s="8" t="s">
        <v>296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309</v>
      </c>
    </row>
    <row r="153" spans="16:25">
      <c r="Q153" t="s">
        <v>310</v>
      </c>
      <c r="U153" s="8" t="s">
        <v>311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277</v>
      </c>
      <c r="Q156" s="37"/>
      <c r="R156" s="31" t="s">
        <v>562</v>
      </c>
    </row>
    <row r="157" spans="16:25">
      <c r="P157" s="37" t="s">
        <v>278</v>
      </c>
      <c r="Q157" s="37" t="s">
        <v>705</v>
      </c>
      <c r="R157" s="38" t="s">
        <v>280</v>
      </c>
      <c r="S157" s="39">
        <v>250</v>
      </c>
      <c r="T157" s="38" t="s">
        <v>281</v>
      </c>
      <c r="U157" s="39">
        <f>S157</f>
        <v>250</v>
      </c>
      <c r="V157" s="37" t="s">
        <v>282</v>
      </c>
      <c r="X157" s="38" t="s">
        <v>706</v>
      </c>
      <c r="Y157" s="40">
        <f>Y163+Y167+Y170</f>
        <v>5.4833634845000008</v>
      </c>
    </row>
    <row r="158" spans="16:25">
      <c r="P158" s="37" t="s">
        <v>283</v>
      </c>
      <c r="Q158" s="37" t="s">
        <v>284</v>
      </c>
      <c r="U158" s="38" t="s">
        <v>122</v>
      </c>
      <c r="V158" s="38" t="s">
        <v>285</v>
      </c>
      <c r="W158" s="38" t="s">
        <v>286</v>
      </c>
      <c r="X158" s="38" t="s">
        <v>287</v>
      </c>
      <c r="Y158" s="38" t="s">
        <v>288</v>
      </c>
    </row>
    <row r="159" spans="16:25">
      <c r="Q159" s="41" t="s">
        <v>289</v>
      </c>
      <c r="V159" s="9"/>
    </row>
    <row r="160" spans="16:25">
      <c r="Q160" t="s">
        <v>290</v>
      </c>
      <c r="U160" s="8" t="s">
        <v>291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679</v>
      </c>
      <c r="U161" s="8" t="s">
        <v>291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650</v>
      </c>
      <c r="U162" s="8" t="s">
        <v>291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294</v>
      </c>
      <c r="U164" s="8"/>
      <c r="V164" s="9"/>
      <c r="W164" s="18"/>
    </row>
    <row r="165" spans="16:25">
      <c r="Q165" t="s">
        <v>295</v>
      </c>
      <c r="U165" s="8" t="s">
        <v>296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680</v>
      </c>
      <c r="U166" s="8" t="s">
        <v>296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317</v>
      </c>
      <c r="U168" s="8"/>
      <c r="V168" s="9"/>
    </row>
    <row r="169" spans="16:25">
      <c r="Q169" t="s">
        <v>310</v>
      </c>
      <c r="U169" s="8" t="s">
        <v>311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277</v>
      </c>
      <c r="Q172" s="37"/>
      <c r="R172" s="31" t="s">
        <v>564</v>
      </c>
    </row>
    <row r="173" spans="16:25">
      <c r="P173" s="37" t="s">
        <v>278</v>
      </c>
      <c r="Q173" s="37" t="s">
        <v>707</v>
      </c>
      <c r="R173" s="38" t="s">
        <v>280</v>
      </c>
      <c r="S173" s="39">
        <v>1600</v>
      </c>
      <c r="T173" s="38" t="s">
        <v>281</v>
      </c>
      <c r="U173" s="39">
        <f>S173</f>
        <v>1600</v>
      </c>
      <c r="V173" s="37" t="s">
        <v>282</v>
      </c>
      <c r="X173" s="38" t="s">
        <v>149</v>
      </c>
      <c r="Y173" s="40">
        <f>Y179+Y183+Y186</f>
        <v>2.715605</v>
      </c>
    </row>
    <row r="174" spans="16:25">
      <c r="P174" s="37" t="s">
        <v>283</v>
      </c>
      <c r="Q174" s="37" t="s">
        <v>284</v>
      </c>
      <c r="U174" s="38" t="s">
        <v>122</v>
      </c>
      <c r="V174" s="38" t="s">
        <v>285</v>
      </c>
      <c r="W174" s="38" t="s">
        <v>286</v>
      </c>
      <c r="X174" s="38" t="s">
        <v>287</v>
      </c>
      <c r="Y174" s="38" t="s">
        <v>288</v>
      </c>
    </row>
    <row r="175" spans="16:25">
      <c r="Q175" s="41" t="s">
        <v>289</v>
      </c>
      <c r="V175" s="9"/>
    </row>
    <row r="176" spans="16:25">
      <c r="Q176" t="s">
        <v>290</v>
      </c>
      <c r="U176" s="8" t="s">
        <v>291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679</v>
      </c>
      <c r="U177" s="8" t="s">
        <v>291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293</v>
      </c>
      <c r="U178" s="8" t="s">
        <v>291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294</v>
      </c>
      <c r="U180" s="8"/>
      <c r="V180" s="9"/>
      <c r="W180" s="18"/>
    </row>
    <row r="181" spans="16:25">
      <c r="Q181" t="s">
        <v>708</v>
      </c>
      <c r="U181" s="8" t="s">
        <v>149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317</v>
      </c>
      <c r="U184" s="8"/>
      <c r="V184" s="9"/>
    </row>
    <row r="185" spans="16:25">
      <c r="Q185" t="s">
        <v>310</v>
      </c>
      <c r="U185" s="8" t="s">
        <v>311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277</v>
      </c>
      <c r="Q188" s="31"/>
      <c r="R188" s="31" t="s">
        <v>577</v>
      </c>
      <c r="S188" s="31"/>
    </row>
    <row r="189" spans="16:25">
      <c r="P189" s="31" t="s">
        <v>278</v>
      </c>
      <c r="Q189" s="31" t="s">
        <v>416</v>
      </c>
      <c r="R189" s="32" t="s">
        <v>280</v>
      </c>
      <c r="S189" s="33">
        <v>15</v>
      </c>
      <c r="T189" s="32" t="s">
        <v>281</v>
      </c>
      <c r="U189" s="33">
        <f>S189</f>
        <v>15</v>
      </c>
      <c r="V189" s="31" t="s">
        <v>282</v>
      </c>
      <c r="X189" s="32" t="s">
        <v>203</v>
      </c>
      <c r="Y189" s="34">
        <f>Y195+Y202+Y207</f>
        <v>402.68478666666664</v>
      </c>
    </row>
    <row r="190" spans="16:25">
      <c r="P190" s="31" t="s">
        <v>283</v>
      </c>
      <c r="Q190" s="31" t="s">
        <v>284</v>
      </c>
      <c r="U190" s="32" t="s">
        <v>122</v>
      </c>
      <c r="V190" s="32" t="s">
        <v>285</v>
      </c>
      <c r="W190" s="32" t="s">
        <v>286</v>
      </c>
      <c r="X190" s="32" t="s">
        <v>287</v>
      </c>
      <c r="Y190" s="32" t="s">
        <v>288</v>
      </c>
    </row>
    <row r="191" spans="16:25">
      <c r="Q191" s="35" t="s">
        <v>289</v>
      </c>
    </row>
    <row r="192" spans="16:25">
      <c r="Q192" t="s">
        <v>290</v>
      </c>
      <c r="U192" s="8" t="s">
        <v>291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292</v>
      </c>
      <c r="U193" s="8" t="s">
        <v>291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293</v>
      </c>
      <c r="U194" s="8" t="s">
        <v>291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653</v>
      </c>
      <c r="U196" s="8"/>
      <c r="V196" s="9"/>
      <c r="W196" s="10"/>
      <c r="Y196" s="12"/>
    </row>
    <row r="197" spans="16:25">
      <c r="Q197" t="s">
        <v>672</v>
      </c>
      <c r="U197" s="8" t="s">
        <v>203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673</v>
      </c>
      <c r="U198" s="8" t="s">
        <v>203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306</v>
      </c>
      <c r="U199" s="8" t="s">
        <v>307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655</v>
      </c>
      <c r="U200" s="8" t="s">
        <v>203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665</v>
      </c>
      <c r="U201" s="8" t="s">
        <v>439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309</v>
      </c>
    </row>
    <row r="204" spans="16:25">
      <c r="Q204" t="s">
        <v>310</v>
      </c>
      <c r="U204" s="8" t="s">
        <v>311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667</v>
      </c>
      <c r="U205" s="8" t="s">
        <v>337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675</v>
      </c>
      <c r="U206" s="8" t="s">
        <v>337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277</v>
      </c>
      <c r="Q209" s="31"/>
      <c r="R209" s="31" t="s">
        <v>579</v>
      </c>
      <c r="S209" s="31"/>
    </row>
    <row r="210" spans="16:25">
      <c r="P210" s="31" t="s">
        <v>278</v>
      </c>
      <c r="Q210" s="31" t="s">
        <v>279</v>
      </c>
      <c r="R210" s="32" t="s">
        <v>280</v>
      </c>
      <c r="S210" s="33">
        <v>35</v>
      </c>
      <c r="T210" s="32" t="s">
        <v>281</v>
      </c>
      <c r="U210" s="33">
        <f>S210</f>
        <v>35</v>
      </c>
      <c r="V210" s="31" t="s">
        <v>282</v>
      </c>
      <c r="X210" s="32" t="s">
        <v>133</v>
      </c>
      <c r="Y210" s="34">
        <f>Y216+Y221+Y224</f>
        <v>47.59157428571428</v>
      </c>
    </row>
    <row r="211" spans="16:25">
      <c r="P211" s="31" t="s">
        <v>283</v>
      </c>
      <c r="Q211" s="31" t="s">
        <v>284</v>
      </c>
      <c r="U211" s="32" t="s">
        <v>122</v>
      </c>
      <c r="V211" s="32" t="s">
        <v>285</v>
      </c>
      <c r="W211" s="32" t="s">
        <v>286</v>
      </c>
      <c r="X211" s="32" t="s">
        <v>287</v>
      </c>
      <c r="Y211" s="32" t="s">
        <v>288</v>
      </c>
    </row>
    <row r="212" spans="16:25">
      <c r="Q212" s="35" t="s">
        <v>289</v>
      </c>
    </row>
    <row r="213" spans="16:25">
      <c r="Q213" t="s">
        <v>290</v>
      </c>
      <c r="U213" s="8" t="s">
        <v>291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292</v>
      </c>
      <c r="U214" s="8" t="s">
        <v>291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293</v>
      </c>
      <c r="U215" s="8" t="s">
        <v>291</v>
      </c>
      <c r="V215" s="9">
        <v>1</v>
      </c>
      <c r="W215" s="10">
        <f t="shared" ref="W214:W215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653</v>
      </c>
      <c r="U217" s="8"/>
      <c r="V217" s="9"/>
      <c r="W217" s="10"/>
      <c r="Y217" s="12"/>
    </row>
    <row r="218" spans="16:25">
      <c r="Q218" t="s">
        <v>688</v>
      </c>
      <c r="U218" s="8" t="s">
        <v>296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301</v>
      </c>
      <c r="U219" s="8" t="s">
        <v>296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669</v>
      </c>
      <c r="U220" s="8" t="s">
        <v>305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309</v>
      </c>
    </row>
    <row r="223" spans="16:25">
      <c r="Q223" t="s">
        <v>310</v>
      </c>
      <c r="U223" s="8" t="s">
        <v>311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277</v>
      </c>
      <c r="Q226" s="31"/>
      <c r="R226" s="31" t="s">
        <v>581</v>
      </c>
      <c r="S226" s="31"/>
    </row>
    <row r="227" spans="16:25">
      <c r="P227" s="31" t="s">
        <v>278</v>
      </c>
      <c r="Q227" s="31" t="s">
        <v>279</v>
      </c>
      <c r="R227" s="32" t="s">
        <v>280</v>
      </c>
      <c r="S227" s="33">
        <v>250</v>
      </c>
      <c r="T227" s="32" t="s">
        <v>281</v>
      </c>
      <c r="U227" s="33">
        <f>S227</f>
        <v>250</v>
      </c>
      <c r="V227" s="31" t="s">
        <v>282</v>
      </c>
      <c r="X227" s="32" t="s">
        <v>133</v>
      </c>
      <c r="Y227" s="34">
        <f>Y232+Y236+Y240</f>
        <v>5.5639628445000007</v>
      </c>
    </row>
    <row r="228" spans="16:25">
      <c r="P228" s="31" t="s">
        <v>283</v>
      </c>
      <c r="Q228" s="31" t="s">
        <v>284</v>
      </c>
      <c r="U228" s="32" t="s">
        <v>122</v>
      </c>
      <c r="V228" s="32" t="s">
        <v>285</v>
      </c>
      <c r="W228" s="32" t="s">
        <v>286</v>
      </c>
      <c r="X228" s="32" t="s">
        <v>287</v>
      </c>
      <c r="Y228" s="32" t="s">
        <v>288</v>
      </c>
    </row>
    <row r="229" spans="16:25">
      <c r="Q229" s="35" t="s">
        <v>289</v>
      </c>
    </row>
    <row r="230" spans="16:25">
      <c r="Q230" t="s">
        <v>290</v>
      </c>
      <c r="U230" s="8" t="s">
        <v>291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679</v>
      </c>
      <c r="U231" s="8" t="s">
        <v>291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294</v>
      </c>
      <c r="U233" s="8"/>
      <c r="V233" s="9"/>
      <c r="W233" s="18"/>
    </row>
    <row r="234" spans="16:25">
      <c r="Q234" t="s">
        <v>295</v>
      </c>
      <c r="U234" s="8" t="s">
        <v>296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680</v>
      </c>
      <c r="U235" s="8" t="s">
        <v>296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317</v>
      </c>
      <c r="U237" s="8"/>
      <c r="V237" s="9"/>
    </row>
    <row r="238" spans="16:25">
      <c r="Q238" t="s">
        <v>310</v>
      </c>
      <c r="U238" s="8" t="s">
        <v>311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681</v>
      </c>
      <c r="U239" s="8" t="s">
        <v>291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EB1A9-1410-4C57-BBE6-4D9FA0516614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88</v>
      </c>
      <c r="M2" s="25">
        <f>IF('Datos iniciales '!D11="SI",'Datos iniciales '!B11,0)</f>
        <v>1</v>
      </c>
    </row>
    <row r="3" spans="1:25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51.449165439091999</v>
      </c>
      <c r="L4" s="25" t="s">
        <v>1368</v>
      </c>
      <c r="M4" s="25">
        <f>J4/M2</f>
        <v>51.449165439091999</v>
      </c>
      <c r="P4" s="31" t="s">
        <v>277</v>
      </c>
      <c r="Q4" s="31"/>
      <c r="R4" s="31" t="s">
        <v>689</v>
      </c>
      <c r="S4" s="31"/>
    </row>
    <row r="5" spans="1:25">
      <c r="A5" s="1" t="s">
        <v>532</v>
      </c>
      <c r="E5" s="10"/>
      <c r="F5" s="26"/>
      <c r="G5" s="21"/>
      <c r="P5" s="31" t="s">
        <v>278</v>
      </c>
      <c r="Q5" s="31" t="s">
        <v>416</v>
      </c>
      <c r="R5" s="32" t="s">
        <v>280</v>
      </c>
      <c r="S5" s="33">
        <v>15</v>
      </c>
      <c r="T5" s="32" t="s">
        <v>281</v>
      </c>
      <c r="U5" s="33">
        <f>S5</f>
        <v>15</v>
      </c>
      <c r="V5" s="31" t="s">
        <v>282</v>
      </c>
      <c r="X5" s="32" t="s">
        <v>203</v>
      </c>
      <c r="Y5" s="34">
        <f>Y11+Y18+Y23</f>
        <v>359.08362666666665</v>
      </c>
    </row>
    <row r="6" spans="1:25">
      <c r="A6" t="s">
        <v>534</v>
      </c>
      <c r="E6">
        <f>0.160129573170732*0.15</f>
        <v>2.40194359756098E-2</v>
      </c>
      <c r="F6" s="26" t="s">
        <v>203</v>
      </c>
      <c r="G6" s="21">
        <f>E6*$M$2</f>
        <v>2.40194359756098E-2</v>
      </c>
      <c r="H6" s="43">
        <f>Y5</f>
        <v>359.08362666666665</v>
      </c>
      <c r="I6">
        <f>G6*H6</f>
        <v>8.6249861806097705</v>
      </c>
      <c r="P6" s="31" t="s">
        <v>283</v>
      </c>
      <c r="Q6" s="31" t="s">
        <v>284</v>
      </c>
      <c r="U6" s="32" t="s">
        <v>122</v>
      </c>
      <c r="V6" s="32" t="s">
        <v>285</v>
      </c>
      <c r="W6" s="32" t="s">
        <v>286</v>
      </c>
      <c r="X6" s="32" t="s">
        <v>287</v>
      </c>
      <c r="Y6" s="32" t="s">
        <v>288</v>
      </c>
    </row>
    <row r="7" spans="1:25">
      <c r="A7" t="s">
        <v>536</v>
      </c>
      <c r="E7">
        <f>1.16524390243902*0.35</f>
        <v>0.40783536585365698</v>
      </c>
      <c r="F7" s="26" t="s">
        <v>133</v>
      </c>
      <c r="G7" s="21">
        <f t="shared" ref="G7:G21" si="0">E7*$M$2</f>
        <v>0.40783536585365698</v>
      </c>
      <c r="H7" s="267">
        <f>Y26</f>
        <v>47.011574285714282</v>
      </c>
      <c r="I7">
        <f>G7*H7</f>
        <v>19.172982598170655</v>
      </c>
      <c r="Q7" s="35" t="s">
        <v>289</v>
      </c>
    </row>
    <row r="8" spans="1:25">
      <c r="A8" t="s">
        <v>538</v>
      </c>
      <c r="F8" s="26" t="s">
        <v>296</v>
      </c>
      <c r="G8" s="203">
        <f>G6*80</f>
        <v>1.9215548780487839</v>
      </c>
      <c r="H8" s="43">
        <f>Y43</f>
        <v>5.5639628445000007</v>
      </c>
      <c r="I8">
        <f t="shared" ref="I7:I8" si="1">G8*H8</f>
        <v>10.691459945131163</v>
      </c>
      <c r="J8">
        <f>G8/G6</f>
        <v>80</v>
      </c>
      <c r="Q8" t="s">
        <v>290</v>
      </c>
      <c r="U8" s="8" t="s">
        <v>291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548</v>
      </c>
      <c r="G9" s="21"/>
      <c r="Q9" t="s">
        <v>292</v>
      </c>
      <c r="U9" s="8" t="s">
        <v>291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550</v>
      </c>
      <c r="E10">
        <f>0.168490853658537*0.05</f>
        <v>8.4245426829268506E-3</v>
      </c>
      <c r="F10" s="26" t="s">
        <v>203</v>
      </c>
      <c r="G10" s="21">
        <f>E10*$M$2</f>
        <v>8.4245426829268506E-3</v>
      </c>
      <c r="H10" s="27">
        <f>Y61</f>
        <v>349.618832</v>
      </c>
      <c r="I10">
        <f>G10*H10</f>
        <v>2.9453787729390317</v>
      </c>
      <c r="Q10" t="s">
        <v>293</v>
      </c>
      <c r="U10" s="8" t="s">
        <v>291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552</v>
      </c>
      <c r="E11">
        <f>0.822259908536585*0.15</f>
        <v>0.12333898628048776</v>
      </c>
      <c r="F11" s="26" t="s">
        <v>133</v>
      </c>
      <c r="G11" s="21">
        <f t="shared" si="0"/>
        <v>0.12333898628048776</v>
      </c>
      <c r="H11" s="268">
        <f>Y83</f>
        <v>50.790514285714288</v>
      </c>
      <c r="I11">
        <f>G11*H11</f>
        <v>6.2644505446646317</v>
      </c>
      <c r="U11" s="8"/>
      <c r="V11" s="9"/>
      <c r="W11" s="10"/>
      <c r="Y11" s="34">
        <f>SUM(Y8:Y10)</f>
        <v>86.176000000000002</v>
      </c>
    </row>
    <row r="12" spans="1:25">
      <c r="A12" t="s">
        <v>554</v>
      </c>
      <c r="F12" s="26" t="s">
        <v>296</v>
      </c>
      <c r="G12" s="203">
        <f>G10*80</f>
        <v>0.67396341463414799</v>
      </c>
      <c r="H12" s="12">
        <f>Y99</f>
        <v>5.5639628445000007</v>
      </c>
      <c r="I12">
        <f>G12*H12</f>
        <v>3.7499073975767474</v>
      </c>
      <c r="J12">
        <f>G12/G10</f>
        <v>80</v>
      </c>
      <c r="Q12" s="35" t="s">
        <v>653</v>
      </c>
      <c r="U12" s="8"/>
      <c r="V12" s="9"/>
      <c r="W12" s="10"/>
      <c r="Y12" s="12"/>
    </row>
    <row r="13" spans="1:25">
      <c r="A13" s="1"/>
      <c r="G13" s="21"/>
      <c r="Q13" t="s">
        <v>672</v>
      </c>
      <c r="U13" s="8" t="s">
        <v>203</v>
      </c>
      <c r="W13" s="10">
        <v>0.51</v>
      </c>
      <c r="X13" s="12">
        <v>55.08</v>
      </c>
      <c r="Y13" s="12">
        <f>W13*X13</f>
        <v>28.090799999999998</v>
      </c>
    </row>
    <row r="14" spans="1:25">
      <c r="A14" s="21"/>
      <c r="G14" s="21"/>
      <c r="H14" s="12"/>
      <c r="Q14" t="s">
        <v>673</v>
      </c>
      <c r="U14" s="8" t="s">
        <v>203</v>
      </c>
      <c r="W14" s="10">
        <v>0.49</v>
      </c>
      <c r="X14" s="12">
        <v>47</v>
      </c>
      <c r="Y14" s="12">
        <f>W14*X14</f>
        <v>23.03</v>
      </c>
    </row>
    <row r="15" spans="1:25">
      <c r="A15" s="21"/>
      <c r="Q15" t="s">
        <v>306</v>
      </c>
      <c r="U15" s="8" t="s">
        <v>307</v>
      </c>
      <c r="W15" s="10">
        <v>8.02</v>
      </c>
      <c r="X15" s="12">
        <v>24.52</v>
      </c>
      <c r="Y15" s="12">
        <f>W15*X15</f>
        <v>196.65039999999999</v>
      </c>
    </row>
    <row r="16" spans="1:25">
      <c r="A16" s="21"/>
      <c r="Q16" t="s">
        <v>655</v>
      </c>
      <c r="U16" s="8" t="s">
        <v>203</v>
      </c>
      <c r="W16" s="10">
        <v>0.23200000000000001</v>
      </c>
      <c r="X16">
        <v>6.14</v>
      </c>
      <c r="Y16" s="12">
        <f>W16*X16</f>
        <v>1.42448</v>
      </c>
    </row>
    <row r="17" spans="1:25">
      <c r="A17" s="21"/>
      <c r="Q17" t="s">
        <v>665</v>
      </c>
      <c r="U17" s="8" t="s">
        <v>439</v>
      </c>
      <c r="W17" s="10">
        <v>0.4</v>
      </c>
      <c r="X17">
        <v>13.93</v>
      </c>
      <c r="Y17" s="12">
        <f>W17*X17</f>
        <v>5.5720000000000001</v>
      </c>
    </row>
    <row r="18" spans="1:25">
      <c r="A18" s="202"/>
      <c r="B18" s="200"/>
      <c r="C18" s="200"/>
      <c r="U18" s="8"/>
      <c r="W18" s="10"/>
      <c r="X18" s="12"/>
      <c r="Y18" s="34">
        <f>SUM(Y13:Y17)</f>
        <v>254.76767999999998</v>
      </c>
    </row>
    <row r="19" spans="1:25">
      <c r="A19" s="200"/>
      <c r="B19" s="200"/>
      <c r="C19" s="200"/>
      <c r="E19" s="200"/>
      <c r="Q19" s="35" t="s">
        <v>309</v>
      </c>
    </row>
    <row r="20" spans="1:25">
      <c r="A20" s="200"/>
      <c r="B20" s="200"/>
      <c r="C20" s="200"/>
      <c r="E20" s="200"/>
      <c r="Q20" t="s">
        <v>310</v>
      </c>
      <c r="U20" s="8" t="s">
        <v>311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200"/>
      <c r="B21" s="200"/>
      <c r="C21" s="200"/>
      <c r="E21" s="200"/>
      <c r="Q21" t="s">
        <v>667</v>
      </c>
      <c r="U21" s="8" t="s">
        <v>337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Q22" t="s">
        <v>675</v>
      </c>
      <c r="U22" s="8" t="s">
        <v>337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277</v>
      </c>
      <c r="Q25" s="31"/>
      <c r="R25" s="31" t="s">
        <v>536</v>
      </c>
      <c r="S25" s="31"/>
    </row>
    <row r="26" spans="1:25">
      <c r="P26" s="31" t="s">
        <v>278</v>
      </c>
      <c r="Q26" s="31" t="s">
        <v>279</v>
      </c>
      <c r="R26" s="32" t="s">
        <v>280</v>
      </c>
      <c r="S26" s="33">
        <v>35</v>
      </c>
      <c r="T26" s="32" t="s">
        <v>281</v>
      </c>
      <c r="U26" s="33">
        <f>S26</f>
        <v>35</v>
      </c>
      <c r="V26" s="31" t="s">
        <v>282</v>
      </c>
      <c r="X26" s="32" t="s">
        <v>133</v>
      </c>
      <c r="Y26" s="34">
        <f>Y32+Y37+Y40</f>
        <v>47.011574285714282</v>
      </c>
    </row>
    <row r="27" spans="1:25">
      <c r="P27" s="31" t="s">
        <v>283</v>
      </c>
      <c r="Q27" s="31" t="s">
        <v>284</v>
      </c>
      <c r="U27" s="32" t="s">
        <v>122</v>
      </c>
      <c r="V27" s="32" t="s">
        <v>285</v>
      </c>
      <c r="W27" s="32" t="s">
        <v>286</v>
      </c>
      <c r="X27" s="32" t="s">
        <v>287</v>
      </c>
      <c r="Y27" s="32" t="s">
        <v>288</v>
      </c>
    </row>
    <row r="28" spans="1:25">
      <c r="Q28" s="35" t="s">
        <v>289</v>
      </c>
    </row>
    <row r="29" spans="1:25">
      <c r="Q29" t="s">
        <v>290</v>
      </c>
      <c r="U29" s="8" t="s">
        <v>291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292</v>
      </c>
      <c r="U30" s="8" t="s">
        <v>291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293</v>
      </c>
      <c r="U31" s="8" t="s">
        <v>291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653</v>
      </c>
      <c r="U33" s="8"/>
      <c r="V33" s="9"/>
      <c r="W33" s="10"/>
      <c r="Y33" s="12"/>
    </row>
    <row r="34" spans="5:25">
      <c r="Q34" t="s">
        <v>688</v>
      </c>
      <c r="U34" s="8" t="s">
        <v>296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301</v>
      </c>
      <c r="U35" s="8" t="s">
        <v>296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669</v>
      </c>
      <c r="U36" s="8" t="s">
        <v>305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309</v>
      </c>
    </row>
    <row r="39" spans="5:25">
      <c r="Q39" t="s">
        <v>310</v>
      </c>
      <c r="U39" s="8" t="s">
        <v>311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277</v>
      </c>
      <c r="Q42" s="31"/>
      <c r="R42" s="31" t="s">
        <v>530</v>
      </c>
      <c r="S42" s="31"/>
    </row>
    <row r="43" spans="5:25">
      <c r="P43" s="31" t="s">
        <v>278</v>
      </c>
      <c r="Q43" s="31" t="s">
        <v>279</v>
      </c>
      <c r="R43" s="32" t="s">
        <v>280</v>
      </c>
      <c r="S43" s="33">
        <v>250</v>
      </c>
      <c r="T43" s="32" t="s">
        <v>281</v>
      </c>
      <c r="U43" s="33">
        <f>S43</f>
        <v>250</v>
      </c>
      <c r="V43" s="31" t="s">
        <v>282</v>
      </c>
      <c r="X43" s="32" t="s">
        <v>133</v>
      </c>
      <c r="Y43" s="34">
        <f>Y48+Y52+Y56</f>
        <v>5.5639628445000007</v>
      </c>
    </row>
    <row r="44" spans="5:25">
      <c r="E44" s="10"/>
      <c r="P44" s="31" t="s">
        <v>283</v>
      </c>
      <c r="Q44" s="31" t="s">
        <v>284</v>
      </c>
      <c r="U44" s="32" t="s">
        <v>122</v>
      </c>
      <c r="V44" s="32" t="s">
        <v>285</v>
      </c>
      <c r="W44" s="32" t="s">
        <v>286</v>
      </c>
      <c r="X44" s="32" t="s">
        <v>287</v>
      </c>
      <c r="Y44" s="32" t="s">
        <v>288</v>
      </c>
    </row>
    <row r="45" spans="5:25">
      <c r="E45" s="10"/>
      <c r="Q45" s="35" t="s">
        <v>289</v>
      </c>
    </row>
    <row r="46" spans="5:25">
      <c r="Q46" t="s">
        <v>290</v>
      </c>
      <c r="U46" s="8" t="s">
        <v>291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679</v>
      </c>
      <c r="U47" s="8" t="s">
        <v>291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294</v>
      </c>
      <c r="U49" s="8"/>
      <c r="V49" s="9"/>
      <c r="W49" s="18"/>
    </row>
    <row r="50" spans="16:25">
      <c r="Q50" t="s">
        <v>295</v>
      </c>
      <c r="U50" s="8" t="s">
        <v>296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680</v>
      </c>
      <c r="U51" s="8" t="s">
        <v>296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317</v>
      </c>
      <c r="U53" s="8"/>
      <c r="V53" s="9"/>
    </row>
    <row r="54" spans="16:25">
      <c r="Q54" t="s">
        <v>310</v>
      </c>
      <c r="U54" s="8" t="s">
        <v>311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681</v>
      </c>
      <c r="U55" s="8" t="s">
        <v>291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277</v>
      </c>
      <c r="Q60" s="31"/>
      <c r="R60" s="31" t="s">
        <v>692</v>
      </c>
      <c r="S60" s="31"/>
    </row>
    <row r="61" spans="16:25">
      <c r="P61" s="31" t="s">
        <v>278</v>
      </c>
      <c r="Q61" s="31" t="s">
        <v>416</v>
      </c>
      <c r="R61" s="32" t="s">
        <v>280</v>
      </c>
      <c r="S61" s="33">
        <v>25</v>
      </c>
      <c r="T61" s="32" t="s">
        <v>281</v>
      </c>
      <c r="U61" s="33">
        <f>S61</f>
        <v>25</v>
      </c>
      <c r="V61" s="31" t="s">
        <v>282</v>
      </c>
      <c r="X61" s="32" t="s">
        <v>203</v>
      </c>
      <c r="Y61" s="34">
        <f>Y67+Y74+Y80</f>
        <v>349.618832</v>
      </c>
    </row>
    <row r="62" spans="16:25">
      <c r="P62" s="31" t="s">
        <v>283</v>
      </c>
      <c r="Q62" s="31" t="s">
        <v>284</v>
      </c>
      <c r="U62" s="32" t="s">
        <v>122</v>
      </c>
      <c r="V62" s="32" t="s">
        <v>285</v>
      </c>
      <c r="W62" s="32" t="s">
        <v>286</v>
      </c>
      <c r="X62" s="32" t="s">
        <v>287</v>
      </c>
      <c r="Y62" s="32" t="s">
        <v>288</v>
      </c>
    </row>
    <row r="63" spans="16:25">
      <c r="Q63" s="35" t="s">
        <v>289</v>
      </c>
    </row>
    <row r="64" spans="16:25">
      <c r="Q64" t="s">
        <v>290</v>
      </c>
      <c r="U64" s="8" t="s">
        <v>291</v>
      </c>
      <c r="V64" s="9">
        <v>2</v>
      </c>
      <c r="W64" s="10">
        <f>V64*8/$S$61</f>
        <v>0.64</v>
      </c>
      <c r="X64" s="12">
        <v>28.94</v>
      </c>
      <c r="Y64" s="12">
        <f>W64*X64</f>
        <v>18.521600000000003</v>
      </c>
    </row>
    <row r="65" spans="16:25">
      <c r="Q65" t="s">
        <v>292</v>
      </c>
      <c r="U65" s="8" t="s">
        <v>291</v>
      </c>
      <c r="V65" s="9">
        <v>1</v>
      </c>
      <c r="W65" s="10">
        <f>V65*8/$S$61</f>
        <v>0.32</v>
      </c>
      <c r="X65" s="12">
        <v>23.6</v>
      </c>
      <c r="Y65" s="12">
        <f>W65*X65</f>
        <v>7.5520000000000005</v>
      </c>
    </row>
    <row r="66" spans="16:25">
      <c r="Q66" t="s">
        <v>293</v>
      </c>
      <c r="U66" s="8" t="s">
        <v>291</v>
      </c>
      <c r="V66" s="9">
        <v>4</v>
      </c>
      <c r="W66" s="10">
        <f>V66*8/$S$61</f>
        <v>1.28</v>
      </c>
      <c r="X66" s="12">
        <v>21.36</v>
      </c>
      <c r="Y66" s="12">
        <f>W66*X66</f>
        <v>27.340800000000002</v>
      </c>
    </row>
    <row r="67" spans="16:25">
      <c r="U67" s="8"/>
      <c r="V67" s="9"/>
      <c r="W67" s="10"/>
      <c r="Y67" s="34">
        <f>SUM(Y64:Y66)</f>
        <v>53.414400000000001</v>
      </c>
    </row>
    <row r="68" spans="16:25">
      <c r="Q68" s="35" t="s">
        <v>653</v>
      </c>
      <c r="U68" s="8"/>
      <c r="V68" s="9"/>
      <c r="W68" s="10"/>
      <c r="Y68" s="12"/>
    </row>
    <row r="69" spans="16:25">
      <c r="Q69" t="s">
        <v>672</v>
      </c>
      <c r="U69" s="8" t="s">
        <v>203</v>
      </c>
      <c r="W69" s="10">
        <v>0.85</v>
      </c>
      <c r="X69" s="12">
        <v>55.08</v>
      </c>
      <c r="Y69" s="12">
        <f>W69*X69</f>
        <v>46.817999999999998</v>
      </c>
    </row>
    <row r="70" spans="16:25">
      <c r="Q70" t="s">
        <v>673</v>
      </c>
      <c r="U70" s="8" t="s">
        <v>203</v>
      </c>
      <c r="W70" s="10">
        <v>0.42</v>
      </c>
      <c r="X70" s="12">
        <v>47</v>
      </c>
      <c r="Y70" s="12">
        <f>W70*X70</f>
        <v>19.739999999999998</v>
      </c>
    </row>
    <row r="71" spans="16:25">
      <c r="Q71" t="s">
        <v>306</v>
      </c>
      <c r="U71" s="8" t="s">
        <v>307</v>
      </c>
      <c r="W71" s="10">
        <v>8.5</v>
      </c>
      <c r="X71" s="12">
        <v>24.52</v>
      </c>
      <c r="Y71" s="12">
        <f>W71*X71</f>
        <v>208.42</v>
      </c>
    </row>
    <row r="72" spans="16:25">
      <c r="Q72" t="s">
        <v>655</v>
      </c>
      <c r="U72" s="8" t="s">
        <v>203</v>
      </c>
      <c r="W72" s="10">
        <v>0.18</v>
      </c>
      <c r="X72">
        <v>6.14</v>
      </c>
      <c r="Y72" s="12">
        <f>W72*X72</f>
        <v>1.1052</v>
      </c>
    </row>
    <row r="73" spans="16:25">
      <c r="Q73" t="s">
        <v>665</v>
      </c>
      <c r="U73" s="8" t="s">
        <v>439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278.86919999999998</v>
      </c>
    </row>
    <row r="75" spans="16:25">
      <c r="Q75" s="35" t="s">
        <v>309</v>
      </c>
    </row>
    <row r="76" spans="16:25">
      <c r="Q76" t="s">
        <v>310</v>
      </c>
      <c r="U76" s="8" t="s">
        <v>311</v>
      </c>
      <c r="W76" s="10">
        <v>3</v>
      </c>
      <c r="X76" s="12">
        <f>Y67</f>
        <v>53.414400000000001</v>
      </c>
      <c r="Y76" s="12">
        <f>W76%*X76</f>
        <v>1.6024319999999999</v>
      </c>
    </row>
    <row r="77" spans="16:25">
      <c r="Q77" t="s">
        <v>667</v>
      </c>
      <c r="U77" s="8" t="s">
        <v>337</v>
      </c>
      <c r="V77" s="9">
        <v>1</v>
      </c>
      <c r="W77" s="10">
        <f>V77*8/$S$61</f>
        <v>0.32</v>
      </c>
      <c r="X77" s="12">
        <v>25.63</v>
      </c>
      <c r="Y77" s="12">
        <f>W77*X77</f>
        <v>8.2015999999999991</v>
      </c>
    </row>
    <row r="78" spans="16:25">
      <c r="Q78" t="s">
        <v>690</v>
      </c>
      <c r="U78" s="8" t="s">
        <v>337</v>
      </c>
      <c r="V78" s="9">
        <v>1</v>
      </c>
      <c r="W78" s="10">
        <f>V78*8/$S$61</f>
        <v>0.32</v>
      </c>
      <c r="X78" s="50">
        <v>20</v>
      </c>
      <c r="Y78" s="12">
        <f>W78*X78</f>
        <v>6.4</v>
      </c>
    </row>
    <row r="79" spans="16:25">
      <c r="Q79" t="s">
        <v>675</v>
      </c>
      <c r="U79" s="8" t="s">
        <v>337</v>
      </c>
      <c r="V79" s="9">
        <v>0.5</v>
      </c>
      <c r="W79" s="10">
        <f>V79*8/$S$61</f>
        <v>0.16</v>
      </c>
      <c r="X79">
        <v>7.07</v>
      </c>
      <c r="Y79" s="12">
        <f>W79*X79</f>
        <v>1.1312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17.335231999999998</v>
      </c>
    </row>
    <row r="82" spans="16:25">
      <c r="P82" s="31" t="s">
        <v>277</v>
      </c>
      <c r="Q82" s="31"/>
      <c r="R82" s="31" t="s">
        <v>552</v>
      </c>
      <c r="S82" s="31"/>
    </row>
    <row r="83" spans="16:25">
      <c r="P83" s="31" t="s">
        <v>278</v>
      </c>
      <c r="Q83" s="31" t="s">
        <v>279</v>
      </c>
      <c r="R83" s="32" t="s">
        <v>280</v>
      </c>
      <c r="S83" s="33">
        <v>35</v>
      </c>
      <c r="T83" s="32" t="s">
        <v>281</v>
      </c>
      <c r="U83" s="33">
        <f>S83</f>
        <v>35</v>
      </c>
      <c r="V83" s="31" t="s">
        <v>282</v>
      </c>
      <c r="X83" s="32" t="s">
        <v>133</v>
      </c>
      <c r="Y83" s="34">
        <f>Y88+Y93+Y96</f>
        <v>50.790514285714288</v>
      </c>
    </row>
    <row r="84" spans="16:25">
      <c r="P84" s="31" t="s">
        <v>283</v>
      </c>
      <c r="Q84" s="31" t="s">
        <v>284</v>
      </c>
      <c r="U84" s="32" t="s">
        <v>122</v>
      </c>
      <c r="V84" s="32" t="s">
        <v>285</v>
      </c>
      <c r="W84" s="32" t="s">
        <v>286</v>
      </c>
      <c r="X84" s="32" t="s">
        <v>287</v>
      </c>
      <c r="Y84" s="32" t="s">
        <v>288</v>
      </c>
    </row>
    <row r="85" spans="16:25">
      <c r="Q85" s="35" t="s">
        <v>289</v>
      </c>
    </row>
    <row r="86" spans="16:25">
      <c r="Q86" t="s">
        <v>290</v>
      </c>
      <c r="U86" s="8" t="s">
        <v>291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293</v>
      </c>
      <c r="U87" s="8" t="s">
        <v>291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653</v>
      </c>
      <c r="U89" s="8"/>
      <c r="V89" s="9"/>
      <c r="W89" s="10"/>
      <c r="Y89" s="12"/>
    </row>
    <row r="90" spans="16:25">
      <c r="Q90" t="s">
        <v>688</v>
      </c>
      <c r="U90" s="8" t="s">
        <v>296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301</v>
      </c>
      <c r="U91" s="8" t="s">
        <v>296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669</v>
      </c>
      <c r="U92" s="8" t="s">
        <v>305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309</v>
      </c>
    </row>
    <row r="95" spans="16:25">
      <c r="Q95" t="s">
        <v>310</v>
      </c>
      <c r="U95" s="8" t="s">
        <v>311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277</v>
      </c>
      <c r="Q98" s="31"/>
      <c r="R98" s="31" t="s">
        <v>693</v>
      </c>
      <c r="S98" s="31"/>
    </row>
    <row r="99" spans="16:34">
      <c r="P99" s="31" t="s">
        <v>278</v>
      </c>
      <c r="Q99" s="31" t="s">
        <v>678</v>
      </c>
      <c r="R99" s="32" t="s">
        <v>280</v>
      </c>
      <c r="S99" s="33">
        <v>250</v>
      </c>
      <c r="T99" s="32" t="s">
        <v>281</v>
      </c>
      <c r="U99" s="33">
        <f>S99</f>
        <v>250</v>
      </c>
      <c r="V99" s="31" t="s">
        <v>282</v>
      </c>
      <c r="X99" s="32" t="s">
        <v>296</v>
      </c>
      <c r="Y99" s="34">
        <f>Y104+Y108+Y112</f>
        <v>5.5639628445000007</v>
      </c>
    </row>
    <row r="100" spans="16:34">
      <c r="P100" s="31" t="s">
        <v>283</v>
      </c>
      <c r="Q100" s="31" t="s">
        <v>284</v>
      </c>
      <c r="U100" s="32" t="s">
        <v>122</v>
      </c>
      <c r="V100" s="32" t="s">
        <v>285</v>
      </c>
      <c r="W100" s="32" t="s">
        <v>286</v>
      </c>
      <c r="X100" s="32" t="s">
        <v>287</v>
      </c>
      <c r="Y100" s="32" t="s">
        <v>288</v>
      </c>
    </row>
    <row r="101" spans="16:34">
      <c r="Q101" s="35" t="s">
        <v>289</v>
      </c>
      <c r="AE101" s="8"/>
      <c r="AG101" s="10"/>
      <c r="AH101" s="12"/>
    </row>
    <row r="102" spans="16:34">
      <c r="Q102" t="s">
        <v>290</v>
      </c>
      <c r="U102" s="8" t="s">
        <v>291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679</v>
      </c>
      <c r="U103" s="8" t="s">
        <v>291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294</v>
      </c>
      <c r="U105" s="8"/>
      <c r="V105" s="9"/>
      <c r="W105" s="18"/>
      <c r="AE105" s="8"/>
      <c r="AG105" s="10"/>
    </row>
    <row r="106" spans="16:34">
      <c r="Q106" t="s">
        <v>295</v>
      </c>
      <c r="U106" s="8" t="s">
        <v>296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680</v>
      </c>
      <c r="U107" s="8" t="s">
        <v>296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317</v>
      </c>
      <c r="U109" s="8"/>
      <c r="V109" s="9"/>
    </row>
    <row r="110" spans="16:34">
      <c r="Q110" t="s">
        <v>310</v>
      </c>
      <c r="U110" s="8" t="s">
        <v>311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681</v>
      </c>
      <c r="U111" s="8" t="s">
        <v>291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277</v>
      </c>
      <c r="Q114" s="2"/>
      <c r="R114" s="3" t="s">
        <v>694</v>
      </c>
      <c r="S114" s="2"/>
    </row>
    <row r="115" spans="16:25">
      <c r="P115" s="2" t="s">
        <v>278</v>
      </c>
      <c r="Q115" s="2" t="s">
        <v>416</v>
      </c>
      <c r="R115" s="4" t="s">
        <v>280</v>
      </c>
      <c r="S115" s="5">
        <v>25</v>
      </c>
      <c r="T115" s="4" t="s">
        <v>281</v>
      </c>
      <c r="U115" s="5">
        <f>S115</f>
        <v>25</v>
      </c>
      <c r="V115" s="2" t="s">
        <v>282</v>
      </c>
      <c r="X115" s="4" t="s">
        <v>203</v>
      </c>
      <c r="Y115" s="6">
        <f>Y123+Y132+Y137</f>
        <v>396.88173599999999</v>
      </c>
    </row>
    <row r="116" spans="16:25">
      <c r="P116" s="2" t="s">
        <v>283</v>
      </c>
      <c r="Q116" s="2" t="s">
        <v>284</v>
      </c>
      <c r="U116" s="4" t="s">
        <v>122</v>
      </c>
      <c r="V116" s="4" t="s">
        <v>285</v>
      </c>
      <c r="W116" s="4" t="s">
        <v>286</v>
      </c>
      <c r="X116" s="4" t="s">
        <v>287</v>
      </c>
      <c r="Y116" s="4" t="s">
        <v>288</v>
      </c>
    </row>
    <row r="117" spans="16:25">
      <c r="Q117" s="7" t="s">
        <v>289</v>
      </c>
    </row>
    <row r="118" spans="16:25">
      <c r="Q118" t="s">
        <v>650</v>
      </c>
      <c r="U118" s="8" t="s">
        <v>291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290</v>
      </c>
      <c r="U119" s="8" t="s">
        <v>291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679</v>
      </c>
      <c r="U120" s="8" t="s">
        <v>291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293</v>
      </c>
      <c r="U121" s="8" t="s">
        <v>291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663</v>
      </c>
      <c r="U122" s="8" t="s">
        <v>291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653</v>
      </c>
    </row>
    <row r="125" spans="16:25">
      <c r="Q125" t="s">
        <v>695</v>
      </c>
      <c r="U125" s="8" t="s">
        <v>439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696</v>
      </c>
      <c r="U126" s="8" t="s">
        <v>697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698</v>
      </c>
      <c r="U127" s="8" t="s">
        <v>439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699</v>
      </c>
      <c r="U128" s="8" t="s">
        <v>203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700</v>
      </c>
      <c r="U129" s="8" t="s">
        <v>203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664</v>
      </c>
      <c r="U130" s="8" t="s">
        <v>203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701</v>
      </c>
      <c r="U131" s="8" t="s">
        <v>307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309</v>
      </c>
    </row>
    <row r="134" spans="16:33">
      <c r="Q134" t="s">
        <v>702</v>
      </c>
      <c r="U134" s="8" t="s">
        <v>337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703</v>
      </c>
      <c r="U135" s="8" t="s">
        <v>337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310</v>
      </c>
      <c r="U136" s="8" t="s">
        <v>311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277</v>
      </c>
      <c r="Q139" s="2"/>
      <c r="R139" s="2" t="s">
        <v>704</v>
      </c>
      <c r="S139" s="2"/>
      <c r="AE139" s="8"/>
      <c r="AF139" s="9"/>
      <c r="AG139" s="18"/>
    </row>
    <row r="140" spans="16:33">
      <c r="P140" s="2" t="s">
        <v>278</v>
      </c>
      <c r="Q140" s="2" t="s">
        <v>279</v>
      </c>
      <c r="R140" s="4" t="s">
        <v>280</v>
      </c>
      <c r="S140" s="5">
        <v>35</v>
      </c>
      <c r="T140" s="4" t="s">
        <v>281</v>
      </c>
      <c r="U140" s="5">
        <f>S140</f>
        <v>35</v>
      </c>
      <c r="V140" s="2" t="s">
        <v>282</v>
      </c>
      <c r="X140" s="4" t="s">
        <v>133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283</v>
      </c>
      <c r="Q141" s="2" t="s">
        <v>284</v>
      </c>
      <c r="U141" s="4" t="s">
        <v>122</v>
      </c>
      <c r="V141" s="4" t="s">
        <v>285</v>
      </c>
      <c r="W141" s="4" t="s">
        <v>286</v>
      </c>
      <c r="X141" s="4" t="s">
        <v>287</v>
      </c>
      <c r="Y141" s="4" t="s">
        <v>288</v>
      </c>
      <c r="AB141" s="12"/>
    </row>
    <row r="142" spans="16:33">
      <c r="Q142" s="7" t="s">
        <v>289</v>
      </c>
    </row>
    <row r="143" spans="16:33">
      <c r="Q143" t="s">
        <v>290</v>
      </c>
      <c r="U143" s="8" t="s">
        <v>291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679</v>
      </c>
      <c r="U144" s="8" t="s">
        <v>291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293</v>
      </c>
      <c r="U145" s="8" t="s">
        <v>291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653</v>
      </c>
    </row>
    <row r="148" spans="16:25">
      <c r="Q148" t="s">
        <v>688</v>
      </c>
      <c r="U148" s="8" t="s">
        <v>296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301</v>
      </c>
      <c r="U149" s="8" t="s">
        <v>296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669</v>
      </c>
      <c r="U150" s="8" t="s">
        <v>296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309</v>
      </c>
    </row>
    <row r="153" spans="16:25">
      <c r="Q153" t="s">
        <v>310</v>
      </c>
      <c r="U153" s="8" t="s">
        <v>311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277</v>
      </c>
      <c r="Q156" s="37"/>
      <c r="R156" s="31" t="s">
        <v>562</v>
      </c>
    </row>
    <row r="157" spans="16:25">
      <c r="P157" s="37" t="s">
        <v>278</v>
      </c>
      <c r="Q157" s="37" t="s">
        <v>705</v>
      </c>
      <c r="R157" s="38" t="s">
        <v>280</v>
      </c>
      <c r="S157" s="39">
        <v>250</v>
      </c>
      <c r="T157" s="38" t="s">
        <v>281</v>
      </c>
      <c r="U157" s="39">
        <f>S157</f>
        <v>250</v>
      </c>
      <c r="V157" s="37" t="s">
        <v>282</v>
      </c>
      <c r="X157" s="38" t="s">
        <v>706</v>
      </c>
      <c r="Y157" s="40">
        <f>Y163+Y167+Y170</f>
        <v>5.4833634845000008</v>
      </c>
    </row>
    <row r="158" spans="16:25">
      <c r="P158" s="37" t="s">
        <v>283</v>
      </c>
      <c r="Q158" s="37" t="s">
        <v>284</v>
      </c>
      <c r="U158" s="38" t="s">
        <v>122</v>
      </c>
      <c r="V158" s="38" t="s">
        <v>285</v>
      </c>
      <c r="W158" s="38" t="s">
        <v>286</v>
      </c>
      <c r="X158" s="38" t="s">
        <v>287</v>
      </c>
      <c r="Y158" s="38" t="s">
        <v>288</v>
      </c>
    </row>
    <row r="159" spans="16:25">
      <c r="Q159" s="41" t="s">
        <v>289</v>
      </c>
      <c r="V159" s="9"/>
    </row>
    <row r="160" spans="16:25">
      <c r="Q160" t="s">
        <v>290</v>
      </c>
      <c r="U160" s="8" t="s">
        <v>291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679</v>
      </c>
      <c r="U161" s="8" t="s">
        <v>291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650</v>
      </c>
      <c r="U162" s="8" t="s">
        <v>291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294</v>
      </c>
      <c r="U164" s="8"/>
      <c r="V164" s="9"/>
      <c r="W164" s="18"/>
    </row>
    <row r="165" spans="16:25">
      <c r="Q165" t="s">
        <v>295</v>
      </c>
      <c r="U165" s="8" t="s">
        <v>296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680</v>
      </c>
      <c r="U166" s="8" t="s">
        <v>296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317</v>
      </c>
      <c r="U168" s="8"/>
      <c r="V168" s="9"/>
    </row>
    <row r="169" spans="16:25">
      <c r="Q169" t="s">
        <v>310</v>
      </c>
      <c r="U169" s="8" t="s">
        <v>311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277</v>
      </c>
      <c r="Q172" s="37"/>
      <c r="R172" s="31" t="s">
        <v>564</v>
      </c>
    </row>
    <row r="173" spans="16:25">
      <c r="P173" s="37" t="s">
        <v>278</v>
      </c>
      <c r="Q173" s="37" t="s">
        <v>707</v>
      </c>
      <c r="R173" s="38" t="s">
        <v>280</v>
      </c>
      <c r="S173" s="39">
        <v>1600</v>
      </c>
      <c r="T173" s="38" t="s">
        <v>281</v>
      </c>
      <c r="U173" s="39">
        <f>S173</f>
        <v>1600</v>
      </c>
      <c r="V173" s="37" t="s">
        <v>282</v>
      </c>
      <c r="X173" s="38" t="s">
        <v>149</v>
      </c>
      <c r="Y173" s="40">
        <f>Y179+Y183+Y186</f>
        <v>2.715605</v>
      </c>
    </row>
    <row r="174" spans="16:25">
      <c r="P174" s="37" t="s">
        <v>283</v>
      </c>
      <c r="Q174" s="37" t="s">
        <v>284</v>
      </c>
      <c r="U174" s="38" t="s">
        <v>122</v>
      </c>
      <c r="V174" s="38" t="s">
        <v>285</v>
      </c>
      <c r="W174" s="38" t="s">
        <v>286</v>
      </c>
      <c r="X174" s="38" t="s">
        <v>287</v>
      </c>
      <c r="Y174" s="38" t="s">
        <v>288</v>
      </c>
    </row>
    <row r="175" spans="16:25">
      <c r="Q175" s="41" t="s">
        <v>289</v>
      </c>
      <c r="V175" s="9"/>
    </row>
    <row r="176" spans="16:25">
      <c r="Q176" t="s">
        <v>290</v>
      </c>
      <c r="U176" s="8" t="s">
        <v>291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679</v>
      </c>
      <c r="U177" s="8" t="s">
        <v>291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293</v>
      </c>
      <c r="U178" s="8" t="s">
        <v>291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294</v>
      </c>
      <c r="U180" s="8"/>
      <c r="V180" s="9"/>
      <c r="W180" s="18"/>
    </row>
    <row r="181" spans="16:25">
      <c r="Q181" t="s">
        <v>708</v>
      </c>
      <c r="U181" s="8" t="s">
        <v>149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317</v>
      </c>
      <c r="U184" s="8"/>
      <c r="V184" s="9"/>
    </row>
    <row r="185" spans="16:25">
      <c r="Q185" t="s">
        <v>310</v>
      </c>
      <c r="U185" s="8" t="s">
        <v>311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277</v>
      </c>
      <c r="Q188" s="31"/>
      <c r="R188" s="31" t="s">
        <v>577</v>
      </c>
      <c r="S188" s="31"/>
    </row>
    <row r="189" spans="16:25">
      <c r="P189" s="31" t="s">
        <v>278</v>
      </c>
      <c r="Q189" s="31" t="s">
        <v>416</v>
      </c>
      <c r="R189" s="32" t="s">
        <v>280</v>
      </c>
      <c r="S189" s="33">
        <v>15</v>
      </c>
      <c r="T189" s="32" t="s">
        <v>281</v>
      </c>
      <c r="U189" s="33">
        <f>S189</f>
        <v>15</v>
      </c>
      <c r="V189" s="31" t="s">
        <v>282</v>
      </c>
      <c r="X189" s="32" t="s">
        <v>203</v>
      </c>
      <c r="Y189" s="34">
        <f>Y195+Y202+Y207</f>
        <v>402.68478666666664</v>
      </c>
    </row>
    <row r="190" spans="16:25">
      <c r="P190" s="31" t="s">
        <v>283</v>
      </c>
      <c r="Q190" s="31" t="s">
        <v>284</v>
      </c>
      <c r="U190" s="32" t="s">
        <v>122</v>
      </c>
      <c r="V190" s="32" t="s">
        <v>285</v>
      </c>
      <c r="W190" s="32" t="s">
        <v>286</v>
      </c>
      <c r="X190" s="32" t="s">
        <v>287</v>
      </c>
      <c r="Y190" s="32" t="s">
        <v>288</v>
      </c>
    </row>
    <row r="191" spans="16:25">
      <c r="Q191" s="35" t="s">
        <v>289</v>
      </c>
    </row>
    <row r="192" spans="16:25">
      <c r="Q192" t="s">
        <v>290</v>
      </c>
      <c r="U192" s="8" t="s">
        <v>291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292</v>
      </c>
      <c r="U193" s="8" t="s">
        <v>291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293</v>
      </c>
      <c r="U194" s="8" t="s">
        <v>291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653</v>
      </c>
      <c r="U196" s="8"/>
      <c r="V196" s="9"/>
      <c r="W196" s="10"/>
      <c r="Y196" s="12"/>
    </row>
    <row r="197" spans="16:25">
      <c r="Q197" t="s">
        <v>672</v>
      </c>
      <c r="U197" s="8" t="s">
        <v>203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673</v>
      </c>
      <c r="U198" s="8" t="s">
        <v>203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306</v>
      </c>
      <c r="U199" s="8" t="s">
        <v>307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655</v>
      </c>
      <c r="U200" s="8" t="s">
        <v>203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665</v>
      </c>
      <c r="U201" s="8" t="s">
        <v>439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309</v>
      </c>
    </row>
    <row r="204" spans="16:25">
      <c r="Q204" t="s">
        <v>310</v>
      </c>
      <c r="U204" s="8" t="s">
        <v>311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667</v>
      </c>
      <c r="U205" s="8" t="s">
        <v>337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675</v>
      </c>
      <c r="U206" s="8" t="s">
        <v>337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277</v>
      </c>
      <c r="Q209" s="31"/>
      <c r="R209" s="31" t="s">
        <v>579</v>
      </c>
      <c r="S209" s="31"/>
    </row>
    <row r="210" spans="16:25">
      <c r="P210" s="31" t="s">
        <v>278</v>
      </c>
      <c r="Q210" s="31" t="s">
        <v>279</v>
      </c>
      <c r="R210" s="32" t="s">
        <v>280</v>
      </c>
      <c r="S210" s="33">
        <v>35</v>
      </c>
      <c r="T210" s="32" t="s">
        <v>281</v>
      </c>
      <c r="U210" s="33">
        <f>S210</f>
        <v>35</v>
      </c>
      <c r="V210" s="31" t="s">
        <v>282</v>
      </c>
      <c r="X210" s="32" t="s">
        <v>133</v>
      </c>
      <c r="Y210" s="34">
        <f>Y216+Y221+Y224</f>
        <v>47.59157428571428</v>
      </c>
    </row>
    <row r="211" spans="16:25">
      <c r="P211" s="31" t="s">
        <v>283</v>
      </c>
      <c r="Q211" s="31" t="s">
        <v>284</v>
      </c>
      <c r="U211" s="32" t="s">
        <v>122</v>
      </c>
      <c r="V211" s="32" t="s">
        <v>285</v>
      </c>
      <c r="W211" s="32" t="s">
        <v>286</v>
      </c>
      <c r="X211" s="32" t="s">
        <v>287</v>
      </c>
      <c r="Y211" s="32" t="s">
        <v>288</v>
      </c>
    </row>
    <row r="212" spans="16:25">
      <c r="Q212" s="35" t="s">
        <v>289</v>
      </c>
    </row>
    <row r="213" spans="16:25">
      <c r="Q213" t="s">
        <v>290</v>
      </c>
      <c r="U213" s="8" t="s">
        <v>291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292</v>
      </c>
      <c r="U214" s="8" t="s">
        <v>291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293</v>
      </c>
      <c r="U215" s="8" t="s">
        <v>291</v>
      </c>
      <c r="V215" s="9">
        <v>1</v>
      </c>
      <c r="W215" s="10">
        <f t="shared" ref="W215:W216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653</v>
      </c>
      <c r="U217" s="8"/>
      <c r="V217" s="9"/>
      <c r="W217" s="10"/>
      <c r="Y217" s="12"/>
    </row>
    <row r="218" spans="16:25">
      <c r="Q218" t="s">
        <v>688</v>
      </c>
      <c r="U218" s="8" t="s">
        <v>296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301</v>
      </c>
      <c r="U219" s="8" t="s">
        <v>296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669</v>
      </c>
      <c r="U220" s="8" t="s">
        <v>305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309</v>
      </c>
    </row>
    <row r="223" spans="16:25">
      <c r="Q223" t="s">
        <v>310</v>
      </c>
      <c r="U223" s="8" t="s">
        <v>311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277</v>
      </c>
      <c r="Q226" s="31"/>
      <c r="R226" s="31" t="s">
        <v>581</v>
      </c>
      <c r="S226" s="31"/>
    </row>
    <row r="227" spans="16:25">
      <c r="P227" s="31" t="s">
        <v>278</v>
      </c>
      <c r="Q227" s="31" t="s">
        <v>279</v>
      </c>
      <c r="R227" s="32" t="s">
        <v>280</v>
      </c>
      <c r="S227" s="33">
        <v>250</v>
      </c>
      <c r="T227" s="32" t="s">
        <v>281</v>
      </c>
      <c r="U227" s="33">
        <f>S227</f>
        <v>250</v>
      </c>
      <c r="V227" s="31" t="s">
        <v>282</v>
      </c>
      <c r="X227" s="32" t="s">
        <v>133</v>
      </c>
      <c r="Y227" s="34">
        <f>Y232+Y236+Y240</f>
        <v>5.5639628445000007</v>
      </c>
    </row>
    <row r="228" spans="16:25">
      <c r="P228" s="31" t="s">
        <v>283</v>
      </c>
      <c r="Q228" s="31" t="s">
        <v>284</v>
      </c>
      <c r="U228" s="32" t="s">
        <v>122</v>
      </c>
      <c r="V228" s="32" t="s">
        <v>285</v>
      </c>
      <c r="W228" s="32" t="s">
        <v>286</v>
      </c>
      <c r="X228" s="32" t="s">
        <v>287</v>
      </c>
      <c r="Y228" s="32" t="s">
        <v>288</v>
      </c>
    </row>
    <row r="229" spans="16:25">
      <c r="Q229" s="35" t="s">
        <v>289</v>
      </c>
    </row>
    <row r="230" spans="16:25">
      <c r="Q230" t="s">
        <v>290</v>
      </c>
      <c r="U230" s="8" t="s">
        <v>291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679</v>
      </c>
      <c r="U231" s="8" t="s">
        <v>291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294</v>
      </c>
      <c r="U233" s="8"/>
      <c r="V233" s="9"/>
      <c r="W233" s="18"/>
    </row>
    <row r="234" spans="16:25">
      <c r="Q234" t="s">
        <v>295</v>
      </c>
      <c r="U234" s="8" t="s">
        <v>296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680</v>
      </c>
      <c r="U235" s="8" t="s">
        <v>296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317</v>
      </c>
      <c r="U237" s="8"/>
      <c r="V237" s="9"/>
    </row>
    <row r="238" spans="16:25">
      <c r="Q238" t="s">
        <v>310</v>
      </c>
      <c r="U238" s="8" t="s">
        <v>311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681</v>
      </c>
      <c r="U239" s="8" t="s">
        <v>291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2E214-FA7B-4313-BD54-62660E024E45}">
  <sheetPr>
    <tabColor rgb="FF7030A0"/>
  </sheetPr>
  <dimension ref="A2:AM610"/>
  <sheetViews>
    <sheetView workbookViewId="0">
      <selection activeCell="A19" sqref="A19:A21"/>
    </sheetView>
  </sheetViews>
  <sheetFormatPr defaultRowHeight="15"/>
  <cols>
    <col min="1" max="1" width="52" customWidth="1"/>
    <col min="2" max="2" width="9.42578125" customWidth="1"/>
    <col min="4" max="4" width="14" customWidth="1"/>
    <col min="6" max="6" width="9.85546875" bestFit="1" customWidth="1"/>
    <col min="7" max="7" width="10.42578125" customWidth="1"/>
    <col min="21" max="21" width="9.28515625" bestFit="1" customWidth="1"/>
    <col min="30" max="30" width="30.42578125" customWidth="1"/>
    <col min="33" max="33" width="9.28515625" bestFit="1" customWidth="1"/>
  </cols>
  <sheetData>
    <row r="2" spans="1:27">
      <c r="M2" s="25" t="s">
        <v>1369</v>
      </c>
      <c r="N2" s="25">
        <f>'Datos iniciales '!B13</f>
        <v>1</v>
      </c>
    </row>
    <row r="3" spans="1:27">
      <c r="B3" s="4" t="s">
        <v>1222</v>
      </c>
      <c r="C3" s="4" t="s">
        <v>122</v>
      </c>
      <c r="D3" s="4" t="s">
        <v>123</v>
      </c>
      <c r="E3" s="4" t="s">
        <v>124</v>
      </c>
      <c r="F3" s="4" t="s">
        <v>453</v>
      </c>
      <c r="G3" s="4" t="s">
        <v>454</v>
      </c>
      <c r="M3" s="25"/>
      <c r="N3" s="25"/>
    </row>
    <row r="4" spans="1:27">
      <c r="A4" s="28" t="s">
        <v>1370</v>
      </c>
      <c r="B4" s="28"/>
      <c r="M4" s="25" t="s">
        <v>1368</v>
      </c>
      <c r="N4" s="25">
        <f>G5/N2</f>
        <v>601.62699272668385</v>
      </c>
    </row>
    <row r="5" spans="1:27">
      <c r="A5" s="28"/>
      <c r="B5" s="2"/>
      <c r="F5" s="2"/>
      <c r="G5" s="12">
        <f>SUM(F6:F22)</f>
        <v>601.62699272668385</v>
      </c>
      <c r="AA5" s="12"/>
    </row>
    <row r="6" spans="1:27">
      <c r="A6" s="28" t="s">
        <v>475</v>
      </c>
      <c r="D6" s="12"/>
      <c r="F6" s="12"/>
      <c r="R6" s="2" t="s">
        <v>277</v>
      </c>
      <c r="S6" s="2"/>
      <c r="T6" s="2" t="s">
        <v>1371</v>
      </c>
      <c r="U6" s="2"/>
    </row>
    <row r="7" spans="1:27">
      <c r="A7" t="s">
        <v>483</v>
      </c>
      <c r="B7">
        <v>1.9692822384428221E-2</v>
      </c>
      <c r="C7" t="s">
        <v>133</v>
      </c>
      <c r="D7" s="12">
        <f>B7*$N$2</f>
        <v>1.9692822384428221E-2</v>
      </c>
      <c r="E7" s="12">
        <f>AA111</f>
        <v>238.34357440000002</v>
      </c>
      <c r="F7" s="12">
        <f t="shared" ref="F7:F13" si="0">D7*E7</f>
        <v>4.6936576771289538</v>
      </c>
      <c r="R7" s="2" t="s">
        <v>278</v>
      </c>
      <c r="S7" s="2" t="s">
        <v>279</v>
      </c>
      <c r="T7" s="4" t="s">
        <v>280</v>
      </c>
      <c r="U7" s="5">
        <v>500</v>
      </c>
      <c r="V7" s="4" t="s">
        <v>281</v>
      </c>
      <c r="W7" s="5">
        <f>U7</f>
        <v>500</v>
      </c>
      <c r="X7" s="2" t="s">
        <v>282</v>
      </c>
      <c r="Z7" s="4" t="s">
        <v>133</v>
      </c>
      <c r="AA7" s="6">
        <f>AA13+AA18+AA23</f>
        <v>2.8992706400000006</v>
      </c>
    </row>
    <row r="8" spans="1:27">
      <c r="A8" t="s">
        <v>668</v>
      </c>
      <c r="B8">
        <v>0.23380474452554742</v>
      </c>
      <c r="C8" t="s">
        <v>133</v>
      </c>
      <c r="D8" s="12">
        <f>B8*$N$2</f>
        <v>0.23380474452554742</v>
      </c>
      <c r="E8" s="12">
        <f>AA133</f>
        <v>39.620881818181815</v>
      </c>
      <c r="F8" s="12">
        <f t="shared" si="0"/>
        <v>9.2635501513769061</v>
      </c>
      <c r="R8" s="2" t="s">
        <v>283</v>
      </c>
      <c r="S8" s="2" t="s">
        <v>284</v>
      </c>
      <c r="W8" s="4" t="s">
        <v>122</v>
      </c>
      <c r="X8" s="4" t="s">
        <v>285</v>
      </c>
      <c r="Y8" s="4" t="s">
        <v>286</v>
      </c>
      <c r="Z8" s="4" t="s">
        <v>287</v>
      </c>
      <c r="AA8" s="4" t="s">
        <v>288</v>
      </c>
    </row>
    <row r="9" spans="1:27">
      <c r="A9" s="28" t="s">
        <v>1372</v>
      </c>
      <c r="D9" s="12"/>
      <c r="F9" s="12"/>
      <c r="S9" s="7" t="s">
        <v>289</v>
      </c>
    </row>
    <row r="10" spans="1:27">
      <c r="A10" s="28" t="s">
        <v>516</v>
      </c>
      <c r="D10" s="12"/>
      <c r="F10" s="12"/>
      <c r="S10" t="s">
        <v>1373</v>
      </c>
      <c r="W10" s="8" t="s">
        <v>291</v>
      </c>
      <c r="X10" s="9">
        <v>1</v>
      </c>
      <c r="Y10" s="10">
        <f>X10*8/$U$7</f>
        <v>1.6E-2</v>
      </c>
      <c r="Z10">
        <v>28.94</v>
      </c>
      <c r="AA10" s="12">
        <f>Y10*Z10</f>
        <v>0.46304000000000001</v>
      </c>
    </row>
    <row r="11" spans="1:27">
      <c r="A11" t="s">
        <v>518</v>
      </c>
      <c r="B11">
        <v>4.9270072992700737E-3</v>
      </c>
      <c r="C11" t="s">
        <v>203</v>
      </c>
      <c r="D11" s="12">
        <f>B11*$N$2</f>
        <v>4.9270072992700737E-3</v>
      </c>
      <c r="E11" s="12">
        <f>AA207</f>
        <v>424.92179999999996</v>
      </c>
      <c r="F11" s="12">
        <f t="shared" si="0"/>
        <v>2.0935928102189783</v>
      </c>
      <c r="S11" t="s">
        <v>293</v>
      </c>
      <c r="W11" s="8" t="s">
        <v>291</v>
      </c>
      <c r="X11" s="9">
        <v>3</v>
      </c>
      <c r="Y11" s="10">
        <f>X11*8/$U$7</f>
        <v>4.8000000000000001E-2</v>
      </c>
      <c r="Z11">
        <v>20.51</v>
      </c>
      <c r="AA11" s="12">
        <f>Y11*Z11</f>
        <v>0.98448000000000013</v>
      </c>
    </row>
    <row r="12" spans="1:27">
      <c r="A12" t="s">
        <v>520</v>
      </c>
      <c r="B12">
        <v>3.0793795620437953E-2</v>
      </c>
      <c r="C12" t="s">
        <v>133</v>
      </c>
      <c r="D12" s="12">
        <f>B12*$N$2</f>
        <v>3.0793795620437953E-2</v>
      </c>
      <c r="E12" s="12">
        <f>AA228</f>
        <v>42.644480000000001</v>
      </c>
      <c r="F12" s="12">
        <f t="shared" si="0"/>
        <v>1.3131854014598539</v>
      </c>
      <c r="S12" t="s">
        <v>650</v>
      </c>
      <c r="W12" s="8" t="s">
        <v>291</v>
      </c>
      <c r="X12" s="9">
        <v>0.1</v>
      </c>
      <c r="Y12" s="10">
        <f>X12*8/$U$7</f>
        <v>1.6000000000000001E-3</v>
      </c>
      <c r="Z12">
        <v>34.729999999999997</v>
      </c>
      <c r="AA12" s="12">
        <f>Y12*Z12</f>
        <v>5.5567999999999999E-2</v>
      </c>
    </row>
    <row r="13" spans="1:27">
      <c r="A13" t="s">
        <v>522</v>
      </c>
      <c r="B13">
        <v>1.0839416058394162</v>
      </c>
      <c r="C13" t="s">
        <v>296</v>
      </c>
      <c r="D13" s="12">
        <f>B13*$N$2</f>
        <v>1.0839416058394162</v>
      </c>
      <c r="E13" s="12">
        <f>AA244</f>
        <v>5.5639628445000007</v>
      </c>
      <c r="F13" s="12">
        <f t="shared" si="0"/>
        <v>6.0310108204981772</v>
      </c>
      <c r="AA13" s="6">
        <f>SUM(AA10:AA12)</f>
        <v>1.5030880000000002</v>
      </c>
    </row>
    <row r="14" spans="1:27">
      <c r="A14" s="28" t="s">
        <v>567</v>
      </c>
      <c r="B14" s="28"/>
      <c r="D14" s="12"/>
      <c r="F14" s="12"/>
      <c r="S14" s="7" t="s">
        <v>653</v>
      </c>
    </row>
    <row r="15" spans="1:27" ht="15" customHeight="1">
      <c r="A15" s="21" t="s">
        <v>569</v>
      </c>
      <c r="B15" s="21">
        <v>5.8470194647201948E-2</v>
      </c>
      <c r="C15" t="s">
        <v>203</v>
      </c>
      <c r="D15" s="12">
        <f>B15*$N$2</f>
        <v>5.8470194647201948E-2</v>
      </c>
      <c r="E15" s="12">
        <f>AA497</f>
        <v>471.73033999999996</v>
      </c>
      <c r="F15" s="12">
        <f>D15*E15</f>
        <v>27.582164800790753</v>
      </c>
      <c r="S15" t="s">
        <v>301</v>
      </c>
      <c r="W15" s="8" t="s">
        <v>296</v>
      </c>
      <c r="Y15" s="10">
        <v>5.0000000000000001E-3</v>
      </c>
      <c r="Z15">
        <v>5.51</v>
      </c>
      <c r="AA15" s="12">
        <f>Y15*Z15</f>
        <v>2.7549999999999998E-2</v>
      </c>
    </row>
    <row r="16" spans="1:27">
      <c r="A16" s="21" t="s">
        <v>571</v>
      </c>
      <c r="B16" s="21">
        <v>0.23380474452554742</v>
      </c>
      <c r="C16" t="s">
        <v>133</v>
      </c>
      <c r="D16" s="12">
        <f>B16*$N$2</f>
        <v>0.23380474452554742</v>
      </c>
      <c r="E16" s="12">
        <f>AA522</f>
        <v>67.948066666666662</v>
      </c>
      <c r="F16" s="12">
        <f>D16*E16</f>
        <v>15.886580368004864</v>
      </c>
      <c r="S16" t="s">
        <v>1374</v>
      </c>
      <c r="T16" s="64"/>
      <c r="U16" s="64"/>
      <c r="V16" s="64"/>
      <c r="W16" s="8" t="s">
        <v>307</v>
      </c>
      <c r="X16" s="64"/>
      <c r="Y16" s="10">
        <v>2.5000000000000001E-2</v>
      </c>
      <c r="Z16" s="12">
        <v>38.9</v>
      </c>
      <c r="AA16" s="12">
        <f>Y16*Z16</f>
        <v>0.97250000000000003</v>
      </c>
    </row>
    <row r="17" spans="1:39">
      <c r="A17" s="21" t="s">
        <v>710</v>
      </c>
      <c r="B17" s="21">
        <v>8.7677159367396591</v>
      </c>
      <c r="C17" t="s">
        <v>296</v>
      </c>
      <c r="D17" s="12">
        <f>B17*$N$2</f>
        <v>8.7677159367396591</v>
      </c>
      <c r="E17" s="12">
        <f>AA539</f>
        <v>5.4833634845000008</v>
      </c>
      <c r="F17" s="12">
        <f>D17*E17</f>
        <v>48.076573409986963</v>
      </c>
      <c r="S17" t="s">
        <v>308</v>
      </c>
      <c r="W17" s="8" t="s">
        <v>305</v>
      </c>
      <c r="Y17" s="10">
        <v>0.02</v>
      </c>
      <c r="Z17" s="17">
        <v>5.8</v>
      </c>
      <c r="AA17" s="12">
        <f>Y17*Z17</f>
        <v>0.11599999999999999</v>
      </c>
    </row>
    <row r="18" spans="1:39">
      <c r="A18" s="28" t="s">
        <v>583</v>
      </c>
      <c r="D18" s="12"/>
      <c r="F18" s="12"/>
      <c r="AA18" s="6">
        <f>SUM(AA15:AA17)</f>
        <v>1.11605</v>
      </c>
    </row>
    <row r="19" spans="1:39">
      <c r="A19" t="s">
        <v>585</v>
      </c>
      <c r="B19">
        <v>0.25117244525547444</v>
      </c>
      <c r="C19" t="s">
        <v>203</v>
      </c>
      <c r="D19" s="12">
        <f>B19*$N$2</f>
        <v>0.25117244525547444</v>
      </c>
      <c r="E19" s="12">
        <f>AA555</f>
        <v>554.63709333333338</v>
      </c>
      <c r="F19" s="12">
        <f>D19*E19</f>
        <v>139.30955496192215</v>
      </c>
      <c r="S19" s="7" t="s">
        <v>309</v>
      </c>
    </row>
    <row r="20" spans="1:39">
      <c r="A20" t="s">
        <v>587</v>
      </c>
      <c r="B20">
        <v>1.8715024330900241</v>
      </c>
      <c r="C20" t="s">
        <v>133</v>
      </c>
      <c r="D20" s="12">
        <f>B20*$N$2</f>
        <v>1.8715024330900241</v>
      </c>
      <c r="E20" s="12">
        <f>AA579</f>
        <v>111.80536417910447</v>
      </c>
      <c r="F20" s="12">
        <f>D20*E20</f>
        <v>209.24401109371024</v>
      </c>
      <c r="S20" t="s">
        <v>310</v>
      </c>
      <c r="W20" s="8" t="s">
        <v>311</v>
      </c>
      <c r="Y20" s="10">
        <v>3</v>
      </c>
      <c r="Z20" s="12">
        <f>AA13</f>
        <v>1.5030880000000002</v>
      </c>
      <c r="AA20" s="12">
        <f>Y20%*Z20</f>
        <v>4.5092640000000003E-2</v>
      </c>
    </row>
    <row r="21" spans="1:39">
      <c r="A21" t="s">
        <v>589</v>
      </c>
      <c r="B21">
        <v>25.117244525547445</v>
      </c>
      <c r="C21" t="s">
        <v>296</v>
      </c>
      <c r="D21" s="12">
        <f>B21*$N$2</f>
        <v>25.117244525547445</v>
      </c>
      <c r="E21" s="12">
        <f>AA596</f>
        <v>5.4995328445</v>
      </c>
      <c r="F21" s="12">
        <f>D21*E21</f>
        <v>138.13311123158599</v>
      </c>
      <c r="S21" t="s">
        <v>1375</v>
      </c>
      <c r="W21" s="8" t="s">
        <v>337</v>
      </c>
      <c r="X21" s="9">
        <v>1</v>
      </c>
      <c r="Y21" s="10">
        <f>X21*8/$U$7</f>
        <v>1.6E-2</v>
      </c>
      <c r="Z21" s="12">
        <v>9.69</v>
      </c>
      <c r="AA21" s="12">
        <f>Y21*Z21</f>
        <v>0.15503999999999998</v>
      </c>
    </row>
    <row r="22" spans="1:39">
      <c r="A22" s="21"/>
      <c r="B22" s="21"/>
      <c r="D22" s="12"/>
      <c r="E22" s="12"/>
      <c r="F22" s="12"/>
      <c r="S22" t="s">
        <v>1376</v>
      </c>
      <c r="W22" s="8" t="s">
        <v>144</v>
      </c>
      <c r="Y22">
        <v>8.0000000000000002E-3</v>
      </c>
      <c r="Z22" s="10">
        <v>10</v>
      </c>
      <c r="AA22" s="12">
        <f>Y22*Z22</f>
        <v>0.08</v>
      </c>
    </row>
    <row r="23" spans="1:39">
      <c r="R23" s="14"/>
      <c r="S23" s="14"/>
      <c r="T23" s="14"/>
      <c r="U23" s="14"/>
      <c r="V23" s="14"/>
      <c r="W23" s="14"/>
      <c r="X23" s="14"/>
      <c r="Y23" s="14"/>
      <c r="Z23" s="15"/>
      <c r="AA23" s="16">
        <f>SUM(AA20:AA22)</f>
        <v>0.28013263999999999</v>
      </c>
    </row>
    <row r="24" spans="1:39">
      <c r="G24" s="12"/>
    </row>
    <row r="25" spans="1:39">
      <c r="R25" s="2" t="s">
        <v>277</v>
      </c>
      <c r="S25" s="2"/>
      <c r="T25" s="2" t="s">
        <v>458</v>
      </c>
      <c r="U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9">
      <c r="R26" s="2" t="s">
        <v>278</v>
      </c>
      <c r="S26" s="2" t="s">
        <v>416</v>
      </c>
      <c r="T26" s="4" t="s">
        <v>280</v>
      </c>
      <c r="U26" s="5">
        <v>250</v>
      </c>
      <c r="V26" s="4" t="s">
        <v>281</v>
      </c>
      <c r="W26" s="5">
        <f>U26</f>
        <v>250</v>
      </c>
      <c r="X26" s="2" t="s">
        <v>282</v>
      </c>
      <c r="Z26" s="4" t="s">
        <v>203</v>
      </c>
      <c r="AA26" s="6">
        <f>AA32+AA36</f>
        <v>8.4582044799999991</v>
      </c>
      <c r="AD26" s="2"/>
      <c r="AE26" s="2"/>
      <c r="AF26" s="4"/>
      <c r="AG26" s="5"/>
      <c r="AH26" s="4"/>
      <c r="AI26" s="5"/>
      <c r="AJ26" s="2"/>
      <c r="AL26" s="4"/>
      <c r="AM26" s="6"/>
    </row>
    <row r="27" spans="1:39">
      <c r="R27" s="2" t="s">
        <v>283</v>
      </c>
      <c r="S27" s="2" t="s">
        <v>284</v>
      </c>
      <c r="W27" s="4" t="s">
        <v>122</v>
      </c>
      <c r="X27" s="4" t="s">
        <v>285</v>
      </c>
      <c r="Y27" s="4" t="s">
        <v>286</v>
      </c>
      <c r="Z27" s="4" t="s">
        <v>287</v>
      </c>
      <c r="AA27" s="4" t="s">
        <v>288</v>
      </c>
      <c r="AD27" s="2"/>
      <c r="AE27" s="2"/>
      <c r="AI27" s="4"/>
      <c r="AJ27" s="4"/>
      <c r="AK27" s="4"/>
      <c r="AL27" s="4"/>
      <c r="AM27" s="4"/>
    </row>
    <row r="28" spans="1:39">
      <c r="S28" s="7" t="s">
        <v>289</v>
      </c>
      <c r="AE28" s="7"/>
    </row>
    <row r="29" spans="1:39">
      <c r="S29" t="s">
        <v>650</v>
      </c>
      <c r="W29" s="8" t="s">
        <v>291</v>
      </c>
      <c r="X29" s="9">
        <v>0.1</v>
      </c>
      <c r="Y29" s="10">
        <f>X29*8/$W$26</f>
        <v>3.2000000000000002E-3</v>
      </c>
      <c r="Z29">
        <v>34.729999999999997</v>
      </c>
      <c r="AA29" s="12">
        <f>Y29*Z29</f>
        <v>0.111136</v>
      </c>
      <c r="AI29" s="8"/>
      <c r="AJ29" s="9"/>
      <c r="AK29" s="10"/>
      <c r="AM29" s="12"/>
    </row>
    <row r="30" spans="1:39">
      <c r="S30" t="s">
        <v>290</v>
      </c>
      <c r="W30" s="8" t="s">
        <v>291</v>
      </c>
      <c r="X30" s="9">
        <v>2</v>
      </c>
      <c r="Y30" s="10">
        <f>X30*8/$W$26</f>
        <v>6.4000000000000001E-2</v>
      </c>
      <c r="Z30" s="12">
        <v>28.94</v>
      </c>
      <c r="AA30" s="12">
        <f>Y30*Z30</f>
        <v>1.85216</v>
      </c>
      <c r="AI30" s="8"/>
      <c r="AJ30" s="9"/>
      <c r="AK30" s="10"/>
      <c r="AM30" s="12"/>
    </row>
    <row r="31" spans="1:39">
      <c r="S31" t="s">
        <v>293</v>
      </c>
      <c r="W31" s="8" t="s">
        <v>291</v>
      </c>
      <c r="X31" s="9">
        <v>1</v>
      </c>
      <c r="Y31" s="10">
        <f>X31*8/$W$26</f>
        <v>3.2000000000000001E-2</v>
      </c>
      <c r="Z31">
        <v>20.51</v>
      </c>
      <c r="AA31" s="12">
        <f>Y31*Z31</f>
        <v>0.65632000000000001</v>
      </c>
      <c r="AM31" s="6"/>
    </row>
    <row r="32" spans="1:39">
      <c r="AA32" s="6">
        <f>SUM(AA29:AA31)</f>
        <v>2.6196159999999997</v>
      </c>
      <c r="AE32" s="7"/>
    </row>
    <row r="33" spans="6:39">
      <c r="S33" s="7" t="s">
        <v>309</v>
      </c>
      <c r="AI33" s="8"/>
      <c r="AK33" s="10"/>
      <c r="AL33" s="12"/>
      <c r="AM33" s="12"/>
    </row>
    <row r="34" spans="6:39">
      <c r="S34" t="s">
        <v>310</v>
      </c>
      <c r="W34" s="8" t="s">
        <v>311</v>
      </c>
      <c r="Y34" s="10">
        <v>3</v>
      </c>
      <c r="Z34" s="12">
        <f>AA32</f>
        <v>2.6196159999999997</v>
      </c>
      <c r="AA34" s="12">
        <f>Y34%*Z34</f>
        <v>7.8588479999999988E-2</v>
      </c>
    </row>
    <row r="35" spans="6:39">
      <c r="S35" t="s">
        <v>651</v>
      </c>
      <c r="W35" s="8" t="s">
        <v>337</v>
      </c>
      <c r="X35" s="9">
        <v>1</v>
      </c>
      <c r="Y35" s="10">
        <f>X35*8/$W$26</f>
        <v>3.2000000000000001E-2</v>
      </c>
      <c r="Z35">
        <v>180</v>
      </c>
      <c r="AA35" s="12">
        <f>Y35*Z35</f>
        <v>5.76</v>
      </c>
      <c r="AI35" s="8"/>
      <c r="AJ35" s="9"/>
      <c r="AK35" s="10"/>
      <c r="AM35" s="12"/>
    </row>
    <row r="36" spans="6:39">
      <c r="R36" s="14"/>
      <c r="S36" s="14"/>
      <c r="T36" s="14"/>
      <c r="U36" s="14"/>
      <c r="V36" s="14"/>
      <c r="W36" s="14"/>
      <c r="X36" s="14"/>
      <c r="Y36" s="14"/>
      <c r="Z36" s="14"/>
      <c r="AA36" s="16">
        <f>SUM(AA34:AA35)</f>
        <v>5.8385884799999994</v>
      </c>
      <c r="AM36" s="6"/>
    </row>
    <row r="37" spans="6:39">
      <c r="S37" s="7"/>
      <c r="W37" s="8"/>
      <c r="X37" s="9"/>
      <c r="Y37" s="10"/>
      <c r="AE37" s="7"/>
      <c r="AI37" s="8"/>
      <c r="AJ37" s="9"/>
      <c r="AK37" s="10"/>
    </row>
    <row r="38" spans="6:39">
      <c r="Z38" s="12"/>
      <c r="AA38" s="12"/>
    </row>
    <row r="39" spans="6:39">
      <c r="F39" s="12"/>
      <c r="Z39" s="2"/>
      <c r="AA39" s="6"/>
      <c r="AL39" s="2"/>
      <c r="AM39" s="6"/>
    </row>
    <row r="41" spans="6:39">
      <c r="R41" s="2" t="s">
        <v>277</v>
      </c>
      <c r="S41" s="2"/>
      <c r="T41" s="2" t="s">
        <v>460</v>
      </c>
      <c r="U41" s="2"/>
    </row>
    <row r="42" spans="6:39">
      <c r="R42" s="2" t="s">
        <v>278</v>
      </c>
      <c r="S42" s="2" t="s">
        <v>416</v>
      </c>
      <c r="T42" s="4" t="s">
        <v>280</v>
      </c>
      <c r="U42" s="5">
        <v>4</v>
      </c>
      <c r="V42" s="4" t="s">
        <v>281</v>
      </c>
      <c r="W42" s="5">
        <f>U42</f>
        <v>4</v>
      </c>
      <c r="X42" s="2" t="s">
        <v>282</v>
      </c>
      <c r="Z42" s="4" t="s">
        <v>203</v>
      </c>
      <c r="AA42" s="6">
        <f>AA47+AA50</f>
        <v>49.404980000000002</v>
      </c>
    </row>
    <row r="43" spans="6:39">
      <c r="R43" s="2" t="s">
        <v>283</v>
      </c>
      <c r="S43" s="2" t="s">
        <v>284</v>
      </c>
      <c r="W43" s="4" t="s">
        <v>122</v>
      </c>
      <c r="X43" s="4" t="s">
        <v>285</v>
      </c>
      <c r="Y43" s="4" t="s">
        <v>286</v>
      </c>
      <c r="Z43" s="4" t="s">
        <v>287</v>
      </c>
      <c r="AA43" s="4" t="s">
        <v>288</v>
      </c>
      <c r="AD43" s="2"/>
    </row>
    <row r="44" spans="6:39">
      <c r="S44" s="7" t="s">
        <v>289</v>
      </c>
      <c r="AD44" s="2"/>
    </row>
    <row r="45" spans="6:39">
      <c r="S45" t="s">
        <v>650</v>
      </c>
      <c r="W45" s="8" t="s">
        <v>291</v>
      </c>
      <c r="X45" s="9">
        <v>0.1</v>
      </c>
      <c r="Y45" s="10">
        <f>X45*8/$W$42</f>
        <v>0.2</v>
      </c>
      <c r="Z45">
        <v>34.729999999999997</v>
      </c>
      <c r="AA45" s="12">
        <f>Y45*Z45</f>
        <v>6.9459999999999997</v>
      </c>
      <c r="AD45" s="2"/>
    </row>
    <row r="46" spans="6:39">
      <c r="S46" t="s">
        <v>293</v>
      </c>
      <c r="W46" s="8" t="s">
        <v>291</v>
      </c>
      <c r="X46" s="9">
        <v>1</v>
      </c>
      <c r="Y46" s="10">
        <f>X46*8/$W$42</f>
        <v>2</v>
      </c>
      <c r="Z46">
        <v>20.51</v>
      </c>
      <c r="AA46" s="12">
        <f>Y46*Z46</f>
        <v>41.02</v>
      </c>
      <c r="AD46" s="2"/>
    </row>
    <row r="47" spans="6:39">
      <c r="W47" s="8"/>
      <c r="X47" s="9"/>
      <c r="Y47" s="10"/>
      <c r="AA47" s="6">
        <f>SUM(AA45:AA46)</f>
        <v>47.966000000000001</v>
      </c>
      <c r="AD47" s="2"/>
    </row>
    <row r="48" spans="6:39">
      <c r="S48" s="7" t="s">
        <v>309</v>
      </c>
      <c r="AD48" s="2"/>
    </row>
    <row r="49" spans="18:27">
      <c r="S49" t="s">
        <v>310</v>
      </c>
      <c r="W49" s="8" t="s">
        <v>311</v>
      </c>
      <c r="Y49" s="10">
        <v>3</v>
      </c>
      <c r="Z49" s="12">
        <f>AA47</f>
        <v>47.966000000000001</v>
      </c>
      <c r="AA49" s="12">
        <f>Y49%*Z49</f>
        <v>1.4389799999999999</v>
      </c>
    </row>
    <row r="50" spans="18:27">
      <c r="R50" s="14"/>
      <c r="S50" s="14"/>
      <c r="T50" s="14"/>
      <c r="U50" s="14"/>
      <c r="V50" s="14"/>
      <c r="W50" s="14"/>
      <c r="X50" s="14"/>
      <c r="Y50" s="14"/>
      <c r="Z50" s="15"/>
      <c r="AA50" s="16">
        <f>SUM(AA49)</f>
        <v>1.4389799999999999</v>
      </c>
    </row>
    <row r="52" spans="18:27">
      <c r="R52" s="2" t="s">
        <v>277</v>
      </c>
      <c r="S52" s="2"/>
      <c r="T52" s="2" t="s">
        <v>462</v>
      </c>
      <c r="U52" s="2"/>
    </row>
    <row r="53" spans="18:27">
      <c r="R53" s="2" t="s">
        <v>278</v>
      </c>
      <c r="S53" s="2" t="s">
        <v>416</v>
      </c>
      <c r="T53" s="4" t="s">
        <v>280</v>
      </c>
      <c r="U53" s="5">
        <v>30</v>
      </c>
      <c r="V53" s="4" t="s">
        <v>281</v>
      </c>
      <c r="W53" s="5">
        <f>U53</f>
        <v>30</v>
      </c>
      <c r="X53" s="2" t="s">
        <v>282</v>
      </c>
      <c r="Z53" s="4" t="s">
        <v>203</v>
      </c>
      <c r="AA53" s="6">
        <f>AA59+AA63+AA67</f>
        <v>66.234217333333333</v>
      </c>
    </row>
    <row r="54" spans="18:27">
      <c r="R54" s="2" t="s">
        <v>283</v>
      </c>
      <c r="S54" s="2" t="s">
        <v>284</v>
      </c>
      <c r="W54" s="4" t="s">
        <v>122</v>
      </c>
      <c r="X54" s="4" t="s">
        <v>285</v>
      </c>
      <c r="Y54" s="4" t="s">
        <v>286</v>
      </c>
      <c r="Z54" s="4" t="s">
        <v>287</v>
      </c>
      <c r="AA54" s="4" t="s">
        <v>288</v>
      </c>
    </row>
    <row r="55" spans="18:27">
      <c r="S55" s="7" t="s">
        <v>289</v>
      </c>
    </row>
    <row r="56" spans="18:27">
      <c r="S56" t="s">
        <v>650</v>
      </c>
      <c r="W56" s="8" t="s">
        <v>291</v>
      </c>
      <c r="X56" s="9">
        <v>0.1</v>
      </c>
      <c r="Y56" s="10">
        <f>X56*8/$W$53</f>
        <v>2.6666666666666668E-2</v>
      </c>
      <c r="Z56">
        <v>34.729999999999997</v>
      </c>
      <c r="AA56" s="12">
        <f>Y56*Z56</f>
        <v>0.92613333333333336</v>
      </c>
    </row>
    <row r="57" spans="18:27">
      <c r="S57" t="s">
        <v>293</v>
      </c>
      <c r="W57" s="8" t="s">
        <v>291</v>
      </c>
      <c r="X57" s="9">
        <v>1</v>
      </c>
      <c r="Y57" s="10">
        <f>X57*8/$W$53</f>
        <v>0.26666666666666666</v>
      </c>
      <c r="Z57">
        <v>20.51</v>
      </c>
      <c r="AA57" s="12">
        <f>Y57*Z57</f>
        <v>5.469333333333334</v>
      </c>
    </row>
    <row r="58" spans="18:27">
      <c r="S58" t="s">
        <v>652</v>
      </c>
      <c r="W58" s="8" t="s">
        <v>291</v>
      </c>
      <c r="X58" s="9">
        <v>1</v>
      </c>
      <c r="Y58" s="10">
        <f>X58*8/$W$53</f>
        <v>0.26666666666666666</v>
      </c>
      <c r="Z58">
        <v>29.94</v>
      </c>
      <c r="AA58" s="12">
        <f>Y58*Z58</f>
        <v>7.984</v>
      </c>
    </row>
    <row r="59" spans="18:27">
      <c r="W59" s="8"/>
      <c r="X59" s="9"/>
      <c r="Y59" s="10"/>
      <c r="AA59" s="6">
        <f>SUM(AA56:AA58)</f>
        <v>14.379466666666668</v>
      </c>
    </row>
    <row r="60" spans="18:27">
      <c r="S60" s="7" t="s">
        <v>653</v>
      </c>
      <c r="W60" s="8"/>
      <c r="X60" s="9"/>
      <c r="Y60" s="10"/>
      <c r="AA60" s="12"/>
    </row>
    <row r="61" spans="18:27">
      <c r="S61" t="s">
        <v>654</v>
      </c>
      <c r="W61" s="8" t="s">
        <v>203</v>
      </c>
      <c r="X61" s="9"/>
      <c r="Y61" s="10">
        <v>1.05</v>
      </c>
      <c r="Z61" s="50">
        <v>44.07</v>
      </c>
      <c r="AA61" s="12">
        <f>Y61*Z61</f>
        <v>46.273500000000006</v>
      </c>
    </row>
    <row r="62" spans="18:27">
      <c r="S62" t="s">
        <v>655</v>
      </c>
      <c r="W62" s="8" t="s">
        <v>203</v>
      </c>
      <c r="X62" s="9"/>
      <c r="Y62" s="10">
        <v>0.08</v>
      </c>
      <c r="Z62">
        <v>6.14</v>
      </c>
      <c r="AA62" s="12">
        <f>Y62*Z62</f>
        <v>0.49119999999999997</v>
      </c>
    </row>
    <row r="63" spans="18:27">
      <c r="W63" s="8"/>
      <c r="Y63" s="10"/>
      <c r="AA63" s="6">
        <f>SUM(AA61:AA62)</f>
        <v>46.764700000000005</v>
      </c>
    </row>
    <row r="64" spans="18:27">
      <c r="S64" s="7" t="s">
        <v>309</v>
      </c>
    </row>
    <row r="65" spans="18:27">
      <c r="S65" t="s">
        <v>310</v>
      </c>
      <c r="W65" s="8" t="s">
        <v>311</v>
      </c>
      <c r="Y65" s="10">
        <v>3</v>
      </c>
      <c r="Z65" s="12">
        <f>AA59</f>
        <v>14.379466666666668</v>
      </c>
      <c r="AA65" s="12">
        <f>Y65%*Z65</f>
        <v>0.43138399999999999</v>
      </c>
    </row>
    <row r="66" spans="18:27">
      <c r="S66" t="s">
        <v>656</v>
      </c>
      <c r="W66" s="8" t="s">
        <v>337</v>
      </c>
      <c r="X66" s="9">
        <v>1</v>
      </c>
      <c r="Y66" s="10">
        <f>X66*8/$W$53</f>
        <v>0.26666666666666666</v>
      </c>
      <c r="Z66">
        <v>17.47</v>
      </c>
      <c r="AA66" s="12">
        <f>Y66*Z66</f>
        <v>4.6586666666666661</v>
      </c>
    </row>
    <row r="67" spans="18:27">
      <c r="R67" s="14"/>
      <c r="S67" s="14"/>
      <c r="T67" s="14"/>
      <c r="U67" s="14"/>
      <c r="V67" s="14"/>
      <c r="W67" s="14"/>
      <c r="X67" s="14"/>
      <c r="Y67" s="14"/>
      <c r="Z67" s="15"/>
      <c r="AA67" s="16">
        <f>SUM(AA65:AA66)</f>
        <v>5.0900506666666665</v>
      </c>
    </row>
    <row r="69" spans="18:27">
      <c r="R69" s="2" t="s">
        <v>277</v>
      </c>
      <c r="S69" s="2"/>
      <c r="T69" s="2" t="s">
        <v>464</v>
      </c>
      <c r="U69" s="2"/>
    </row>
    <row r="70" spans="18:27">
      <c r="R70" s="2" t="s">
        <v>278</v>
      </c>
      <c r="S70" s="2" t="s">
        <v>416</v>
      </c>
      <c r="T70" s="4" t="s">
        <v>280</v>
      </c>
      <c r="U70" s="5">
        <v>40</v>
      </c>
      <c r="V70" s="4" t="s">
        <v>281</v>
      </c>
      <c r="W70" s="5">
        <f>U70</f>
        <v>40</v>
      </c>
      <c r="X70" s="2" t="s">
        <v>282</v>
      </c>
      <c r="Z70" s="4" t="s">
        <v>203</v>
      </c>
      <c r="AA70" s="6">
        <f>AA76+AA84</f>
        <v>19.299630000000001</v>
      </c>
    </row>
    <row r="71" spans="18:27">
      <c r="R71" s="2" t="s">
        <v>283</v>
      </c>
      <c r="S71" s="2" t="s">
        <v>284</v>
      </c>
      <c r="W71" s="4" t="s">
        <v>122</v>
      </c>
      <c r="X71" s="4" t="s">
        <v>285</v>
      </c>
      <c r="Y71" s="4" t="s">
        <v>286</v>
      </c>
      <c r="Z71" s="4" t="s">
        <v>287</v>
      </c>
      <c r="AA71" s="4" t="s">
        <v>288</v>
      </c>
    </row>
    <row r="72" spans="18:27">
      <c r="S72" s="7" t="s">
        <v>289</v>
      </c>
    </row>
    <row r="73" spans="18:27">
      <c r="S73" t="s">
        <v>650</v>
      </c>
      <c r="W73" s="8" t="s">
        <v>291</v>
      </c>
      <c r="X73" s="9">
        <v>0.1</v>
      </c>
      <c r="Y73" s="10">
        <f>X73*8/$W$70</f>
        <v>0.02</v>
      </c>
      <c r="Z73">
        <v>34.729999999999997</v>
      </c>
      <c r="AA73" s="12">
        <f>Y73*Z73</f>
        <v>0.6946</v>
      </c>
    </row>
    <row r="74" spans="18:27">
      <c r="S74" t="s">
        <v>293</v>
      </c>
      <c r="W74" s="8" t="s">
        <v>291</v>
      </c>
      <c r="X74" s="9">
        <v>2</v>
      </c>
      <c r="Y74" s="10">
        <f>X74*8/$W$70</f>
        <v>0.4</v>
      </c>
      <c r="Z74">
        <v>20.51</v>
      </c>
      <c r="AA74" s="12">
        <f>Y74*Z74</f>
        <v>8.2040000000000006</v>
      </c>
    </row>
    <row r="75" spans="18:27">
      <c r="S75" t="s">
        <v>652</v>
      </c>
      <c r="W75" s="8" t="s">
        <v>291</v>
      </c>
      <c r="X75" s="9">
        <v>1</v>
      </c>
      <c r="Y75" s="10">
        <f>X75*8/$W$70</f>
        <v>0.2</v>
      </c>
      <c r="Z75">
        <v>29.94</v>
      </c>
      <c r="AA75" s="12">
        <f>Y75*Z75</f>
        <v>5.9880000000000004</v>
      </c>
    </row>
    <row r="76" spans="18:27">
      <c r="AA76" s="6">
        <f>SUM(AA73:AA75)</f>
        <v>14.886600000000001</v>
      </c>
    </row>
    <row r="77" spans="18:27">
      <c r="S77" s="7" t="s">
        <v>653</v>
      </c>
      <c r="W77" s="8"/>
      <c r="X77" s="9"/>
      <c r="Y77" s="10"/>
      <c r="AA77" s="12"/>
    </row>
    <row r="78" spans="18:27">
      <c r="S78" t="s">
        <v>655</v>
      </c>
      <c r="W78" s="8" t="s">
        <v>203</v>
      </c>
      <c r="X78" s="9"/>
      <c r="Y78" s="10">
        <v>0.08</v>
      </c>
      <c r="Z78">
        <v>6.14</v>
      </c>
      <c r="AA78" s="12">
        <f>Y78*Z78</f>
        <v>0.49119999999999997</v>
      </c>
    </row>
    <row r="79" spans="18:27">
      <c r="W79" s="8"/>
      <c r="Y79" s="10"/>
      <c r="AA79" s="6">
        <f>SUM(AA78:AA78)</f>
        <v>0.49119999999999997</v>
      </c>
    </row>
    <row r="80" spans="18:27">
      <c r="S80" s="7" t="s">
        <v>309</v>
      </c>
    </row>
    <row r="81" spans="18:27">
      <c r="S81" t="s">
        <v>310</v>
      </c>
      <c r="W81" s="8" t="s">
        <v>311</v>
      </c>
      <c r="Y81" s="10">
        <v>5</v>
      </c>
      <c r="Z81" s="12">
        <f>AA76</f>
        <v>14.886600000000001</v>
      </c>
      <c r="AA81" s="12">
        <f>Y81%*Z81</f>
        <v>0.74433000000000016</v>
      </c>
    </row>
    <row r="82" spans="18:27">
      <c r="S82" t="s">
        <v>656</v>
      </c>
      <c r="W82" s="8" t="s">
        <v>337</v>
      </c>
      <c r="X82" s="9">
        <v>1</v>
      </c>
      <c r="Y82" s="10">
        <f>X82*8/$W$70</f>
        <v>0.2</v>
      </c>
      <c r="Z82">
        <v>17.47</v>
      </c>
      <c r="AA82" s="12">
        <f>Y82*Z82</f>
        <v>3.4939999999999998</v>
      </c>
    </row>
    <row r="83" spans="18:27">
      <c r="S83" t="s">
        <v>657</v>
      </c>
      <c r="W83" s="8" t="s">
        <v>337</v>
      </c>
      <c r="X83" s="9">
        <v>0.05</v>
      </c>
      <c r="Y83" s="10">
        <f>X83*8/$W$70</f>
        <v>0.01</v>
      </c>
      <c r="Z83">
        <v>17.47</v>
      </c>
      <c r="AA83" s="12">
        <f>Y83*Z83</f>
        <v>0.17469999999999999</v>
      </c>
    </row>
    <row r="84" spans="18:27">
      <c r="R84" s="14"/>
      <c r="S84" s="14"/>
      <c r="T84" s="14"/>
      <c r="U84" s="14"/>
      <c r="V84" s="14"/>
      <c r="W84" s="14"/>
      <c r="X84" s="14"/>
      <c r="Y84" s="14"/>
      <c r="Z84" s="15"/>
      <c r="AA84" s="16">
        <f>SUM(AA81:AA83)</f>
        <v>4.4130299999999991</v>
      </c>
    </row>
    <row r="86" spans="18:27">
      <c r="R86" s="2" t="s">
        <v>277</v>
      </c>
      <c r="S86" s="2"/>
      <c r="T86" s="2" t="s">
        <v>468</v>
      </c>
      <c r="U86" s="2"/>
    </row>
    <row r="87" spans="18:27">
      <c r="R87" s="2" t="s">
        <v>278</v>
      </c>
      <c r="S87" s="2" t="s">
        <v>313</v>
      </c>
      <c r="T87" s="4" t="s">
        <v>280</v>
      </c>
      <c r="U87" s="5">
        <v>80</v>
      </c>
      <c r="V87" s="4" t="s">
        <v>281</v>
      </c>
      <c r="W87" s="5">
        <f>U87</f>
        <v>80</v>
      </c>
      <c r="X87" s="2" t="s">
        <v>282</v>
      </c>
      <c r="Z87" s="4" t="s">
        <v>144</v>
      </c>
      <c r="AA87" s="6">
        <f>AA91+AA95</f>
        <v>12.11253</v>
      </c>
    </row>
    <row r="88" spans="18:27">
      <c r="R88" s="2" t="s">
        <v>283</v>
      </c>
      <c r="S88" s="2" t="s">
        <v>284</v>
      </c>
      <c r="W88" s="4" t="s">
        <v>122</v>
      </c>
      <c r="X88" s="4" t="s">
        <v>285</v>
      </c>
      <c r="Y88" s="4" t="s">
        <v>286</v>
      </c>
      <c r="Z88" s="4" t="s">
        <v>287</v>
      </c>
      <c r="AA88" s="4" t="s">
        <v>288</v>
      </c>
    </row>
    <row r="89" spans="18:27">
      <c r="S89" s="7" t="s">
        <v>289</v>
      </c>
    </row>
    <row r="90" spans="18:27">
      <c r="S90" t="s">
        <v>293</v>
      </c>
      <c r="W90" s="8" t="s">
        <v>291</v>
      </c>
      <c r="X90" s="9">
        <v>1</v>
      </c>
      <c r="Y90" s="10">
        <f>X90*8/$U$87</f>
        <v>0.1</v>
      </c>
      <c r="Z90">
        <v>20.51</v>
      </c>
      <c r="AA90" s="12">
        <f>Y90*Z90</f>
        <v>2.0510000000000002</v>
      </c>
    </row>
    <row r="91" spans="18:27">
      <c r="W91" s="8"/>
      <c r="X91" s="9"/>
      <c r="Y91" s="10"/>
      <c r="AA91" s="6">
        <f>SUM(AA90:AA90)</f>
        <v>2.0510000000000002</v>
      </c>
    </row>
    <row r="92" spans="18:27">
      <c r="S92" s="7" t="s">
        <v>309</v>
      </c>
    </row>
    <row r="93" spans="18:27">
      <c r="S93" t="s">
        <v>310</v>
      </c>
      <c r="W93" s="8" t="s">
        <v>311</v>
      </c>
      <c r="Y93" s="10">
        <v>3</v>
      </c>
      <c r="Z93" s="12">
        <f>AA91</f>
        <v>2.0510000000000002</v>
      </c>
      <c r="AA93" s="12">
        <f>Y93%*Z93</f>
        <v>6.1530000000000001E-2</v>
      </c>
    </row>
    <row r="94" spans="18:27">
      <c r="S94" t="s">
        <v>660</v>
      </c>
      <c r="W94" s="8" t="s">
        <v>337</v>
      </c>
      <c r="X94" s="9">
        <v>1</v>
      </c>
      <c r="Y94" s="10">
        <f>X94*8/$U$87</f>
        <v>0.1</v>
      </c>
      <c r="Z94">
        <v>100</v>
      </c>
      <c r="AA94" s="12">
        <f>Y94*Z94</f>
        <v>10</v>
      </c>
    </row>
    <row r="95" spans="18:27">
      <c r="R95" s="14"/>
      <c r="S95" s="14"/>
      <c r="T95" s="14"/>
      <c r="U95" s="14"/>
      <c r="V95" s="14"/>
      <c r="W95" s="14"/>
      <c r="X95" s="14"/>
      <c r="Y95" s="14"/>
      <c r="Z95" s="15"/>
      <c r="AA95" s="16">
        <f>SUM(AA93:AA94)</f>
        <v>10.061529999999999</v>
      </c>
    </row>
    <row r="97" spans="18:38">
      <c r="R97" s="2" t="s">
        <v>277</v>
      </c>
      <c r="S97" s="2"/>
      <c r="T97" s="2" t="s">
        <v>470</v>
      </c>
      <c r="U97" s="2"/>
      <c r="AC97" s="2"/>
      <c r="AD97" s="2"/>
      <c r="AE97" s="2"/>
      <c r="AF97" s="2"/>
    </row>
    <row r="98" spans="18:38">
      <c r="R98" s="2" t="s">
        <v>278</v>
      </c>
      <c r="S98" s="2" t="s">
        <v>416</v>
      </c>
      <c r="T98" s="4" t="s">
        <v>280</v>
      </c>
      <c r="U98" s="5">
        <v>187.5</v>
      </c>
      <c r="V98" s="4" t="s">
        <v>281</v>
      </c>
      <c r="W98" s="5">
        <f>U98</f>
        <v>187.5</v>
      </c>
      <c r="X98" s="2" t="s">
        <v>282</v>
      </c>
      <c r="Z98" s="4" t="s">
        <v>203</v>
      </c>
      <c r="AA98" s="6">
        <f>AA103+AA108</f>
        <v>22.910007466666666</v>
      </c>
      <c r="AC98" s="2"/>
      <c r="AD98" s="2"/>
      <c r="AE98" s="4"/>
      <c r="AF98" s="5"/>
      <c r="AG98" s="4"/>
      <c r="AH98" s="5"/>
      <c r="AI98" s="2"/>
      <c r="AK98" s="4"/>
      <c r="AL98" s="6"/>
    </row>
    <row r="99" spans="18:38">
      <c r="R99" s="2" t="s">
        <v>283</v>
      </c>
      <c r="S99" s="2" t="s">
        <v>284</v>
      </c>
      <c r="W99" s="4" t="s">
        <v>122</v>
      </c>
      <c r="X99" s="4" t="s">
        <v>285</v>
      </c>
      <c r="Y99" s="4" t="s">
        <v>286</v>
      </c>
      <c r="Z99" s="4" t="s">
        <v>287</v>
      </c>
      <c r="AA99" s="4" t="s">
        <v>288</v>
      </c>
      <c r="AC99" s="2"/>
      <c r="AD99" s="2"/>
      <c r="AH99" s="4"/>
      <c r="AI99" s="4"/>
      <c r="AJ99" s="4"/>
      <c r="AK99" s="4"/>
      <c r="AL99" s="4"/>
    </row>
    <row r="100" spans="18:38">
      <c r="S100" s="7" t="s">
        <v>289</v>
      </c>
      <c r="AD100" s="7"/>
    </row>
    <row r="101" spans="18:38">
      <c r="S101" t="s">
        <v>292</v>
      </c>
      <c r="W101" s="8" t="s">
        <v>291</v>
      </c>
      <c r="X101" s="9">
        <v>1</v>
      </c>
      <c r="Y101" s="10">
        <f>X101*8/$U$98</f>
        <v>4.2666666666666665E-2</v>
      </c>
      <c r="Z101">
        <v>23.6</v>
      </c>
      <c r="AA101" s="12">
        <f>Y101*Z101</f>
        <v>1.0069333333333335</v>
      </c>
      <c r="AH101" s="8"/>
      <c r="AI101" s="9"/>
      <c r="AJ101" s="10"/>
      <c r="AK101" s="12"/>
      <c r="AL101" s="12"/>
    </row>
    <row r="102" spans="18:38">
      <c r="S102" t="s">
        <v>293</v>
      </c>
      <c r="W102" s="8" t="s">
        <v>291</v>
      </c>
      <c r="X102" s="9">
        <v>1</v>
      </c>
      <c r="Y102" s="10">
        <f>X102*8/$U$98</f>
        <v>4.2666666666666665E-2</v>
      </c>
      <c r="Z102">
        <v>20.51</v>
      </c>
      <c r="AA102" s="12">
        <f>Y102*Z102</f>
        <v>0.87509333333333339</v>
      </c>
      <c r="AH102" s="8"/>
      <c r="AI102" s="9"/>
      <c r="AJ102" s="10"/>
      <c r="AL102" s="12"/>
    </row>
    <row r="103" spans="18:38">
      <c r="W103" s="8"/>
      <c r="X103" s="9"/>
      <c r="Y103" s="10"/>
      <c r="AA103" s="6">
        <f>SUM(AA101:AA102)</f>
        <v>1.882026666666667</v>
      </c>
      <c r="AH103" s="8"/>
      <c r="AI103" s="9"/>
      <c r="AJ103" s="10"/>
      <c r="AL103" s="6"/>
    </row>
    <row r="104" spans="18:38">
      <c r="S104" s="7" t="s">
        <v>309</v>
      </c>
      <c r="AD104" s="7"/>
    </row>
    <row r="105" spans="18:38">
      <c r="S105" t="s">
        <v>310</v>
      </c>
      <c r="W105" s="8" t="s">
        <v>311</v>
      </c>
      <c r="Y105" s="10">
        <v>3</v>
      </c>
      <c r="Z105" s="12">
        <f>AA103</f>
        <v>1.882026666666667</v>
      </c>
      <c r="AA105" s="12">
        <f>Y105%*Z105</f>
        <v>5.6460800000000005E-2</v>
      </c>
      <c r="AH105" s="8"/>
      <c r="AJ105" s="10"/>
      <c r="AK105" s="12"/>
      <c r="AL105" s="12"/>
    </row>
    <row r="106" spans="18:38">
      <c r="S106" t="s">
        <v>661</v>
      </c>
      <c r="W106" s="8" t="s">
        <v>337</v>
      </c>
      <c r="X106" s="9">
        <v>1</v>
      </c>
      <c r="Y106" s="10">
        <f>X106*8/$U$98</f>
        <v>4.2666666666666665E-2</v>
      </c>
      <c r="Z106" s="50">
        <v>118.64</v>
      </c>
      <c r="AA106" s="12">
        <f>Y106*Z106</f>
        <v>5.0619733333333334</v>
      </c>
      <c r="AH106" s="8"/>
      <c r="AI106" s="9"/>
      <c r="AJ106" s="10"/>
      <c r="AK106" s="12"/>
      <c r="AL106" s="12"/>
    </row>
    <row r="107" spans="18:38">
      <c r="S107" t="s">
        <v>662</v>
      </c>
      <c r="W107" s="8" t="s">
        <v>337</v>
      </c>
      <c r="X107" s="9">
        <v>2</v>
      </c>
      <c r="Y107" s="10">
        <f>X107*8/$U$98</f>
        <v>8.533333333333333E-2</v>
      </c>
      <c r="Z107" s="50">
        <v>186.44</v>
      </c>
      <c r="AA107" s="12">
        <f>Y107*Z107</f>
        <v>15.909546666666666</v>
      </c>
      <c r="AH107" s="8"/>
      <c r="AI107" s="9"/>
      <c r="AJ107" s="10"/>
      <c r="AK107" s="12"/>
      <c r="AL107" s="12"/>
    </row>
    <row r="108" spans="18:38">
      <c r="R108" s="14"/>
      <c r="S108" s="14"/>
      <c r="T108" s="14"/>
      <c r="U108" s="14"/>
      <c r="V108" s="14"/>
      <c r="W108" s="14"/>
      <c r="X108" s="14"/>
      <c r="Y108" s="14"/>
      <c r="Z108" s="15"/>
      <c r="AA108" s="16">
        <f>SUM(AA105:AA107)</f>
        <v>21.027980799999998</v>
      </c>
      <c r="AD108" s="10"/>
      <c r="AK108" s="2"/>
      <c r="AL108" s="6"/>
    </row>
    <row r="110" spans="18:38">
      <c r="R110" s="31" t="s">
        <v>277</v>
      </c>
      <c r="S110" s="31"/>
      <c r="T110" s="31" t="s">
        <v>483</v>
      </c>
      <c r="U110" s="31"/>
    </row>
    <row r="111" spans="18:38">
      <c r="R111" s="31" t="s">
        <v>278</v>
      </c>
      <c r="S111" s="31" t="s">
        <v>279</v>
      </c>
      <c r="T111" s="32" t="s">
        <v>280</v>
      </c>
      <c r="U111" s="33">
        <v>50</v>
      </c>
      <c r="V111" s="32" t="s">
        <v>281</v>
      </c>
      <c r="W111" s="33">
        <f>U111</f>
        <v>50</v>
      </c>
      <c r="X111" s="31" t="s">
        <v>282</v>
      </c>
      <c r="Z111" s="32" t="s">
        <v>133</v>
      </c>
      <c r="AA111" s="34">
        <f>AA119+AA126+AA130</f>
        <v>238.34357440000002</v>
      </c>
    </row>
    <row r="112" spans="18:38">
      <c r="R112" s="31" t="s">
        <v>283</v>
      </c>
      <c r="S112" s="31" t="s">
        <v>284</v>
      </c>
      <c r="W112" s="32" t="s">
        <v>122</v>
      </c>
      <c r="X112" s="32" t="s">
        <v>285</v>
      </c>
      <c r="Y112" s="32" t="s">
        <v>286</v>
      </c>
      <c r="Z112" s="32" t="s">
        <v>287</v>
      </c>
      <c r="AA112" s="32" t="s">
        <v>288</v>
      </c>
    </row>
    <row r="113" spans="19:27">
      <c r="S113" s="35" t="s">
        <v>289</v>
      </c>
    </row>
    <row r="114" spans="19:27">
      <c r="S114" t="s">
        <v>650</v>
      </c>
      <c r="W114" s="8" t="s">
        <v>291</v>
      </c>
      <c r="X114" s="9">
        <v>0.1</v>
      </c>
      <c r="Y114" s="10">
        <f>X114*8/$U$111</f>
        <v>1.6E-2</v>
      </c>
      <c r="Z114">
        <v>34.729999999999997</v>
      </c>
      <c r="AA114" s="12">
        <f>Y114*Z114</f>
        <v>0.55567999999999995</v>
      </c>
    </row>
    <row r="115" spans="19:27">
      <c r="S115" t="s">
        <v>290</v>
      </c>
      <c r="W115" s="8" t="s">
        <v>291</v>
      </c>
      <c r="X115" s="9">
        <v>1</v>
      </c>
      <c r="Y115" s="10">
        <f>X115*8/$U$111</f>
        <v>0.16</v>
      </c>
      <c r="Z115" s="12">
        <v>28.94</v>
      </c>
      <c r="AA115" s="12">
        <f>Y115*Z115</f>
        <v>4.6304000000000007</v>
      </c>
    </row>
    <row r="116" spans="19:27">
      <c r="S116" t="s">
        <v>292</v>
      </c>
      <c r="W116" s="8" t="s">
        <v>291</v>
      </c>
      <c r="X116" s="9">
        <v>2</v>
      </c>
      <c r="Y116" s="10">
        <f>X116*8/$U$111</f>
        <v>0.32</v>
      </c>
      <c r="Z116" s="12">
        <v>23.6</v>
      </c>
      <c r="AA116" s="12">
        <f>Y116*Z116</f>
        <v>7.5520000000000005</v>
      </c>
    </row>
    <row r="117" spans="19:27">
      <c r="S117" t="s">
        <v>293</v>
      </c>
      <c r="W117" s="8" t="s">
        <v>291</v>
      </c>
      <c r="X117" s="9">
        <v>5</v>
      </c>
      <c r="Y117" s="10">
        <f>X117*8/$U$111</f>
        <v>0.8</v>
      </c>
      <c r="Z117" s="12">
        <v>21.36</v>
      </c>
      <c r="AA117" s="12">
        <f>Y117*Z117</f>
        <v>17.088000000000001</v>
      </c>
    </row>
    <row r="118" spans="19:27">
      <c r="S118" t="s">
        <v>652</v>
      </c>
      <c r="W118" s="8" t="s">
        <v>291</v>
      </c>
      <c r="X118" s="9">
        <v>1</v>
      </c>
      <c r="Y118" s="10">
        <f>X118*8/$U$111</f>
        <v>0.16</v>
      </c>
      <c r="Z118">
        <v>29.94</v>
      </c>
      <c r="AA118" s="12">
        <f>Y118*Z118</f>
        <v>4.7904</v>
      </c>
    </row>
    <row r="119" spans="19:27">
      <c r="W119" s="8"/>
      <c r="X119" s="9"/>
      <c r="Y119" s="10"/>
      <c r="AA119" s="34">
        <f>SUM(AA114:AA118)</f>
        <v>34.616480000000003</v>
      </c>
    </row>
    <row r="120" spans="19:27">
      <c r="S120" s="35" t="s">
        <v>653</v>
      </c>
      <c r="W120" s="8"/>
      <c r="X120" s="9"/>
      <c r="Y120" s="10"/>
      <c r="AA120" s="12"/>
    </row>
    <row r="121" spans="19:27">
      <c r="S121" t="s">
        <v>306</v>
      </c>
      <c r="W121" s="8" t="s">
        <v>307</v>
      </c>
      <c r="Y121" s="10">
        <v>3.8</v>
      </c>
      <c r="Z121" s="12">
        <v>24.52</v>
      </c>
      <c r="AA121" s="12">
        <f>Y121*Z121</f>
        <v>93.175999999999988</v>
      </c>
    </row>
    <row r="122" spans="19:27">
      <c r="S122" t="s">
        <v>655</v>
      </c>
      <c r="W122" s="8" t="s">
        <v>203</v>
      </c>
      <c r="Y122" s="10">
        <v>0.08</v>
      </c>
      <c r="Z122">
        <v>6.14</v>
      </c>
      <c r="AA122" s="12">
        <f>Y122*Z122</f>
        <v>0.49119999999999997</v>
      </c>
    </row>
    <row r="123" spans="19:27">
      <c r="S123" t="s">
        <v>665</v>
      </c>
      <c r="W123" s="8" t="s">
        <v>439</v>
      </c>
      <c r="Y123" s="10">
        <v>0.5</v>
      </c>
      <c r="Z123">
        <v>13.93</v>
      </c>
      <c r="AA123" s="12">
        <f>Y123*Z123</f>
        <v>6.9649999999999999</v>
      </c>
    </row>
    <row r="124" spans="19:27">
      <c r="S124" t="s">
        <v>302</v>
      </c>
      <c r="W124" s="8" t="s">
        <v>203</v>
      </c>
      <c r="Y124" s="10">
        <v>0.93</v>
      </c>
      <c r="Z124" s="17">
        <v>70.92</v>
      </c>
      <c r="AA124" s="12">
        <f>Y124*Z124</f>
        <v>65.955600000000004</v>
      </c>
    </row>
    <row r="125" spans="19:27">
      <c r="S125" t="s">
        <v>666</v>
      </c>
      <c r="W125" s="8" t="s">
        <v>203</v>
      </c>
      <c r="Y125" s="10">
        <v>0.4</v>
      </c>
      <c r="Z125" s="17">
        <v>80</v>
      </c>
      <c r="AA125" s="12">
        <f>Y125*Z125</f>
        <v>32</v>
      </c>
    </row>
    <row r="126" spans="19:27">
      <c r="W126" s="8"/>
      <c r="Y126" s="10"/>
      <c r="Z126" s="12"/>
      <c r="AA126" s="34">
        <f>SUM(AA121:AA125)</f>
        <v>198.58780000000002</v>
      </c>
    </row>
    <row r="127" spans="19:27">
      <c r="S127" s="35" t="s">
        <v>309</v>
      </c>
    </row>
    <row r="128" spans="19:27">
      <c r="S128" t="s">
        <v>310</v>
      </c>
      <c r="W128" s="8" t="s">
        <v>311</v>
      </c>
      <c r="Y128" s="10">
        <v>3</v>
      </c>
      <c r="Z128" s="12">
        <f>AA119</f>
        <v>34.616480000000003</v>
      </c>
      <c r="AA128" s="12">
        <f>Y128%*Z128</f>
        <v>1.0384944</v>
      </c>
    </row>
    <row r="129" spans="18:27">
      <c r="S129" t="s">
        <v>667</v>
      </c>
      <c r="W129" s="8" t="s">
        <v>337</v>
      </c>
      <c r="X129" s="9">
        <v>1</v>
      </c>
      <c r="Y129" s="10">
        <f>X129*8/$U$111</f>
        <v>0.16</v>
      </c>
      <c r="Z129" s="12">
        <v>25.63</v>
      </c>
      <c r="AA129" s="12">
        <f>Y129*Z129</f>
        <v>4.1007999999999996</v>
      </c>
    </row>
    <row r="130" spans="18:27">
      <c r="R130" s="14"/>
      <c r="S130" s="14"/>
      <c r="T130" s="14"/>
      <c r="U130" s="14"/>
      <c r="V130" s="14"/>
      <c r="W130" s="14"/>
      <c r="X130" s="14"/>
      <c r="Y130" s="14"/>
      <c r="Z130" s="14"/>
      <c r="AA130" s="36">
        <f>SUM(AA128:AA129)</f>
        <v>5.1392943999999998</v>
      </c>
    </row>
    <row r="132" spans="18:27">
      <c r="R132" s="31" t="s">
        <v>277</v>
      </c>
      <c r="S132" s="31"/>
      <c r="T132" s="31" t="s">
        <v>668</v>
      </c>
      <c r="U132" s="31"/>
    </row>
    <row r="133" spans="18:27">
      <c r="R133" s="31" t="s">
        <v>278</v>
      </c>
      <c r="S133" s="31" t="s">
        <v>279</v>
      </c>
      <c r="T133" s="32" t="s">
        <v>280</v>
      </c>
      <c r="U133" s="33">
        <v>110</v>
      </c>
      <c r="V133" s="32" t="s">
        <v>281</v>
      </c>
      <c r="W133" s="33">
        <f>U133</f>
        <v>110</v>
      </c>
      <c r="X133" s="31" t="s">
        <v>282</v>
      </c>
      <c r="Z133" s="32" t="s">
        <v>133</v>
      </c>
      <c r="AA133" s="34">
        <f>AA139+AA145+AA149</f>
        <v>39.620881818181815</v>
      </c>
    </row>
    <row r="134" spans="18:27">
      <c r="R134" s="31" t="s">
        <v>283</v>
      </c>
      <c r="S134" s="31" t="s">
        <v>284</v>
      </c>
      <c r="W134" s="32" t="s">
        <v>122</v>
      </c>
      <c r="X134" s="32" t="s">
        <v>285</v>
      </c>
      <c r="Y134" s="32" t="s">
        <v>286</v>
      </c>
      <c r="Z134" s="32" t="s">
        <v>287</v>
      </c>
      <c r="AA134" s="32" t="s">
        <v>288</v>
      </c>
    </row>
    <row r="135" spans="18:27">
      <c r="S135" s="35" t="s">
        <v>289</v>
      </c>
    </row>
    <row r="136" spans="18:27">
      <c r="S136" t="s">
        <v>290</v>
      </c>
      <c r="W136" s="8" t="s">
        <v>291</v>
      </c>
      <c r="X136" s="9">
        <v>2</v>
      </c>
      <c r="Y136" s="10">
        <f>X136*8/$U$133</f>
        <v>0.14545454545454545</v>
      </c>
      <c r="Z136" s="12">
        <v>28.94</v>
      </c>
      <c r="AA136" s="12">
        <f>Y136*Z136</f>
        <v>4.2094545454545456</v>
      </c>
    </row>
    <row r="137" spans="18:27">
      <c r="S137" t="s">
        <v>292</v>
      </c>
      <c r="W137" s="8" t="s">
        <v>291</v>
      </c>
      <c r="X137" s="9">
        <v>1</v>
      </c>
      <c r="Y137" s="10">
        <f>X137*8/$U$133</f>
        <v>7.2727272727272724E-2</v>
      </c>
      <c r="Z137" s="12">
        <v>23.6</v>
      </c>
      <c r="AA137" s="12">
        <f>Y137*Z137</f>
        <v>1.7163636363636363</v>
      </c>
    </row>
    <row r="138" spans="18:27">
      <c r="S138" t="s">
        <v>293</v>
      </c>
      <c r="W138" s="8" t="s">
        <v>291</v>
      </c>
      <c r="X138" s="9">
        <v>6</v>
      </c>
      <c r="Y138" s="10">
        <f>X138*8/$U$133</f>
        <v>0.43636363636363634</v>
      </c>
      <c r="Z138" s="12">
        <v>21.36</v>
      </c>
      <c r="AA138" s="12">
        <f>Y138*Z138</f>
        <v>9.3207272727272716</v>
      </c>
    </row>
    <row r="139" spans="18:27">
      <c r="W139" s="8"/>
      <c r="X139" s="9"/>
      <c r="Y139" s="10"/>
      <c r="AA139" s="34">
        <f>SUM(AA136:AA138)</f>
        <v>15.246545454545453</v>
      </c>
    </row>
    <row r="140" spans="18:27">
      <c r="S140" s="35" t="s">
        <v>653</v>
      </c>
      <c r="W140" s="8"/>
      <c r="X140" s="9"/>
      <c r="Y140" s="10"/>
      <c r="AA140" s="12"/>
    </row>
    <row r="141" spans="18:27">
      <c r="S141" t="s">
        <v>306</v>
      </c>
      <c r="W141" s="8" t="s">
        <v>307</v>
      </c>
      <c r="Y141" s="10">
        <v>0.42</v>
      </c>
      <c r="Z141" s="12">
        <v>24.52</v>
      </c>
      <c r="AA141" s="12">
        <f>Y141*Z141</f>
        <v>10.298399999999999</v>
      </c>
    </row>
    <row r="142" spans="18:27">
      <c r="S142" t="s">
        <v>655</v>
      </c>
      <c r="W142" s="8" t="s">
        <v>203</v>
      </c>
      <c r="Y142" s="10">
        <v>2.5000000000000001E-2</v>
      </c>
      <c r="Z142">
        <v>6.14</v>
      </c>
      <c r="AA142" s="12">
        <f>Y142*Z142</f>
        <v>0.1535</v>
      </c>
    </row>
    <row r="143" spans="18:27">
      <c r="S143" t="s">
        <v>302</v>
      </c>
      <c r="W143" s="8" t="s">
        <v>203</v>
      </c>
      <c r="Y143" s="10">
        <v>0.16200000000000001</v>
      </c>
      <c r="Z143" s="17">
        <v>70.92</v>
      </c>
      <c r="AA143" s="12">
        <f>Y143*Z143</f>
        <v>11.489040000000001</v>
      </c>
    </row>
    <row r="144" spans="18:27">
      <c r="S144" t="s">
        <v>669</v>
      </c>
      <c r="W144" s="8" t="s">
        <v>305</v>
      </c>
      <c r="Y144" s="10">
        <v>0.18</v>
      </c>
      <c r="Z144" s="12">
        <v>5.8</v>
      </c>
      <c r="AA144" s="12">
        <f>Y144*Z144</f>
        <v>1.044</v>
      </c>
    </row>
    <row r="145" spans="18:27">
      <c r="W145" s="8"/>
      <c r="Y145" s="10"/>
      <c r="Z145" s="12"/>
      <c r="AA145" s="34">
        <f>SUM(AA141:AA144)</f>
        <v>22.984939999999998</v>
      </c>
    </row>
    <row r="146" spans="18:27">
      <c r="S146" s="35" t="s">
        <v>309</v>
      </c>
    </row>
    <row r="147" spans="18:27">
      <c r="S147" t="s">
        <v>310</v>
      </c>
      <c r="W147" s="8" t="s">
        <v>311</v>
      </c>
      <c r="Y147" s="10">
        <v>3</v>
      </c>
      <c r="Z147" s="12">
        <f>AA139</f>
        <v>15.246545454545453</v>
      </c>
      <c r="AA147" s="12">
        <f>Y147%*Z147</f>
        <v>0.4573963636363636</v>
      </c>
    </row>
    <row r="148" spans="18:27">
      <c r="S148" t="s">
        <v>667</v>
      </c>
      <c r="W148" s="8" t="s">
        <v>337</v>
      </c>
      <c r="X148" s="9">
        <v>0.5</v>
      </c>
      <c r="Y148" s="10">
        <f>X148*8/$U$133</f>
        <v>3.6363636363636362E-2</v>
      </c>
      <c r="Z148" s="12">
        <v>25.63</v>
      </c>
      <c r="AA148" s="12">
        <f>Y148*Z148</f>
        <v>0.93199999999999994</v>
      </c>
    </row>
    <row r="149" spans="18:27">
      <c r="R149" s="14"/>
      <c r="S149" s="14"/>
      <c r="T149" s="14"/>
      <c r="U149" s="14"/>
      <c r="V149" s="14"/>
      <c r="W149" s="14"/>
      <c r="X149" s="14"/>
      <c r="Y149" s="14"/>
      <c r="Z149" s="14"/>
      <c r="AA149" s="36">
        <f>SUM(AA147:AA148)</f>
        <v>1.3893963636363635</v>
      </c>
    </row>
    <row r="151" spans="18:27">
      <c r="R151" s="31" t="s">
        <v>277</v>
      </c>
      <c r="S151" s="31"/>
      <c r="T151" s="31" t="s">
        <v>496</v>
      </c>
      <c r="U151" s="31"/>
    </row>
    <row r="152" spans="18:27">
      <c r="R152" s="31" t="s">
        <v>278</v>
      </c>
      <c r="S152" s="31" t="s">
        <v>416</v>
      </c>
      <c r="T152" s="32" t="s">
        <v>280</v>
      </c>
      <c r="U152" s="33">
        <v>25</v>
      </c>
      <c r="V152" s="32" t="s">
        <v>281</v>
      </c>
      <c r="W152" s="33">
        <f>U152</f>
        <v>25</v>
      </c>
      <c r="X152" s="31" t="s">
        <v>282</v>
      </c>
      <c r="Z152" s="32" t="s">
        <v>203</v>
      </c>
      <c r="AA152" s="34">
        <f>AA158+AA166+AA171</f>
        <v>507.816056</v>
      </c>
    </row>
    <row r="153" spans="18:27">
      <c r="R153" s="31" t="s">
        <v>283</v>
      </c>
      <c r="S153" s="31" t="s">
        <v>284</v>
      </c>
      <c r="W153" s="32" t="s">
        <v>122</v>
      </c>
      <c r="X153" s="32" t="s">
        <v>285</v>
      </c>
      <c r="Y153" s="32" t="s">
        <v>286</v>
      </c>
      <c r="Z153" s="32" t="s">
        <v>287</v>
      </c>
      <c r="AA153" s="32" t="s">
        <v>288</v>
      </c>
    </row>
    <row r="154" spans="18:27">
      <c r="S154" s="35" t="s">
        <v>289</v>
      </c>
    </row>
    <row r="155" spans="18:27">
      <c r="S155" t="s">
        <v>290</v>
      </c>
      <c r="W155" s="8" t="s">
        <v>291</v>
      </c>
      <c r="X155" s="9">
        <v>2</v>
      </c>
      <c r="Y155" s="10">
        <f>X155*8/$U$152</f>
        <v>0.64</v>
      </c>
      <c r="Z155" s="12">
        <v>28.94</v>
      </c>
      <c r="AA155" s="12">
        <f>Y155*Z155</f>
        <v>18.521600000000003</v>
      </c>
    </row>
    <row r="156" spans="18:27">
      <c r="S156" t="s">
        <v>292</v>
      </c>
      <c r="W156" s="8" t="s">
        <v>291</v>
      </c>
      <c r="X156" s="9">
        <v>2</v>
      </c>
      <c r="Y156" s="10">
        <f>X156*8/$U$152</f>
        <v>0.64</v>
      </c>
      <c r="Z156" s="12">
        <v>23.6</v>
      </c>
      <c r="AA156" s="12">
        <f>Y156*Z156</f>
        <v>15.104000000000001</v>
      </c>
    </row>
    <row r="157" spans="18:27">
      <c r="S157" t="s">
        <v>293</v>
      </c>
      <c r="W157" s="8" t="s">
        <v>291</v>
      </c>
      <c r="X157" s="9">
        <v>8</v>
      </c>
      <c r="Y157" s="10">
        <f>X157*8/$U$152</f>
        <v>2.56</v>
      </c>
      <c r="Z157" s="12">
        <v>21.36</v>
      </c>
      <c r="AA157" s="12">
        <f>Y157*Z157</f>
        <v>54.681600000000003</v>
      </c>
    </row>
    <row r="158" spans="18:27">
      <c r="W158" s="8"/>
      <c r="X158" s="9"/>
      <c r="Y158" s="10"/>
      <c r="AA158" s="34">
        <f>SUM(AA155:AA157)</f>
        <v>88.307200000000009</v>
      </c>
    </row>
    <row r="159" spans="18:27">
      <c r="S159" s="35" t="s">
        <v>653</v>
      </c>
      <c r="W159" s="8"/>
      <c r="X159" s="9"/>
      <c r="Y159" s="10"/>
      <c r="AA159" s="12"/>
    </row>
    <row r="160" spans="18:27">
      <c r="S160" t="s">
        <v>672</v>
      </c>
      <c r="W160" s="8" t="s">
        <v>203</v>
      </c>
      <c r="Y160" s="10">
        <v>0.53</v>
      </c>
      <c r="Z160" s="12">
        <v>55.08</v>
      </c>
      <c r="AA160" s="12">
        <f>Y160*Z160</f>
        <v>29.192399999999999</v>
      </c>
    </row>
    <row r="161" spans="18:27">
      <c r="S161" t="s">
        <v>673</v>
      </c>
      <c r="W161" s="8" t="s">
        <v>203</v>
      </c>
      <c r="Y161" s="10">
        <v>0.52</v>
      </c>
      <c r="Z161" s="12">
        <v>47</v>
      </c>
      <c r="AA161" s="12">
        <f>Y161*Z161</f>
        <v>24.44</v>
      </c>
    </row>
    <row r="162" spans="18:27">
      <c r="S162" t="s">
        <v>306</v>
      </c>
      <c r="W162" s="8" t="s">
        <v>307</v>
      </c>
      <c r="Y162" s="10">
        <v>9.73</v>
      </c>
      <c r="Z162" s="12">
        <v>24.52</v>
      </c>
      <c r="AA162" s="12">
        <f>Y162*Z162</f>
        <v>238.5796</v>
      </c>
    </row>
    <row r="163" spans="18:27">
      <c r="S163" t="s">
        <v>655</v>
      </c>
      <c r="W163" s="8" t="s">
        <v>203</v>
      </c>
      <c r="Y163" s="10">
        <v>0.186</v>
      </c>
      <c r="Z163">
        <v>6.14</v>
      </c>
      <c r="AA163" s="12">
        <f>Y163*Z163</f>
        <v>1.1420399999999999</v>
      </c>
    </row>
    <row r="164" spans="18:27">
      <c r="S164" t="s">
        <v>665</v>
      </c>
      <c r="W164" s="8" t="s">
        <v>439</v>
      </c>
      <c r="Y164" s="10">
        <v>0.36</v>
      </c>
      <c r="Z164">
        <v>13.93</v>
      </c>
      <c r="AA164" s="12">
        <f>Y164*Z164</f>
        <v>5.0148000000000001</v>
      </c>
    </row>
    <row r="165" spans="18:27">
      <c r="S165" t="s">
        <v>674</v>
      </c>
      <c r="W165" s="8" t="s">
        <v>439</v>
      </c>
      <c r="Y165" s="10">
        <v>4.5999999999999996</v>
      </c>
      <c r="Z165" s="17">
        <v>23.73</v>
      </c>
      <c r="AA165" s="12">
        <f>Y165*Z165</f>
        <v>109.15799999999999</v>
      </c>
    </row>
    <row r="166" spans="18:27">
      <c r="W166" s="8"/>
      <c r="Y166" s="10"/>
      <c r="Z166" s="12"/>
      <c r="AA166" s="34">
        <f>SUM(AA160:AA165)</f>
        <v>407.52683999999999</v>
      </c>
    </row>
    <row r="167" spans="18:27">
      <c r="S167" s="35" t="s">
        <v>309</v>
      </c>
    </row>
    <row r="168" spans="18:27">
      <c r="S168" t="s">
        <v>310</v>
      </c>
      <c r="W168" s="8" t="s">
        <v>311</v>
      </c>
      <c r="Y168" s="10">
        <v>3</v>
      </c>
      <c r="Z168" s="12">
        <f>AA158</f>
        <v>88.307200000000009</v>
      </c>
      <c r="AA168" s="12">
        <f>Y168%*Z168</f>
        <v>2.649216</v>
      </c>
    </row>
    <row r="169" spans="18:27">
      <c r="S169" t="s">
        <v>667</v>
      </c>
      <c r="W169" s="8" t="s">
        <v>337</v>
      </c>
      <c r="X169" s="9">
        <v>1</v>
      </c>
      <c r="Y169" s="10">
        <f>X169*8/$U$152</f>
        <v>0.32</v>
      </c>
      <c r="Z169" s="12">
        <v>25.63</v>
      </c>
      <c r="AA169" s="12">
        <f>Y169*Z169</f>
        <v>8.2015999999999991</v>
      </c>
    </row>
    <row r="170" spans="18:27">
      <c r="S170" t="s">
        <v>675</v>
      </c>
      <c r="W170" s="8" t="s">
        <v>337</v>
      </c>
      <c r="X170" s="9">
        <v>0.5</v>
      </c>
      <c r="Y170" s="10">
        <f>X170*8/$U$152</f>
        <v>0.16</v>
      </c>
      <c r="Z170" s="12">
        <v>7.07</v>
      </c>
      <c r="AA170" s="12">
        <f>Y170*Z170</f>
        <v>1.1312</v>
      </c>
    </row>
    <row r="171" spans="18:27">
      <c r="R171" s="14"/>
      <c r="S171" s="14"/>
      <c r="T171" s="14"/>
      <c r="U171" s="14"/>
      <c r="V171" s="14"/>
      <c r="W171" s="14"/>
      <c r="X171" s="14"/>
      <c r="Y171" s="14"/>
      <c r="Z171" s="14"/>
      <c r="AA171" s="36">
        <f>SUM(AA168:AA170)</f>
        <v>11.982015999999998</v>
      </c>
    </row>
    <row r="173" spans="18:27">
      <c r="R173" s="31" t="s">
        <v>277</v>
      </c>
      <c r="S173" s="31"/>
      <c r="T173" s="31" t="s">
        <v>676</v>
      </c>
      <c r="U173" s="31"/>
    </row>
    <row r="174" spans="18:27">
      <c r="R174" s="31" t="s">
        <v>278</v>
      </c>
      <c r="S174" s="31" t="s">
        <v>279</v>
      </c>
      <c r="T174" s="32" t="s">
        <v>280</v>
      </c>
      <c r="U174" s="33">
        <v>8</v>
      </c>
      <c r="V174" s="32" t="s">
        <v>281</v>
      </c>
      <c r="W174" s="33">
        <f>U174</f>
        <v>8</v>
      </c>
      <c r="X174" s="31" t="s">
        <v>282</v>
      </c>
      <c r="Z174" s="32" t="s">
        <v>133</v>
      </c>
      <c r="AA174" s="34">
        <f>AA179+AA184+AA187</f>
        <v>75.114200000000011</v>
      </c>
    </row>
    <row r="175" spans="18:27">
      <c r="R175" s="31" t="s">
        <v>283</v>
      </c>
      <c r="S175" s="31" t="s">
        <v>284</v>
      </c>
      <c r="W175" s="32" t="s">
        <v>122</v>
      </c>
      <c r="X175" s="32" t="s">
        <v>285</v>
      </c>
      <c r="Y175" s="32" t="s">
        <v>286</v>
      </c>
      <c r="Z175" s="32" t="s">
        <v>287</v>
      </c>
      <c r="AA175" s="32" t="s">
        <v>288</v>
      </c>
    </row>
    <row r="176" spans="18:27">
      <c r="S176" s="35" t="s">
        <v>289</v>
      </c>
    </row>
    <row r="177" spans="18:27">
      <c r="S177" t="s">
        <v>290</v>
      </c>
      <c r="W177" s="8" t="s">
        <v>291</v>
      </c>
      <c r="X177" s="9">
        <v>1</v>
      </c>
      <c r="Y177" s="10">
        <f>X177*8/$U$174</f>
        <v>1</v>
      </c>
      <c r="Z177" s="12">
        <v>28.94</v>
      </c>
      <c r="AA177" s="12">
        <f>Y177*Z177</f>
        <v>28.94</v>
      </c>
    </row>
    <row r="178" spans="18:27">
      <c r="S178" t="s">
        <v>292</v>
      </c>
      <c r="W178" s="8" t="s">
        <v>291</v>
      </c>
      <c r="X178" s="9">
        <v>1</v>
      </c>
      <c r="Y178" s="10">
        <f>X178*8/$U$174</f>
        <v>1</v>
      </c>
      <c r="Z178" s="12">
        <v>23.6</v>
      </c>
      <c r="AA178" s="12">
        <f>Y178*Z178</f>
        <v>23.6</v>
      </c>
    </row>
    <row r="179" spans="18:27">
      <c r="W179" s="8"/>
      <c r="X179" s="9"/>
      <c r="Y179" s="10"/>
      <c r="AA179" s="34">
        <f>SUM(AA177:AA178)</f>
        <v>52.540000000000006</v>
      </c>
    </row>
    <row r="180" spans="18:27">
      <c r="S180" s="35" t="s">
        <v>653</v>
      </c>
      <c r="W180" s="8"/>
      <c r="X180" s="9"/>
      <c r="Y180" s="10"/>
      <c r="AA180" s="12"/>
    </row>
    <row r="181" spans="18:27">
      <c r="S181" t="s">
        <v>677</v>
      </c>
      <c r="W181" s="8" t="s">
        <v>296</v>
      </c>
      <c r="Y181" s="10">
        <v>0.26</v>
      </c>
      <c r="Z181" s="12">
        <v>2.64</v>
      </c>
      <c r="AA181" s="12">
        <f>Y181*Z181</f>
        <v>0.68640000000000001</v>
      </c>
    </row>
    <row r="182" spans="18:27">
      <c r="S182" t="s">
        <v>301</v>
      </c>
      <c r="W182" s="8" t="s">
        <v>296</v>
      </c>
      <c r="Y182" s="10">
        <v>0.16</v>
      </c>
      <c r="Z182" s="12">
        <v>5.51</v>
      </c>
      <c r="AA182" s="12">
        <f>Y182*Z182</f>
        <v>0.88159999999999994</v>
      </c>
    </row>
    <row r="183" spans="18:27">
      <c r="S183" t="s">
        <v>669</v>
      </c>
      <c r="W183" s="8" t="s">
        <v>305</v>
      </c>
      <c r="Y183" s="10">
        <v>3.35</v>
      </c>
      <c r="Z183" s="12">
        <v>5.8</v>
      </c>
      <c r="AA183" s="12">
        <f>Y183*Z183</f>
        <v>19.43</v>
      </c>
    </row>
    <row r="184" spans="18:27">
      <c r="W184" s="8"/>
      <c r="Y184" s="10"/>
      <c r="Z184" s="12"/>
      <c r="AA184" s="34">
        <f>SUM(AA181:AA183)</f>
        <v>20.998000000000001</v>
      </c>
    </row>
    <row r="185" spans="18:27">
      <c r="S185" s="35" t="s">
        <v>309</v>
      </c>
    </row>
    <row r="186" spans="18:27">
      <c r="S186" t="s">
        <v>310</v>
      </c>
      <c r="W186" s="8" t="s">
        <v>311</v>
      </c>
      <c r="Y186" s="10">
        <v>3</v>
      </c>
      <c r="Z186" s="12">
        <f>AA179</f>
        <v>52.540000000000006</v>
      </c>
      <c r="AA186" s="12">
        <f>Y186%*Z186</f>
        <v>1.5762</v>
      </c>
    </row>
    <row r="187" spans="18:27">
      <c r="R187" s="14"/>
      <c r="S187" s="14"/>
      <c r="T187" s="14"/>
      <c r="U187" s="14"/>
      <c r="V187" s="14"/>
      <c r="W187" s="14"/>
      <c r="X187" s="14"/>
      <c r="Y187" s="14"/>
      <c r="Z187" s="14"/>
      <c r="AA187" s="36">
        <f>SUM(AA186)</f>
        <v>1.5762</v>
      </c>
    </row>
    <row r="190" spans="18:27">
      <c r="R190" s="31" t="s">
        <v>277</v>
      </c>
      <c r="S190" s="31"/>
      <c r="T190" s="31" t="s">
        <v>498</v>
      </c>
      <c r="U190" s="31"/>
    </row>
    <row r="191" spans="18:27">
      <c r="R191" s="31" t="s">
        <v>278</v>
      </c>
      <c r="S191" s="31" t="s">
        <v>678</v>
      </c>
      <c r="T191" s="32" t="s">
        <v>280</v>
      </c>
      <c r="U191" s="33">
        <v>250</v>
      </c>
      <c r="V191" s="32" t="s">
        <v>281</v>
      </c>
      <c r="W191" s="33">
        <f>U191</f>
        <v>250</v>
      </c>
      <c r="X191" s="31" t="s">
        <v>282</v>
      </c>
      <c r="Z191" s="32" t="s">
        <v>296</v>
      </c>
      <c r="AA191" s="34">
        <f>AA196+AA200+AA204</f>
        <v>5.5639628445000007</v>
      </c>
    </row>
    <row r="192" spans="18:27">
      <c r="R192" s="31" t="s">
        <v>283</v>
      </c>
      <c r="S192" s="31" t="s">
        <v>284</v>
      </c>
      <c r="W192" s="32" t="s">
        <v>122</v>
      </c>
      <c r="X192" s="32" t="s">
        <v>285</v>
      </c>
      <c r="Y192" s="32" t="s">
        <v>286</v>
      </c>
      <c r="Z192" s="32" t="s">
        <v>287</v>
      </c>
      <c r="AA192" s="32" t="s">
        <v>288</v>
      </c>
    </row>
    <row r="193" spans="18:27">
      <c r="S193" s="47" t="s">
        <v>289</v>
      </c>
      <c r="X193" s="9"/>
    </row>
    <row r="194" spans="18:27">
      <c r="S194" t="s">
        <v>290</v>
      </c>
      <c r="W194" s="8" t="s">
        <v>291</v>
      </c>
      <c r="X194" s="9">
        <v>1</v>
      </c>
      <c r="Y194" s="10">
        <f>X194*8/$U$191</f>
        <v>3.2000000000000001E-2</v>
      </c>
      <c r="Z194" s="12">
        <v>28.94</v>
      </c>
      <c r="AA194" s="12">
        <f>Y194*Z194</f>
        <v>0.92608000000000001</v>
      </c>
    </row>
    <row r="195" spans="18:27">
      <c r="S195" t="s">
        <v>679</v>
      </c>
      <c r="W195" s="8" t="s">
        <v>291</v>
      </c>
      <c r="X195" s="9">
        <v>1</v>
      </c>
      <c r="Y195" s="10">
        <f>X195*8/$U$191</f>
        <v>3.2000000000000001E-2</v>
      </c>
      <c r="Z195" s="12">
        <v>23.6</v>
      </c>
      <c r="AA195" s="12">
        <f>Y195*Z195</f>
        <v>0.75520000000000009</v>
      </c>
    </row>
    <row r="196" spans="18:27">
      <c r="W196" s="8"/>
      <c r="X196" s="9"/>
      <c r="AA196" s="48">
        <f>SUM(AA194:AA195)</f>
        <v>1.6812800000000001</v>
      </c>
    </row>
    <row r="197" spans="18:27">
      <c r="S197" s="47" t="s">
        <v>294</v>
      </c>
      <c r="W197" s="8"/>
      <c r="X197" s="9"/>
      <c r="Y197" s="18"/>
    </row>
    <row r="198" spans="18:27">
      <c r="S198" t="s">
        <v>295</v>
      </c>
      <c r="W198" s="8" t="s">
        <v>296</v>
      </c>
      <c r="X198" s="9"/>
      <c r="Y198" s="18">
        <v>0.03</v>
      </c>
      <c r="Z198" s="12">
        <v>2.64</v>
      </c>
      <c r="AA198" s="12">
        <f>Y198*Z198</f>
        <v>7.9200000000000007E-2</v>
      </c>
    </row>
    <row r="199" spans="18:27">
      <c r="S199" t="s">
        <v>680</v>
      </c>
      <c r="W199" s="8" t="s">
        <v>296</v>
      </c>
      <c r="X199" s="9"/>
      <c r="Y199" s="18">
        <v>1.05</v>
      </c>
      <c r="Z199" s="12">
        <f>1012.71*3.379/1000</f>
        <v>3.4219470900000002</v>
      </c>
      <c r="AA199" s="12">
        <f>Y199*Z199</f>
        <v>3.5930444445000003</v>
      </c>
    </row>
    <row r="200" spans="18:27">
      <c r="W200" s="8"/>
      <c r="X200" s="9"/>
      <c r="AA200" s="48">
        <f>SUM(AA198:AA199)</f>
        <v>3.6722444445000004</v>
      </c>
    </row>
    <row r="201" spans="18:27">
      <c r="S201" s="47" t="s">
        <v>317</v>
      </c>
      <c r="W201" s="8"/>
      <c r="X201" s="9"/>
    </row>
    <row r="202" spans="18:27">
      <c r="S202" t="s">
        <v>310</v>
      </c>
      <c r="W202" s="8" t="s">
        <v>311</v>
      </c>
      <c r="Y202" s="10">
        <v>3</v>
      </c>
      <c r="Z202" s="12">
        <f>AA196</f>
        <v>1.6812800000000001</v>
      </c>
      <c r="AA202" s="12">
        <f>Y202%*Z202</f>
        <v>5.0438400000000001E-2</v>
      </c>
    </row>
    <row r="203" spans="18:27">
      <c r="S203" t="s">
        <v>681</v>
      </c>
      <c r="W203" s="8" t="s">
        <v>291</v>
      </c>
      <c r="X203" s="9">
        <v>1</v>
      </c>
      <c r="Y203" s="10">
        <f>X203*8/$U$191</f>
        <v>3.2000000000000001E-2</v>
      </c>
      <c r="Z203" s="50">
        <v>5</v>
      </c>
      <c r="AA203" s="12">
        <f>Y203*Z203</f>
        <v>0.16</v>
      </c>
    </row>
    <row r="204" spans="18:27">
      <c r="R204" s="14"/>
      <c r="S204" s="14"/>
      <c r="T204" s="14"/>
      <c r="U204" s="14"/>
      <c r="V204" s="14"/>
      <c r="W204" s="14"/>
      <c r="X204" s="14"/>
      <c r="Y204" s="14"/>
      <c r="Z204" s="14"/>
      <c r="AA204" s="49">
        <f>SUM(AA202:AA203)</f>
        <v>0.2104384</v>
      </c>
    </row>
    <row r="206" spans="18:27">
      <c r="R206" s="31" t="s">
        <v>277</v>
      </c>
      <c r="S206" s="31"/>
      <c r="T206" s="31" t="s">
        <v>685</v>
      </c>
      <c r="U206" s="31"/>
    </row>
    <row r="207" spans="18:27">
      <c r="R207" s="31" t="s">
        <v>278</v>
      </c>
      <c r="S207" s="31" t="s">
        <v>416</v>
      </c>
      <c r="T207" s="32" t="s">
        <v>280</v>
      </c>
      <c r="U207" s="33">
        <v>15</v>
      </c>
      <c r="V207" s="32" t="s">
        <v>281</v>
      </c>
      <c r="W207" s="33">
        <f>U207</f>
        <v>15</v>
      </c>
      <c r="X207" s="31" t="s">
        <v>282</v>
      </c>
      <c r="Z207" s="32" t="s">
        <v>203</v>
      </c>
      <c r="AA207" s="34">
        <f>AA213+AA220+AA225</f>
        <v>424.92179999999996</v>
      </c>
    </row>
    <row r="208" spans="18:27">
      <c r="R208" s="31" t="s">
        <v>283</v>
      </c>
      <c r="S208" s="31" t="s">
        <v>284</v>
      </c>
      <c r="W208" s="32" t="s">
        <v>122</v>
      </c>
      <c r="X208" s="32" t="s">
        <v>285</v>
      </c>
      <c r="Y208" s="32" t="s">
        <v>286</v>
      </c>
      <c r="Z208" s="32" t="s">
        <v>287</v>
      </c>
      <c r="AA208" s="32" t="s">
        <v>288</v>
      </c>
    </row>
    <row r="209" spans="19:27">
      <c r="S209" s="35" t="s">
        <v>289</v>
      </c>
    </row>
    <row r="210" spans="19:27">
      <c r="S210" t="s">
        <v>290</v>
      </c>
      <c r="W210" s="8" t="s">
        <v>291</v>
      </c>
      <c r="X210" s="9">
        <v>1</v>
      </c>
      <c r="Y210" s="10">
        <f>X210*8/$U$207</f>
        <v>0.53333333333333333</v>
      </c>
      <c r="Z210" s="12">
        <v>28.94</v>
      </c>
      <c r="AA210" s="12">
        <f>Y210*Z210</f>
        <v>15.434666666666667</v>
      </c>
    </row>
    <row r="211" spans="19:27">
      <c r="S211" t="s">
        <v>292</v>
      </c>
      <c r="W211" s="8" t="s">
        <v>291</v>
      </c>
      <c r="X211" s="9">
        <v>1</v>
      </c>
      <c r="Y211" s="10">
        <f>X211*8/$U$207</f>
        <v>0.53333333333333333</v>
      </c>
      <c r="Z211" s="12">
        <v>23.6</v>
      </c>
      <c r="AA211" s="12">
        <f>Y211*Z211</f>
        <v>12.586666666666668</v>
      </c>
    </row>
    <row r="212" spans="19:27">
      <c r="S212" t="s">
        <v>293</v>
      </c>
      <c r="W212" s="8" t="s">
        <v>291</v>
      </c>
      <c r="X212" s="9">
        <v>7</v>
      </c>
      <c r="Y212" s="10">
        <f>X212*8/$U$207</f>
        <v>3.7333333333333334</v>
      </c>
      <c r="Z212" s="12">
        <v>21.36</v>
      </c>
      <c r="AA212" s="12">
        <f>Y212*Z212</f>
        <v>79.744</v>
      </c>
    </row>
    <row r="213" spans="19:27">
      <c r="W213" s="8"/>
      <c r="X213" s="9"/>
      <c r="Y213" s="10"/>
      <c r="AA213" s="34">
        <f>SUM(AA210:AA212)</f>
        <v>107.76533333333333</v>
      </c>
    </row>
    <row r="214" spans="19:27">
      <c r="S214" s="35" t="s">
        <v>653</v>
      </c>
      <c r="W214" s="8"/>
      <c r="X214" s="9"/>
      <c r="Y214" s="10"/>
      <c r="AA214" s="12"/>
    </row>
    <row r="215" spans="19:27">
      <c r="S215" t="s">
        <v>672</v>
      </c>
      <c r="W215" s="8" t="s">
        <v>203</v>
      </c>
      <c r="Y215" s="10">
        <v>0.53</v>
      </c>
      <c r="Z215" s="12">
        <v>55.08</v>
      </c>
      <c r="AA215" s="12">
        <f>Y215*Z215</f>
        <v>29.192399999999999</v>
      </c>
    </row>
    <row r="216" spans="19:27">
      <c r="S216" t="s">
        <v>673</v>
      </c>
      <c r="W216" s="8" t="s">
        <v>203</v>
      </c>
      <c r="Y216" s="10">
        <v>0.52</v>
      </c>
      <c r="Z216" s="12">
        <v>47</v>
      </c>
      <c r="AA216" s="12">
        <f>Y216*Z216</f>
        <v>24.44</v>
      </c>
    </row>
    <row r="217" spans="19:27">
      <c r="S217" t="s">
        <v>306</v>
      </c>
      <c r="W217" s="8" t="s">
        <v>307</v>
      </c>
      <c r="Y217" s="10">
        <v>9.73</v>
      </c>
      <c r="Z217" s="12">
        <v>24.52</v>
      </c>
      <c r="AA217" s="12">
        <f>Y217*Z217</f>
        <v>238.5796</v>
      </c>
    </row>
    <row r="218" spans="19:27">
      <c r="S218" t="s">
        <v>655</v>
      </c>
      <c r="W218" s="8" t="s">
        <v>203</v>
      </c>
      <c r="Y218" s="10">
        <v>0.186</v>
      </c>
      <c r="Z218">
        <v>6.14</v>
      </c>
      <c r="AA218" s="12">
        <f>Y218*Z218</f>
        <v>1.1420399999999999</v>
      </c>
    </row>
    <row r="219" spans="19:27">
      <c r="S219" t="s">
        <v>665</v>
      </c>
      <c r="W219" s="8" t="s">
        <v>439</v>
      </c>
      <c r="Y219" s="10">
        <v>0.36</v>
      </c>
      <c r="Z219">
        <v>13.93</v>
      </c>
      <c r="AA219" s="12">
        <f>Y219*Z219</f>
        <v>5.0148000000000001</v>
      </c>
    </row>
    <row r="220" spans="19:27">
      <c r="W220" s="8"/>
      <c r="Y220" s="10"/>
      <c r="Z220" s="12"/>
      <c r="AA220" s="34">
        <f>SUM(AA215:AA219)</f>
        <v>298.36883999999998</v>
      </c>
    </row>
    <row r="221" spans="19:27">
      <c r="S221" s="35" t="s">
        <v>309</v>
      </c>
    </row>
    <row r="222" spans="19:27">
      <c r="S222" t="s">
        <v>310</v>
      </c>
      <c r="W222" s="8" t="s">
        <v>311</v>
      </c>
      <c r="Y222" s="10">
        <v>3</v>
      </c>
      <c r="Z222" s="12">
        <f>AA213</f>
        <v>107.76533333333333</v>
      </c>
      <c r="AA222" s="12">
        <f>Y222%*Z222</f>
        <v>3.2329599999999998</v>
      </c>
    </row>
    <row r="223" spans="19:27">
      <c r="S223" t="s">
        <v>667</v>
      </c>
      <c r="W223" s="8" t="s">
        <v>337</v>
      </c>
      <c r="X223" s="9">
        <v>1</v>
      </c>
      <c r="Y223" s="10">
        <f>X223*8/$U$207</f>
        <v>0.53333333333333333</v>
      </c>
      <c r="Z223" s="12">
        <v>25.63</v>
      </c>
      <c r="AA223" s="12">
        <f>Y223*Z223</f>
        <v>13.669333333333332</v>
      </c>
    </row>
    <row r="224" spans="19:27">
      <c r="S224" t="s">
        <v>675</v>
      </c>
      <c r="W224" s="8" t="s">
        <v>337</v>
      </c>
      <c r="X224" s="9">
        <v>0.5</v>
      </c>
      <c r="Y224" s="10">
        <f>X224*8/$U$207</f>
        <v>0.26666666666666666</v>
      </c>
      <c r="Z224" s="12">
        <v>7.07</v>
      </c>
      <c r="AA224" s="12">
        <f>Y224*Z224</f>
        <v>1.8853333333333333</v>
      </c>
    </row>
    <row r="225" spans="18:27">
      <c r="R225" s="14"/>
      <c r="S225" s="14"/>
      <c r="T225" s="14"/>
      <c r="U225" s="14"/>
      <c r="V225" s="14"/>
      <c r="W225" s="14"/>
      <c r="X225" s="14"/>
      <c r="Y225" s="14"/>
      <c r="Z225" s="14"/>
      <c r="AA225" s="36">
        <f>SUM(AA222:AA224)</f>
        <v>18.787626666666664</v>
      </c>
    </row>
    <row r="227" spans="18:27">
      <c r="R227" s="31" t="s">
        <v>277</v>
      </c>
      <c r="S227" s="31"/>
      <c r="T227" s="31" t="s">
        <v>686</v>
      </c>
      <c r="U227" s="31"/>
    </row>
    <row r="228" spans="18:27">
      <c r="R228" s="31" t="s">
        <v>278</v>
      </c>
      <c r="S228" s="31" t="s">
        <v>279</v>
      </c>
      <c r="T228" s="32" t="s">
        <v>280</v>
      </c>
      <c r="U228" s="33">
        <v>20</v>
      </c>
      <c r="V228" s="32" t="s">
        <v>281</v>
      </c>
      <c r="W228" s="33">
        <f>U228</f>
        <v>20</v>
      </c>
      <c r="X228" s="31" t="s">
        <v>282</v>
      </c>
      <c r="Z228" s="32" t="s">
        <v>133</v>
      </c>
      <c r="AA228" s="34">
        <f>AA233+AA238+AA241</f>
        <v>42.644480000000001</v>
      </c>
    </row>
    <row r="229" spans="18:27">
      <c r="R229" s="31" t="s">
        <v>283</v>
      </c>
      <c r="S229" s="31" t="s">
        <v>284</v>
      </c>
      <c r="W229" s="32" t="s">
        <v>122</v>
      </c>
      <c r="X229" s="32" t="s">
        <v>285</v>
      </c>
      <c r="Y229" s="32" t="s">
        <v>286</v>
      </c>
      <c r="Z229" s="32" t="s">
        <v>287</v>
      </c>
      <c r="AA229" s="32" t="s">
        <v>288</v>
      </c>
    </row>
    <row r="230" spans="18:27">
      <c r="S230" s="35" t="s">
        <v>289</v>
      </c>
    </row>
    <row r="231" spans="18:27">
      <c r="S231" t="s">
        <v>290</v>
      </c>
      <c r="W231" s="8" t="s">
        <v>291</v>
      </c>
      <c r="X231" s="9">
        <v>1</v>
      </c>
      <c r="Y231" s="10">
        <f>X231*8/$U$228</f>
        <v>0.4</v>
      </c>
      <c r="Z231" s="12">
        <v>28.94</v>
      </c>
      <c r="AA231" s="12">
        <f>Y231*Z231</f>
        <v>11.576000000000001</v>
      </c>
    </row>
    <row r="232" spans="18:27">
      <c r="S232" t="s">
        <v>292</v>
      </c>
      <c r="W232" s="8" t="s">
        <v>291</v>
      </c>
      <c r="X232" s="9">
        <v>1</v>
      </c>
      <c r="Y232" s="10">
        <f>X232*8/$U$228</f>
        <v>0.4</v>
      </c>
      <c r="Z232" s="12">
        <v>23.6</v>
      </c>
      <c r="AA232" s="12">
        <f>Y232*Z232</f>
        <v>9.4400000000000013</v>
      </c>
    </row>
    <row r="233" spans="18:27">
      <c r="W233" s="8"/>
      <c r="X233" s="9"/>
      <c r="Y233" s="10"/>
      <c r="AA233" s="34">
        <f>SUM(AA231:AA232)</f>
        <v>21.016000000000002</v>
      </c>
    </row>
    <row r="234" spans="18:27">
      <c r="S234" s="35" t="s">
        <v>653</v>
      </c>
      <c r="W234" s="8"/>
      <c r="X234" s="9"/>
      <c r="Y234" s="10"/>
      <c r="AA234" s="12"/>
    </row>
    <row r="235" spans="18:27">
      <c r="S235" t="s">
        <v>677</v>
      </c>
      <c r="W235" s="8" t="s">
        <v>296</v>
      </c>
      <c r="Y235" s="10">
        <v>0.26</v>
      </c>
      <c r="Z235" s="12">
        <v>2.64</v>
      </c>
      <c r="AA235" s="12">
        <f>Y235*Z235</f>
        <v>0.68640000000000001</v>
      </c>
    </row>
    <row r="236" spans="18:27">
      <c r="S236" t="s">
        <v>301</v>
      </c>
      <c r="W236" s="8" t="s">
        <v>296</v>
      </c>
      <c r="Y236" s="10">
        <v>0.16</v>
      </c>
      <c r="Z236" s="12">
        <v>5.51</v>
      </c>
      <c r="AA236" s="12">
        <f>Y236*Z236</f>
        <v>0.88159999999999994</v>
      </c>
    </row>
    <row r="237" spans="18:27">
      <c r="S237" t="s">
        <v>669</v>
      </c>
      <c r="W237" s="8" t="s">
        <v>305</v>
      </c>
      <c r="Y237" s="10">
        <v>3.35</v>
      </c>
      <c r="Z237" s="12">
        <v>5.8</v>
      </c>
      <c r="AA237" s="12">
        <f>Y237*Z237</f>
        <v>19.43</v>
      </c>
    </row>
    <row r="238" spans="18:27">
      <c r="W238" s="8"/>
      <c r="Y238" s="10"/>
      <c r="Z238" s="12"/>
      <c r="AA238" s="34">
        <f>SUM(AA235:AA237)</f>
        <v>20.998000000000001</v>
      </c>
    </row>
    <row r="239" spans="18:27">
      <c r="S239" s="35" t="s">
        <v>309</v>
      </c>
    </row>
    <row r="240" spans="18:27">
      <c r="S240" t="s">
        <v>310</v>
      </c>
      <c r="W240" s="8" t="s">
        <v>311</v>
      </c>
      <c r="Y240" s="10">
        <v>3</v>
      </c>
      <c r="Z240" s="12">
        <f>AA233</f>
        <v>21.016000000000002</v>
      </c>
      <c r="AA240" s="12">
        <f>Y240%*Z240</f>
        <v>0.63048000000000004</v>
      </c>
    </row>
    <row r="241" spans="18:27">
      <c r="R241" s="14"/>
      <c r="S241" s="14"/>
      <c r="T241" s="14"/>
      <c r="U241" s="14"/>
      <c r="V241" s="14"/>
      <c r="W241" s="14"/>
      <c r="X241" s="14"/>
      <c r="Y241" s="14"/>
      <c r="Z241" s="14"/>
      <c r="AA241" s="36">
        <f>SUM(AA240)</f>
        <v>0.63048000000000004</v>
      </c>
    </row>
    <row r="243" spans="18:27">
      <c r="R243" s="31" t="s">
        <v>277</v>
      </c>
      <c r="S243" s="31"/>
      <c r="T243" s="31" t="s">
        <v>687</v>
      </c>
      <c r="U243" s="31"/>
    </row>
    <row r="244" spans="18:27">
      <c r="R244" s="31" t="s">
        <v>278</v>
      </c>
      <c r="S244" s="31" t="s">
        <v>678</v>
      </c>
      <c r="T244" s="32" t="s">
        <v>280</v>
      </c>
      <c r="U244" s="33">
        <v>250</v>
      </c>
      <c r="V244" s="32" t="s">
        <v>281</v>
      </c>
      <c r="W244" s="33">
        <f>U244</f>
        <v>250</v>
      </c>
      <c r="X244" s="31" t="s">
        <v>282</v>
      </c>
      <c r="Z244" s="32" t="s">
        <v>296</v>
      </c>
      <c r="AA244" s="34">
        <f>AA249+AA253+AA257</f>
        <v>5.5639628445000007</v>
      </c>
    </row>
    <row r="245" spans="18:27">
      <c r="R245" s="31" t="s">
        <v>283</v>
      </c>
      <c r="S245" s="31" t="s">
        <v>284</v>
      </c>
      <c r="W245" s="32" t="s">
        <v>122</v>
      </c>
      <c r="X245" s="32" t="s">
        <v>285</v>
      </c>
      <c r="Y245" s="32" t="s">
        <v>286</v>
      </c>
      <c r="Z245" s="32" t="s">
        <v>287</v>
      </c>
      <c r="AA245" s="32" t="s">
        <v>288</v>
      </c>
    </row>
    <row r="246" spans="18:27">
      <c r="S246" s="47" t="s">
        <v>289</v>
      </c>
      <c r="X246" s="9"/>
    </row>
    <row r="247" spans="18:27">
      <c r="S247" t="s">
        <v>290</v>
      </c>
      <c r="W247" s="8" t="s">
        <v>291</v>
      </c>
      <c r="X247" s="9">
        <v>1</v>
      </c>
      <c r="Y247" s="10">
        <f>X247*8/$U$244</f>
        <v>3.2000000000000001E-2</v>
      </c>
      <c r="Z247" s="12">
        <v>28.94</v>
      </c>
      <c r="AA247" s="12">
        <f>Y247*Z247</f>
        <v>0.92608000000000001</v>
      </c>
    </row>
    <row r="248" spans="18:27">
      <c r="S248" t="s">
        <v>679</v>
      </c>
      <c r="W248" s="8" t="s">
        <v>291</v>
      </c>
      <c r="X248" s="9">
        <v>1</v>
      </c>
      <c r="Y248" s="10">
        <f>X248*8/$U$244</f>
        <v>3.2000000000000001E-2</v>
      </c>
      <c r="Z248" s="12">
        <v>23.6</v>
      </c>
      <c r="AA248" s="12">
        <f>Y248*Z248</f>
        <v>0.75520000000000009</v>
      </c>
    </row>
    <row r="249" spans="18:27">
      <c r="W249" s="8"/>
      <c r="X249" s="9"/>
      <c r="AA249" s="48">
        <f>SUM(AA247:AA248)</f>
        <v>1.6812800000000001</v>
      </c>
    </row>
    <row r="250" spans="18:27">
      <c r="S250" s="47" t="s">
        <v>294</v>
      </c>
      <c r="W250" s="8"/>
      <c r="X250" s="9"/>
      <c r="Y250" s="18"/>
    </row>
    <row r="251" spans="18:27">
      <c r="S251" t="s">
        <v>295</v>
      </c>
      <c r="W251" s="8" t="s">
        <v>296</v>
      </c>
      <c r="X251" s="9"/>
      <c r="Y251" s="18">
        <v>0.03</v>
      </c>
      <c r="Z251" s="12">
        <v>2.64</v>
      </c>
      <c r="AA251" s="12">
        <f>Y251*Z251</f>
        <v>7.9200000000000007E-2</v>
      </c>
    </row>
    <row r="252" spans="18:27">
      <c r="S252" t="s">
        <v>680</v>
      </c>
      <c r="W252" s="8" t="s">
        <v>296</v>
      </c>
      <c r="X252" s="9"/>
      <c r="Y252" s="18">
        <v>1.05</v>
      </c>
      <c r="Z252" s="12">
        <f>1012.71*3.379/1000</f>
        <v>3.4219470900000002</v>
      </c>
      <c r="AA252" s="12">
        <f>Y252*Z252</f>
        <v>3.5930444445000003</v>
      </c>
    </row>
    <row r="253" spans="18:27">
      <c r="W253" s="8"/>
      <c r="X253" s="9"/>
      <c r="AA253" s="48">
        <f>SUM(AA251:AA252)</f>
        <v>3.6722444445000004</v>
      </c>
    </row>
    <row r="254" spans="18:27">
      <c r="S254" s="47" t="s">
        <v>317</v>
      </c>
      <c r="W254" s="8"/>
      <c r="X254" s="9"/>
    </row>
    <row r="255" spans="18:27">
      <c r="S255" t="s">
        <v>310</v>
      </c>
      <c r="W255" s="8" t="s">
        <v>311</v>
      </c>
      <c r="Y255" s="10">
        <v>3</v>
      </c>
      <c r="Z255" s="12">
        <f>AA249</f>
        <v>1.6812800000000001</v>
      </c>
      <c r="AA255" s="12">
        <f>Y255%*Z255</f>
        <v>5.0438400000000001E-2</v>
      </c>
    </row>
    <row r="256" spans="18:27">
      <c r="S256" t="s">
        <v>681</v>
      </c>
      <c r="W256" s="8" t="s">
        <v>291</v>
      </c>
      <c r="X256" s="9">
        <v>1</v>
      </c>
      <c r="Y256" s="10">
        <f>X256*8/$U$244</f>
        <v>3.2000000000000001E-2</v>
      </c>
      <c r="Z256" s="50">
        <v>5</v>
      </c>
      <c r="AA256" s="12">
        <f>Y256*Z256</f>
        <v>0.16</v>
      </c>
    </row>
    <row r="257" spans="18:27">
      <c r="R257" s="14"/>
      <c r="S257" s="14"/>
      <c r="T257" s="14"/>
      <c r="U257" s="14"/>
      <c r="V257" s="14"/>
      <c r="W257" s="14"/>
      <c r="X257" s="14"/>
      <c r="Y257" s="14"/>
      <c r="Z257" s="14"/>
      <c r="AA257" s="49">
        <f>SUM(AA255:AA256)</f>
        <v>0.2104384</v>
      </c>
    </row>
    <row r="259" spans="18:27">
      <c r="R259" s="31" t="s">
        <v>277</v>
      </c>
      <c r="S259" s="31"/>
      <c r="T259" s="31" t="s">
        <v>510</v>
      </c>
      <c r="U259" s="31"/>
    </row>
    <row r="260" spans="18:27">
      <c r="R260" s="31" t="s">
        <v>278</v>
      </c>
      <c r="S260" s="31" t="s">
        <v>416</v>
      </c>
      <c r="T260" s="32" t="s">
        <v>280</v>
      </c>
      <c r="U260" s="33">
        <v>18</v>
      </c>
      <c r="V260" s="32" t="s">
        <v>281</v>
      </c>
      <c r="W260" s="33">
        <f>U260</f>
        <v>18</v>
      </c>
      <c r="X260" s="31" t="s">
        <v>282</v>
      </c>
      <c r="Z260" s="32" t="s">
        <v>203</v>
      </c>
      <c r="AA260" s="34">
        <f>AA266+AA274+AA279</f>
        <v>536.0138622222222</v>
      </c>
    </row>
    <row r="261" spans="18:27">
      <c r="R261" s="31" t="s">
        <v>283</v>
      </c>
      <c r="S261" s="31" t="s">
        <v>284</v>
      </c>
      <c r="W261" s="32" t="s">
        <v>122</v>
      </c>
      <c r="X261" s="32" t="s">
        <v>285</v>
      </c>
      <c r="Y261" s="32" t="s">
        <v>286</v>
      </c>
      <c r="Z261" s="32" t="s">
        <v>287</v>
      </c>
      <c r="AA261" s="32" t="s">
        <v>288</v>
      </c>
    </row>
    <row r="262" spans="18:27">
      <c r="S262" s="35" t="s">
        <v>289</v>
      </c>
    </row>
    <row r="263" spans="18:27">
      <c r="S263" t="s">
        <v>290</v>
      </c>
      <c r="W263" s="8" t="s">
        <v>291</v>
      </c>
      <c r="X263" s="9">
        <v>2</v>
      </c>
      <c r="Y263" s="10">
        <f>X263*8/$U$260</f>
        <v>0.88888888888888884</v>
      </c>
      <c r="Z263" s="12">
        <v>28.94</v>
      </c>
      <c r="AA263" s="12">
        <f>Y263*Z263</f>
        <v>25.724444444444444</v>
      </c>
    </row>
    <row r="264" spans="18:27">
      <c r="S264" t="s">
        <v>292</v>
      </c>
      <c r="W264" s="8" t="s">
        <v>291</v>
      </c>
      <c r="X264" s="9">
        <v>1</v>
      </c>
      <c r="Y264" s="10">
        <f>X264*8/$U$260</f>
        <v>0.44444444444444442</v>
      </c>
      <c r="Z264" s="12">
        <v>23.6</v>
      </c>
      <c r="AA264" s="12">
        <f>Y264*Z264</f>
        <v>10.488888888888889</v>
      </c>
    </row>
    <row r="265" spans="18:27">
      <c r="S265" t="s">
        <v>293</v>
      </c>
      <c r="W265" s="8" t="s">
        <v>291</v>
      </c>
      <c r="X265" s="9">
        <v>8</v>
      </c>
      <c r="Y265" s="10">
        <f>X265*8/$U$260</f>
        <v>3.5555555555555554</v>
      </c>
      <c r="Z265" s="12">
        <v>21.36</v>
      </c>
      <c r="AA265" s="12">
        <f>Y265*Z265</f>
        <v>75.946666666666658</v>
      </c>
    </row>
    <row r="266" spans="18:27">
      <c r="W266" s="8"/>
      <c r="X266" s="9"/>
      <c r="Y266" s="10"/>
      <c r="AA266" s="34">
        <f>SUM(AA263:AA265)</f>
        <v>112.16</v>
      </c>
    </row>
    <row r="267" spans="18:27">
      <c r="S267" s="35" t="s">
        <v>653</v>
      </c>
      <c r="W267" s="8"/>
      <c r="X267" s="9"/>
      <c r="Y267" s="10"/>
      <c r="AA267" s="12"/>
    </row>
    <row r="268" spans="18:27">
      <c r="S268" t="s">
        <v>672</v>
      </c>
      <c r="W268" s="8" t="s">
        <v>203</v>
      </c>
      <c r="Y268" s="10">
        <v>0.53</v>
      </c>
      <c r="Z268" s="12">
        <v>55.08</v>
      </c>
      <c r="AA268" s="12">
        <f>Y268*Z268</f>
        <v>29.192399999999999</v>
      </c>
    </row>
    <row r="269" spans="18:27">
      <c r="S269" t="s">
        <v>673</v>
      </c>
      <c r="W269" s="8" t="s">
        <v>203</v>
      </c>
      <c r="Y269" s="10">
        <v>0.52</v>
      </c>
      <c r="Z269" s="12">
        <v>47</v>
      </c>
      <c r="AA269" s="12">
        <f>Y269*Z269</f>
        <v>24.44</v>
      </c>
    </row>
    <row r="270" spans="18:27">
      <c r="S270" t="s">
        <v>306</v>
      </c>
      <c r="W270" s="8" t="s">
        <v>307</v>
      </c>
      <c r="Y270" s="10">
        <v>9.73</v>
      </c>
      <c r="Z270" s="12">
        <v>24.52</v>
      </c>
      <c r="AA270" s="12">
        <f>Y270*Z270</f>
        <v>238.5796</v>
      </c>
    </row>
    <row r="271" spans="18:27">
      <c r="S271" t="s">
        <v>655</v>
      </c>
      <c r="W271" s="8" t="s">
        <v>203</v>
      </c>
      <c r="Y271" s="10">
        <v>0.186</v>
      </c>
      <c r="Z271">
        <v>6.14</v>
      </c>
      <c r="AA271" s="12">
        <f>Y271*Z271</f>
        <v>1.1420399999999999</v>
      </c>
    </row>
    <row r="272" spans="18:27">
      <c r="S272" t="s">
        <v>665</v>
      </c>
      <c r="W272" s="8" t="s">
        <v>439</v>
      </c>
      <c r="Y272" s="10">
        <v>0.36</v>
      </c>
      <c r="Z272">
        <v>13.93</v>
      </c>
      <c r="AA272" s="12">
        <f>Y272*Z272</f>
        <v>5.0148000000000001</v>
      </c>
    </row>
    <row r="273" spans="18:29">
      <c r="S273" t="s">
        <v>674</v>
      </c>
      <c r="W273" s="8" t="s">
        <v>439</v>
      </c>
      <c r="Y273" s="10">
        <v>4.5999999999999996</v>
      </c>
      <c r="Z273" s="17">
        <v>23.73</v>
      </c>
      <c r="AA273" s="12">
        <f>Y273*Z273</f>
        <v>109.15799999999999</v>
      </c>
    </row>
    <row r="274" spans="18:29">
      <c r="W274" s="8"/>
      <c r="Y274" s="10"/>
      <c r="Z274" s="12"/>
      <c r="AA274" s="34">
        <f>SUM(AA268:AA273)</f>
        <v>407.52683999999999</v>
      </c>
    </row>
    <row r="275" spans="18:29">
      <c r="S275" s="35" t="s">
        <v>309</v>
      </c>
    </row>
    <row r="276" spans="18:29">
      <c r="S276" t="s">
        <v>310</v>
      </c>
      <c r="W276" s="8" t="s">
        <v>311</v>
      </c>
      <c r="Y276" s="10">
        <v>3</v>
      </c>
      <c r="Z276" s="12">
        <f>AA266</f>
        <v>112.16</v>
      </c>
      <c r="AA276" s="12">
        <f>Y276%*Z276</f>
        <v>3.3647999999999998</v>
      </c>
    </row>
    <row r="277" spans="18:29">
      <c r="S277" t="s">
        <v>667</v>
      </c>
      <c r="W277" s="8" t="s">
        <v>337</v>
      </c>
      <c r="X277" s="9">
        <v>1</v>
      </c>
      <c r="Y277" s="10">
        <f>X277*8/$U$260</f>
        <v>0.44444444444444442</v>
      </c>
      <c r="Z277" s="12">
        <v>25.63</v>
      </c>
      <c r="AA277" s="12">
        <f>Y277*Z277</f>
        <v>11.39111111111111</v>
      </c>
    </row>
    <row r="278" spans="18:29">
      <c r="S278" t="s">
        <v>675</v>
      </c>
      <c r="W278" s="8" t="s">
        <v>337</v>
      </c>
      <c r="X278" s="9">
        <v>0.5</v>
      </c>
      <c r="Y278" s="10">
        <f>X278*8/$U$260</f>
        <v>0.22222222222222221</v>
      </c>
      <c r="Z278" s="12">
        <v>7.07</v>
      </c>
      <c r="AA278" s="12">
        <f>Y278*Z278</f>
        <v>1.5711111111111111</v>
      </c>
    </row>
    <row r="279" spans="18:29">
      <c r="R279" s="14"/>
      <c r="S279" s="14"/>
      <c r="T279" s="14"/>
      <c r="U279" s="14"/>
      <c r="V279" s="14"/>
      <c r="W279" s="14"/>
      <c r="X279" s="14"/>
      <c r="Y279" s="14"/>
      <c r="Z279" s="14"/>
      <c r="AA279" s="36">
        <f>SUM(AA276:AA278)</f>
        <v>16.327022222222222</v>
      </c>
    </row>
    <row r="280" spans="18:29">
      <c r="AA280" s="34"/>
    </row>
    <row r="281" spans="18:29">
      <c r="R281" s="31" t="s">
        <v>277</v>
      </c>
      <c r="S281" s="31"/>
      <c r="T281" s="31" t="s">
        <v>512</v>
      </c>
      <c r="U281" s="31"/>
    </row>
    <row r="282" spans="18:29">
      <c r="R282" s="31" t="s">
        <v>278</v>
      </c>
      <c r="S282" s="31" t="s">
        <v>279</v>
      </c>
      <c r="T282" s="32" t="s">
        <v>280</v>
      </c>
      <c r="U282" s="33">
        <v>20</v>
      </c>
      <c r="V282" s="32" t="s">
        <v>281</v>
      </c>
      <c r="W282" s="33">
        <f>U282</f>
        <v>20</v>
      </c>
      <c r="X282" s="31" t="s">
        <v>282</v>
      </c>
      <c r="Z282" s="32" t="s">
        <v>133</v>
      </c>
      <c r="AA282" s="34">
        <f>AA287+AA292+AA295</f>
        <v>64.026960000000003</v>
      </c>
    </row>
    <row r="283" spans="18:29">
      <c r="R283" s="31" t="s">
        <v>283</v>
      </c>
      <c r="S283" s="31" t="s">
        <v>284</v>
      </c>
      <c r="W283" s="32" t="s">
        <v>122</v>
      </c>
      <c r="X283" s="32" t="s">
        <v>285</v>
      </c>
      <c r="Y283" s="32" t="s">
        <v>286</v>
      </c>
      <c r="Z283" s="32" t="s">
        <v>287</v>
      </c>
      <c r="AA283" s="32" t="s">
        <v>288</v>
      </c>
    </row>
    <row r="284" spans="18:29">
      <c r="S284" s="35" t="s">
        <v>289</v>
      </c>
    </row>
    <row r="285" spans="18:29">
      <c r="S285" t="s">
        <v>290</v>
      </c>
      <c r="W285" s="8" t="s">
        <v>291</v>
      </c>
      <c r="X285" s="9">
        <v>2</v>
      </c>
      <c r="Y285" s="10">
        <f>X285*8/$U$282</f>
        <v>0.8</v>
      </c>
      <c r="Z285" s="12">
        <v>28.94</v>
      </c>
      <c r="AA285" s="12">
        <f>Y285*Z285</f>
        <v>23.152000000000001</v>
      </c>
    </row>
    <row r="286" spans="18:29">
      <c r="S286" t="s">
        <v>292</v>
      </c>
      <c r="W286" s="8" t="s">
        <v>291</v>
      </c>
      <c r="X286" s="9">
        <v>2</v>
      </c>
      <c r="Y286" s="10">
        <f>X286*8/$U$282</f>
        <v>0.8</v>
      </c>
      <c r="Z286" s="12">
        <v>23.6</v>
      </c>
      <c r="AA286" s="12">
        <f>Y286*Z286</f>
        <v>18.880000000000003</v>
      </c>
      <c r="AC286" s="12"/>
    </row>
    <row r="287" spans="18:29">
      <c r="W287" s="8"/>
      <c r="X287" s="9"/>
      <c r="Y287" s="10"/>
      <c r="AA287" s="34">
        <f>SUM(AA285:AA286)</f>
        <v>42.032000000000004</v>
      </c>
    </row>
    <row r="288" spans="18:29">
      <c r="S288" s="35" t="s">
        <v>653</v>
      </c>
      <c r="W288" s="8"/>
      <c r="X288" s="9"/>
      <c r="Y288" s="10"/>
      <c r="AA288" s="12"/>
    </row>
    <row r="289" spans="18:27">
      <c r="S289" t="s">
        <v>677</v>
      </c>
      <c r="W289" s="8" t="s">
        <v>296</v>
      </c>
      <c r="Y289" s="10">
        <v>0.16</v>
      </c>
      <c r="Z289" s="12">
        <v>2.64</v>
      </c>
      <c r="AA289" s="12">
        <f>Y289*Z289</f>
        <v>0.42240000000000005</v>
      </c>
    </row>
    <row r="290" spans="18:27">
      <c r="S290" t="s">
        <v>301</v>
      </c>
      <c r="W290" s="8" t="s">
        <v>296</v>
      </c>
      <c r="Y290" s="10">
        <v>0.16</v>
      </c>
      <c r="Z290" s="12">
        <v>5.51</v>
      </c>
      <c r="AA290" s="12">
        <f>Y290*Z290</f>
        <v>0.88159999999999994</v>
      </c>
    </row>
    <row r="291" spans="18:27">
      <c r="S291" t="s">
        <v>669</v>
      </c>
      <c r="W291" s="8" t="s">
        <v>305</v>
      </c>
      <c r="Y291" s="10">
        <v>3.35</v>
      </c>
      <c r="Z291" s="12">
        <v>5.8</v>
      </c>
      <c r="AA291" s="12">
        <f>Y291*Z291</f>
        <v>19.43</v>
      </c>
    </row>
    <row r="292" spans="18:27">
      <c r="W292" s="8"/>
      <c r="Y292" s="10"/>
      <c r="Z292" s="12"/>
      <c r="AA292" s="34">
        <f>SUM(AA289:AA291)</f>
        <v>20.733999999999998</v>
      </c>
    </row>
    <row r="293" spans="18:27">
      <c r="S293" s="35" t="s">
        <v>309</v>
      </c>
    </row>
    <row r="294" spans="18:27">
      <c r="S294" t="s">
        <v>310</v>
      </c>
      <c r="W294" s="8" t="s">
        <v>311</v>
      </c>
      <c r="Y294" s="10">
        <v>3</v>
      </c>
      <c r="Z294" s="12">
        <f>AA287</f>
        <v>42.032000000000004</v>
      </c>
      <c r="AA294" s="12">
        <f>Y294%*Z294</f>
        <v>1.2609600000000001</v>
      </c>
    </row>
    <row r="295" spans="18:27">
      <c r="R295" s="14"/>
      <c r="S295" s="14"/>
      <c r="T295" s="14"/>
      <c r="U295" s="14"/>
      <c r="V295" s="14"/>
      <c r="W295" s="14"/>
      <c r="X295" s="14"/>
      <c r="Y295" s="14"/>
      <c r="Z295" s="14"/>
      <c r="AA295" s="36">
        <f>SUM(AA294)</f>
        <v>1.2609600000000001</v>
      </c>
    </row>
    <row r="296" spans="18:27">
      <c r="AA296" s="34"/>
    </row>
    <row r="297" spans="18:27">
      <c r="R297" s="31" t="s">
        <v>277</v>
      </c>
      <c r="S297" s="31"/>
      <c r="T297" s="31" t="s">
        <v>684</v>
      </c>
      <c r="U297" s="31"/>
    </row>
    <row r="298" spans="18:27">
      <c r="R298" s="31" t="s">
        <v>278</v>
      </c>
      <c r="S298" s="31" t="s">
        <v>678</v>
      </c>
      <c r="T298" s="32" t="s">
        <v>280</v>
      </c>
      <c r="U298" s="33">
        <v>250</v>
      </c>
      <c r="V298" s="32" t="s">
        <v>281</v>
      </c>
      <c r="W298" s="33">
        <f>U298</f>
        <v>250</v>
      </c>
      <c r="X298" s="31" t="s">
        <v>282</v>
      </c>
      <c r="Z298" s="32" t="s">
        <v>296</v>
      </c>
      <c r="AA298" s="34">
        <f>AA304+AA308+AA312</f>
        <v>5.5639628445000007</v>
      </c>
    </row>
    <row r="299" spans="18:27">
      <c r="R299" s="31" t="s">
        <v>283</v>
      </c>
      <c r="S299" s="31" t="s">
        <v>284</v>
      </c>
      <c r="W299" s="32" t="s">
        <v>122</v>
      </c>
      <c r="X299" s="32" t="s">
        <v>285</v>
      </c>
      <c r="Y299" s="32" t="s">
        <v>286</v>
      </c>
      <c r="Z299" s="32" t="s">
        <v>287</v>
      </c>
      <c r="AA299" s="32" t="s">
        <v>288</v>
      </c>
    </row>
    <row r="300" spans="18:27">
      <c r="S300" s="47" t="s">
        <v>289</v>
      </c>
      <c r="X300" s="9"/>
    </row>
    <row r="301" spans="18:27">
      <c r="S301" t="s">
        <v>290</v>
      </c>
      <c r="W301" s="8" t="s">
        <v>291</v>
      </c>
      <c r="X301" s="9">
        <v>1</v>
      </c>
      <c r="Y301" s="10">
        <f>X301*8/$U$298</f>
        <v>3.2000000000000001E-2</v>
      </c>
      <c r="Z301" s="12">
        <v>28.94</v>
      </c>
      <c r="AA301" s="12">
        <f>Y301*Z301</f>
        <v>0.92608000000000001</v>
      </c>
    </row>
    <row r="302" spans="18:27">
      <c r="S302" t="s">
        <v>679</v>
      </c>
      <c r="W302" s="8" t="s">
        <v>291</v>
      </c>
      <c r="X302" s="9">
        <v>1</v>
      </c>
      <c r="Y302" s="10">
        <f>X302*8/$U$298</f>
        <v>3.2000000000000001E-2</v>
      </c>
      <c r="Z302" s="12">
        <v>23.6</v>
      </c>
      <c r="AA302" s="12">
        <f>Y302*Z302</f>
        <v>0.75520000000000009</v>
      </c>
    </row>
    <row r="303" spans="18:27">
      <c r="W303" s="8"/>
      <c r="X303" s="9"/>
      <c r="Y303" s="18"/>
      <c r="Z303" s="12"/>
      <c r="AA303" s="12"/>
    </row>
    <row r="304" spans="18:27">
      <c r="W304" s="8"/>
      <c r="X304" s="9"/>
      <c r="AA304" s="48">
        <f>SUM(AA301:AA303)</f>
        <v>1.6812800000000001</v>
      </c>
    </row>
    <row r="305" spans="18:27">
      <c r="S305" s="47" t="s">
        <v>294</v>
      </c>
      <c r="W305" s="8"/>
      <c r="X305" s="9"/>
      <c r="Y305" s="18"/>
    </row>
    <row r="306" spans="18:27">
      <c r="S306" t="s">
        <v>295</v>
      </c>
      <c r="W306" s="8" t="s">
        <v>296</v>
      </c>
      <c r="X306" s="9"/>
      <c r="Y306" s="18">
        <v>0.03</v>
      </c>
      <c r="Z306" s="12">
        <v>2.64</v>
      </c>
      <c r="AA306" s="12">
        <f>Y306*Z306</f>
        <v>7.9200000000000007E-2</v>
      </c>
    </row>
    <row r="307" spans="18:27">
      <c r="S307" t="s">
        <v>680</v>
      </c>
      <c r="W307" s="8" t="s">
        <v>296</v>
      </c>
      <c r="X307" s="9"/>
      <c r="Y307" s="18">
        <v>1.05</v>
      </c>
      <c r="Z307" s="12">
        <f>1012.71*3.379/1000</f>
        <v>3.4219470900000002</v>
      </c>
      <c r="AA307" s="12">
        <f>Y307*Z307</f>
        <v>3.5930444445000003</v>
      </c>
    </row>
    <row r="308" spans="18:27">
      <c r="W308" s="8"/>
      <c r="X308" s="9"/>
      <c r="AA308" s="48">
        <f>SUM(AA306:AA307)</f>
        <v>3.6722444445000004</v>
      </c>
    </row>
    <row r="309" spans="18:27">
      <c r="S309" s="47" t="s">
        <v>317</v>
      </c>
      <c r="W309" s="8"/>
      <c r="X309" s="9"/>
    </row>
    <row r="310" spans="18:27">
      <c r="S310" t="s">
        <v>310</v>
      </c>
      <c r="W310" s="8" t="s">
        <v>311</v>
      </c>
      <c r="Y310" s="10">
        <v>3</v>
      </c>
      <c r="Z310" s="12">
        <f>AA304</f>
        <v>1.6812800000000001</v>
      </c>
      <c r="AA310" s="12">
        <f>Y310%*Z310</f>
        <v>5.0438400000000001E-2</v>
      </c>
    </row>
    <row r="311" spans="18:27">
      <c r="S311" t="s">
        <v>681</v>
      </c>
      <c r="W311" s="8" t="s">
        <v>291</v>
      </c>
      <c r="X311" s="9">
        <v>1</v>
      </c>
      <c r="Y311" s="10">
        <f>X311*8/$U$298</f>
        <v>3.2000000000000001E-2</v>
      </c>
      <c r="Z311" s="50">
        <v>5</v>
      </c>
      <c r="AA311" s="12">
        <f>Y311*Z311</f>
        <v>0.16</v>
      </c>
    </row>
    <row r="312" spans="18:27">
      <c r="R312" s="14"/>
      <c r="S312" s="14"/>
      <c r="T312" s="14"/>
      <c r="U312" s="14"/>
      <c r="V312" s="14"/>
      <c r="W312" s="14"/>
      <c r="X312" s="14"/>
      <c r="Y312" s="14"/>
      <c r="Z312" s="14"/>
      <c r="AA312" s="49">
        <f>SUM(AA310:AA311)</f>
        <v>0.2104384</v>
      </c>
    </row>
    <row r="314" spans="18:27">
      <c r="R314" s="31" t="s">
        <v>277</v>
      </c>
      <c r="S314" s="31"/>
      <c r="T314" s="31" t="s">
        <v>526</v>
      </c>
      <c r="U314" s="31"/>
    </row>
    <row r="315" spans="18:27">
      <c r="R315" s="31" t="s">
        <v>278</v>
      </c>
      <c r="S315" s="31" t="s">
        <v>416</v>
      </c>
      <c r="T315" s="32" t="s">
        <v>280</v>
      </c>
      <c r="U315" s="33">
        <v>10</v>
      </c>
      <c r="V315" s="32" t="s">
        <v>281</v>
      </c>
      <c r="W315" s="33">
        <f>U315</f>
        <v>10</v>
      </c>
      <c r="X315" s="31" t="s">
        <v>282</v>
      </c>
      <c r="Z315" s="32" t="s">
        <v>203</v>
      </c>
      <c r="AA315" s="34">
        <f>AA321+AA328+AA333</f>
        <v>549.09188000000006</v>
      </c>
    </row>
    <row r="316" spans="18:27">
      <c r="R316" s="31" t="s">
        <v>283</v>
      </c>
      <c r="S316" s="31" t="s">
        <v>284</v>
      </c>
      <c r="W316" s="32" t="s">
        <v>122</v>
      </c>
      <c r="X316" s="32" t="s">
        <v>285</v>
      </c>
      <c r="Y316" s="32" t="s">
        <v>286</v>
      </c>
      <c r="Z316" s="32" t="s">
        <v>287</v>
      </c>
      <c r="AA316" s="32" t="s">
        <v>288</v>
      </c>
    </row>
    <row r="317" spans="18:27">
      <c r="S317" s="35" t="s">
        <v>289</v>
      </c>
    </row>
    <row r="318" spans="18:27">
      <c r="S318" t="s">
        <v>290</v>
      </c>
      <c r="W318" s="8" t="s">
        <v>291</v>
      </c>
      <c r="X318" s="9">
        <v>2</v>
      </c>
      <c r="Y318" s="10">
        <f>X318*8/$U$315</f>
        <v>1.6</v>
      </c>
      <c r="Z318" s="12">
        <v>28.94</v>
      </c>
      <c r="AA318" s="12">
        <f>Y318*Z318</f>
        <v>46.304000000000002</v>
      </c>
    </row>
    <row r="319" spans="18:27">
      <c r="S319" t="s">
        <v>292</v>
      </c>
      <c r="W319" s="8" t="s">
        <v>291</v>
      </c>
      <c r="X319" s="9">
        <v>2</v>
      </c>
      <c r="Y319" s="10">
        <f>X319*8/$U$315</f>
        <v>1.6</v>
      </c>
      <c r="Z319" s="12">
        <v>23.6</v>
      </c>
      <c r="AA319" s="12">
        <f>Y319*Z319</f>
        <v>37.760000000000005</v>
      </c>
    </row>
    <row r="320" spans="18:27">
      <c r="S320" t="s">
        <v>293</v>
      </c>
      <c r="W320" s="8" t="s">
        <v>291</v>
      </c>
      <c r="X320" s="9">
        <v>8</v>
      </c>
      <c r="Y320" s="10">
        <f>X320*8/$U$315</f>
        <v>6.4</v>
      </c>
      <c r="Z320" s="12">
        <v>21.36</v>
      </c>
      <c r="AA320" s="12">
        <f>Y320*Z320</f>
        <v>136.70400000000001</v>
      </c>
    </row>
    <row r="321" spans="18:27">
      <c r="W321" s="8"/>
      <c r="X321" s="9"/>
      <c r="Y321" s="10"/>
      <c r="AA321" s="34">
        <f>SUM(AA318:AA320)</f>
        <v>220.76800000000003</v>
      </c>
    </row>
    <row r="322" spans="18:27">
      <c r="S322" s="35" t="s">
        <v>653</v>
      </c>
      <c r="W322" s="8"/>
      <c r="X322" s="9"/>
      <c r="Y322" s="10"/>
      <c r="AA322" s="12"/>
    </row>
    <row r="323" spans="18:27">
      <c r="S323" t="s">
        <v>672</v>
      </c>
      <c r="W323" s="8" t="s">
        <v>203</v>
      </c>
      <c r="Y323" s="10">
        <v>0.53</v>
      </c>
      <c r="Z323" s="12">
        <v>55.08</v>
      </c>
      <c r="AA323" s="12">
        <f>Y323*Z323</f>
        <v>29.192399999999999</v>
      </c>
    </row>
    <row r="324" spans="18:27">
      <c r="S324" t="s">
        <v>673</v>
      </c>
      <c r="W324" s="8" t="s">
        <v>203</v>
      </c>
      <c r="Y324" s="10">
        <v>0.52</v>
      </c>
      <c r="Z324" s="12">
        <v>47</v>
      </c>
      <c r="AA324" s="12">
        <f>Y324*Z324</f>
        <v>24.44</v>
      </c>
    </row>
    <row r="325" spans="18:27">
      <c r="S325" t="s">
        <v>306</v>
      </c>
      <c r="W325" s="8" t="s">
        <v>307</v>
      </c>
      <c r="Y325" s="10">
        <v>9.73</v>
      </c>
      <c r="Z325" s="12">
        <v>24.52</v>
      </c>
      <c r="AA325" s="12">
        <f>Y325*Z325</f>
        <v>238.5796</v>
      </c>
    </row>
    <row r="326" spans="18:27">
      <c r="S326" t="s">
        <v>655</v>
      </c>
      <c r="W326" s="8" t="s">
        <v>203</v>
      </c>
      <c r="Y326" s="10">
        <v>0.186</v>
      </c>
      <c r="Z326">
        <v>6.14</v>
      </c>
      <c r="AA326" s="12">
        <f>Y326*Z326</f>
        <v>1.1420399999999999</v>
      </c>
    </row>
    <row r="327" spans="18:27">
      <c r="S327" t="s">
        <v>665</v>
      </c>
      <c r="W327" s="8" t="s">
        <v>439</v>
      </c>
      <c r="Y327" s="10">
        <v>0.36</v>
      </c>
      <c r="Z327">
        <v>13.93</v>
      </c>
      <c r="AA327" s="12">
        <f>Y327*Z327</f>
        <v>5.0148000000000001</v>
      </c>
    </row>
    <row r="328" spans="18:27">
      <c r="W328" s="8"/>
      <c r="Y328" s="10"/>
      <c r="Z328" s="12"/>
      <c r="AA328" s="34">
        <f>SUM(AA323:AA327)</f>
        <v>298.36883999999998</v>
      </c>
    </row>
    <row r="329" spans="18:27">
      <c r="S329" s="35" t="s">
        <v>309</v>
      </c>
    </row>
    <row r="330" spans="18:27">
      <c r="S330" t="s">
        <v>310</v>
      </c>
      <c r="W330" s="8" t="s">
        <v>311</v>
      </c>
      <c r="Y330" s="10">
        <v>3</v>
      </c>
      <c r="Z330" s="12">
        <f>AA321</f>
        <v>220.76800000000003</v>
      </c>
      <c r="AA330" s="12">
        <f>Y330%*Z330</f>
        <v>6.6230400000000005</v>
      </c>
    </row>
    <row r="331" spans="18:27">
      <c r="S331" t="s">
        <v>667</v>
      </c>
      <c r="W331" s="8" t="s">
        <v>337</v>
      </c>
      <c r="X331" s="9">
        <v>1</v>
      </c>
      <c r="Y331" s="10">
        <f>X331*8/$U$315</f>
        <v>0.8</v>
      </c>
      <c r="Z331" s="12">
        <v>25.63</v>
      </c>
      <c r="AA331" s="12">
        <f>Y331*Z331</f>
        <v>20.504000000000001</v>
      </c>
    </row>
    <row r="332" spans="18:27">
      <c r="S332" t="s">
        <v>675</v>
      </c>
      <c r="W332" s="8" t="s">
        <v>337</v>
      </c>
      <c r="X332" s="9">
        <v>0.5</v>
      </c>
      <c r="Y332" s="10">
        <f>X332*8/$U$315</f>
        <v>0.4</v>
      </c>
      <c r="Z332" s="12">
        <v>7.07</v>
      </c>
      <c r="AA332" s="12">
        <f>Y332*Z332</f>
        <v>2.8280000000000003</v>
      </c>
    </row>
    <row r="333" spans="18:27">
      <c r="R333" s="14"/>
      <c r="S333" s="14"/>
      <c r="T333" s="14"/>
      <c r="U333" s="14"/>
      <c r="V333" s="14"/>
      <c r="W333" s="14"/>
      <c r="X333" s="14"/>
      <c r="Y333" s="14"/>
      <c r="Z333" s="14"/>
      <c r="AA333" s="36">
        <f>SUM(AA330:AA332)</f>
        <v>29.95504</v>
      </c>
    </row>
    <row r="335" spans="18:27">
      <c r="R335" s="31" t="s">
        <v>277</v>
      </c>
      <c r="S335" s="31"/>
      <c r="T335" s="31" t="s">
        <v>528</v>
      </c>
      <c r="U335" s="31"/>
    </row>
    <row r="336" spans="18:27">
      <c r="R336" s="31" t="s">
        <v>278</v>
      </c>
      <c r="S336" s="31" t="s">
        <v>279</v>
      </c>
      <c r="T336" s="32" t="s">
        <v>280</v>
      </c>
      <c r="U336" s="33">
        <v>30</v>
      </c>
      <c r="V336" s="32" t="s">
        <v>281</v>
      </c>
      <c r="W336" s="33">
        <f>U336</f>
        <v>30</v>
      </c>
      <c r="X336" s="31" t="s">
        <v>282</v>
      </c>
      <c r="Z336" s="32" t="s">
        <v>133</v>
      </c>
      <c r="AA336" s="34">
        <f>AA342+AA347+AA350</f>
        <v>55.396819999999998</v>
      </c>
    </row>
    <row r="337" spans="18:27">
      <c r="R337" s="31" t="s">
        <v>283</v>
      </c>
      <c r="S337" s="31" t="s">
        <v>284</v>
      </c>
      <c r="W337" s="32" t="s">
        <v>122</v>
      </c>
      <c r="X337" s="32" t="s">
        <v>285</v>
      </c>
      <c r="Y337" s="32" t="s">
        <v>286</v>
      </c>
      <c r="Z337" s="32" t="s">
        <v>287</v>
      </c>
      <c r="AA337" s="32" t="s">
        <v>288</v>
      </c>
    </row>
    <row r="338" spans="18:27">
      <c r="S338" s="35" t="s">
        <v>289</v>
      </c>
    </row>
    <row r="339" spans="18:27">
      <c r="S339" t="s">
        <v>290</v>
      </c>
      <c r="W339" s="8" t="s">
        <v>291</v>
      </c>
      <c r="X339" s="9">
        <v>2</v>
      </c>
      <c r="Y339" s="10">
        <f>X339*8/$U$336</f>
        <v>0.53333333333333333</v>
      </c>
      <c r="Z339" s="12">
        <v>28.94</v>
      </c>
      <c r="AA339" s="12">
        <f>Y339*Z339</f>
        <v>15.434666666666667</v>
      </c>
    </row>
    <row r="340" spans="18:27">
      <c r="S340" t="s">
        <v>292</v>
      </c>
      <c r="W340" s="8" t="s">
        <v>291</v>
      </c>
      <c r="X340" s="9">
        <v>1</v>
      </c>
      <c r="Y340" s="10">
        <f>X340*8/$U$336</f>
        <v>0.26666666666666666</v>
      </c>
      <c r="Z340" s="12">
        <v>23.6</v>
      </c>
      <c r="AA340" s="12">
        <f>Y340*Z340</f>
        <v>6.2933333333333339</v>
      </c>
    </row>
    <row r="341" spans="18:27">
      <c r="S341" t="s">
        <v>293</v>
      </c>
      <c r="W341" s="8" t="s">
        <v>291</v>
      </c>
      <c r="X341" s="9">
        <v>1</v>
      </c>
      <c r="Y341" s="10">
        <f>X341*8/$U$336</f>
        <v>0.26666666666666666</v>
      </c>
      <c r="Z341" s="12">
        <v>21.36</v>
      </c>
      <c r="AA341" s="12">
        <f>Y341*Z341</f>
        <v>5.6959999999999997</v>
      </c>
    </row>
    <row r="342" spans="18:27">
      <c r="W342" s="8"/>
      <c r="X342" s="9"/>
      <c r="Y342" s="10"/>
      <c r="AA342" s="34">
        <f>SUM(AA339:AA341)</f>
        <v>27.423999999999999</v>
      </c>
    </row>
    <row r="343" spans="18:27">
      <c r="S343" s="35" t="s">
        <v>653</v>
      </c>
      <c r="W343" s="8"/>
      <c r="X343" s="9"/>
      <c r="Y343" s="10"/>
      <c r="AA343" s="12"/>
    </row>
    <row r="344" spans="18:27">
      <c r="S344" t="s">
        <v>688</v>
      </c>
      <c r="W344" s="8" t="s">
        <v>296</v>
      </c>
      <c r="Y344" s="10">
        <v>0.3</v>
      </c>
      <c r="Z344" s="12">
        <v>2.64</v>
      </c>
      <c r="AA344" s="12">
        <f>Y344*Z344</f>
        <v>0.79200000000000004</v>
      </c>
    </row>
    <row r="345" spans="18:27">
      <c r="S345" t="s">
        <v>301</v>
      </c>
      <c r="W345" s="8" t="s">
        <v>296</v>
      </c>
      <c r="Y345" s="10">
        <v>0.31</v>
      </c>
      <c r="Z345" s="12">
        <v>5.51</v>
      </c>
      <c r="AA345" s="12">
        <f>Y345*Z345</f>
        <v>1.7081</v>
      </c>
    </row>
    <row r="346" spans="18:27">
      <c r="S346" t="s">
        <v>669</v>
      </c>
      <c r="W346" s="8" t="s">
        <v>305</v>
      </c>
      <c r="Y346" s="10">
        <v>4.25</v>
      </c>
      <c r="Z346" s="12">
        <v>5.8</v>
      </c>
      <c r="AA346" s="12">
        <f>Y346*Z346</f>
        <v>24.65</v>
      </c>
    </row>
    <row r="347" spans="18:27">
      <c r="W347" s="8"/>
      <c r="Y347" s="10"/>
      <c r="Z347" s="12"/>
      <c r="AA347" s="34">
        <f>SUM(AA344:AA346)</f>
        <v>27.150099999999998</v>
      </c>
    </row>
    <row r="348" spans="18:27">
      <c r="S348" s="35" t="s">
        <v>309</v>
      </c>
    </row>
    <row r="349" spans="18:27">
      <c r="S349" t="s">
        <v>310</v>
      </c>
      <c r="W349" s="8" t="s">
        <v>311</v>
      </c>
      <c r="Y349" s="10">
        <v>3</v>
      </c>
      <c r="Z349" s="12">
        <f>AA342</f>
        <v>27.423999999999999</v>
      </c>
      <c r="AA349" s="12">
        <f>Y349%*Z349</f>
        <v>0.82272000000000001</v>
      </c>
    </row>
    <row r="350" spans="18:27">
      <c r="R350" s="14"/>
      <c r="S350" s="14"/>
      <c r="T350" s="14"/>
      <c r="U350" s="14"/>
      <c r="V350" s="14"/>
      <c r="W350" s="14"/>
      <c r="X350" s="14"/>
      <c r="Y350" s="14"/>
      <c r="Z350" s="14"/>
      <c r="AA350" s="36">
        <f>SUM(AA349)</f>
        <v>0.82272000000000001</v>
      </c>
    </row>
    <row r="352" spans="18:27">
      <c r="R352" s="31" t="s">
        <v>277</v>
      </c>
      <c r="S352" s="31"/>
      <c r="T352" s="31" t="s">
        <v>530</v>
      </c>
      <c r="U352" s="31"/>
    </row>
    <row r="353" spans="18:27">
      <c r="R353" s="31" t="s">
        <v>278</v>
      </c>
      <c r="S353" s="31" t="s">
        <v>279</v>
      </c>
      <c r="T353" s="32" t="s">
        <v>280</v>
      </c>
      <c r="U353" s="33">
        <v>250</v>
      </c>
      <c r="V353" s="32" t="s">
        <v>281</v>
      </c>
      <c r="W353" s="33">
        <f>U353</f>
        <v>250</v>
      </c>
      <c r="X353" s="31" t="s">
        <v>282</v>
      </c>
      <c r="Z353" s="32" t="s">
        <v>133</v>
      </c>
      <c r="AA353" s="34">
        <f>AA358+AA362+AA366</f>
        <v>5.5639628445000007</v>
      </c>
    </row>
    <row r="354" spans="18:27">
      <c r="R354" s="31" t="s">
        <v>283</v>
      </c>
      <c r="S354" s="31" t="s">
        <v>284</v>
      </c>
      <c r="W354" s="32" t="s">
        <v>122</v>
      </c>
      <c r="X354" s="32" t="s">
        <v>285</v>
      </c>
      <c r="Y354" s="32" t="s">
        <v>286</v>
      </c>
      <c r="Z354" s="32" t="s">
        <v>287</v>
      </c>
      <c r="AA354" s="32" t="s">
        <v>288</v>
      </c>
    </row>
    <row r="355" spans="18:27">
      <c r="S355" s="35" t="s">
        <v>289</v>
      </c>
    </row>
    <row r="356" spans="18:27">
      <c r="S356" t="s">
        <v>290</v>
      </c>
      <c r="W356" s="8" t="s">
        <v>291</v>
      </c>
      <c r="X356" s="9">
        <v>1</v>
      </c>
      <c r="Y356" s="10">
        <f>X356*8/$U$353</f>
        <v>3.2000000000000001E-2</v>
      </c>
      <c r="Z356" s="12">
        <v>28.94</v>
      </c>
      <c r="AA356" s="12">
        <f>Y356*Z356</f>
        <v>0.92608000000000001</v>
      </c>
    </row>
    <row r="357" spans="18:27">
      <c r="S357" t="s">
        <v>679</v>
      </c>
      <c r="W357" s="8" t="s">
        <v>291</v>
      </c>
      <c r="X357" s="9">
        <v>1</v>
      </c>
      <c r="Y357" s="10">
        <f>X357*8/$U$353</f>
        <v>3.2000000000000001E-2</v>
      </c>
      <c r="Z357" s="12">
        <v>23.6</v>
      </c>
      <c r="AA357" s="12">
        <f>Y357*Z357</f>
        <v>0.75520000000000009</v>
      </c>
    </row>
    <row r="358" spans="18:27">
      <c r="W358" s="8"/>
      <c r="X358" s="9"/>
      <c r="AA358" s="48">
        <f>SUM(AA356:AA357)</f>
        <v>1.6812800000000001</v>
      </c>
    </row>
    <row r="359" spans="18:27">
      <c r="S359" s="47" t="s">
        <v>294</v>
      </c>
      <c r="W359" s="8"/>
      <c r="X359" s="9"/>
      <c r="Y359" s="18"/>
    </row>
    <row r="360" spans="18:27">
      <c r="S360" t="s">
        <v>295</v>
      </c>
      <c r="W360" s="8" t="s">
        <v>296</v>
      </c>
      <c r="X360" s="9"/>
      <c r="Y360" s="18">
        <v>0.03</v>
      </c>
      <c r="Z360" s="12">
        <v>2.64</v>
      </c>
      <c r="AA360" s="12">
        <f>Y360*Z360</f>
        <v>7.9200000000000007E-2</v>
      </c>
    </row>
    <row r="361" spans="18:27">
      <c r="S361" t="s">
        <v>680</v>
      </c>
      <c r="W361" s="8" t="s">
        <v>296</v>
      </c>
      <c r="X361" s="9"/>
      <c r="Y361" s="18">
        <v>1.05</v>
      </c>
      <c r="Z361" s="12">
        <f>1012.71*3.379/1000</f>
        <v>3.4219470900000002</v>
      </c>
      <c r="AA361" s="12">
        <f>Y361*Z361</f>
        <v>3.5930444445000003</v>
      </c>
    </row>
    <row r="362" spans="18:27">
      <c r="W362" s="8"/>
      <c r="X362" s="9"/>
      <c r="AA362" s="48">
        <f>SUM(AA360:AA361)</f>
        <v>3.6722444445000004</v>
      </c>
    </row>
    <row r="363" spans="18:27">
      <c r="S363" s="47" t="s">
        <v>317</v>
      </c>
      <c r="W363" s="8"/>
      <c r="X363" s="9"/>
    </row>
    <row r="364" spans="18:27">
      <c r="S364" t="s">
        <v>310</v>
      </c>
      <c r="W364" s="8" t="s">
        <v>311</v>
      </c>
      <c r="Y364" s="10">
        <v>3</v>
      </c>
      <c r="Z364" s="12">
        <f>AA358</f>
        <v>1.6812800000000001</v>
      </c>
      <c r="AA364" s="12">
        <f>Y364%*Z364</f>
        <v>5.0438400000000001E-2</v>
      </c>
    </row>
    <row r="365" spans="18:27">
      <c r="S365" t="s">
        <v>681</v>
      </c>
      <c r="W365" s="8" t="s">
        <v>291</v>
      </c>
      <c r="X365" s="9">
        <v>1</v>
      </c>
      <c r="Y365" s="10">
        <f>X365*8/$U$353</f>
        <v>3.2000000000000001E-2</v>
      </c>
      <c r="Z365" s="50">
        <v>5</v>
      </c>
      <c r="AA365" s="12">
        <f>Y365*Z365</f>
        <v>0.16</v>
      </c>
    </row>
    <row r="366" spans="18:27">
      <c r="R366" s="14"/>
      <c r="S366" s="14"/>
      <c r="T366" s="14"/>
      <c r="U366" s="14"/>
      <c r="V366" s="14"/>
      <c r="W366" s="14"/>
      <c r="X366" s="14"/>
      <c r="Y366" s="14"/>
      <c r="Z366" s="14"/>
      <c r="AA366" s="49">
        <f>SUM(AA364:AA365)</f>
        <v>0.2104384</v>
      </c>
    </row>
    <row r="368" spans="18:27">
      <c r="R368" s="31" t="s">
        <v>277</v>
      </c>
      <c r="S368" s="31"/>
      <c r="T368" s="31" t="s">
        <v>542</v>
      </c>
      <c r="U368" s="31"/>
    </row>
    <row r="369" spans="18:27">
      <c r="R369" s="31" t="s">
        <v>278</v>
      </c>
      <c r="S369" s="31" t="s">
        <v>416</v>
      </c>
      <c r="T369" s="32" t="s">
        <v>280</v>
      </c>
      <c r="U369" s="33">
        <v>22</v>
      </c>
      <c r="V369" s="32" t="s">
        <v>281</v>
      </c>
      <c r="W369" s="33">
        <f>U369</f>
        <v>22</v>
      </c>
      <c r="X369" s="31" t="s">
        <v>282</v>
      </c>
      <c r="Z369" s="32" t="s">
        <v>203</v>
      </c>
      <c r="AA369" s="34">
        <f>AA375+AA382+AA388</f>
        <v>392.5379309090909</v>
      </c>
    </row>
    <row r="370" spans="18:27">
      <c r="R370" s="31" t="s">
        <v>283</v>
      </c>
      <c r="S370" s="31" t="s">
        <v>284</v>
      </c>
      <c r="W370" s="32" t="s">
        <v>122</v>
      </c>
      <c r="X370" s="32" t="s">
        <v>285</v>
      </c>
      <c r="Y370" s="32" t="s">
        <v>286</v>
      </c>
      <c r="Z370" s="32" t="s">
        <v>287</v>
      </c>
      <c r="AA370" s="32" t="s">
        <v>288</v>
      </c>
    </row>
    <row r="371" spans="18:27">
      <c r="S371" s="35" t="s">
        <v>289</v>
      </c>
    </row>
    <row r="372" spans="18:27">
      <c r="S372" t="s">
        <v>290</v>
      </c>
      <c r="W372" s="8" t="s">
        <v>291</v>
      </c>
      <c r="X372" s="9">
        <v>2</v>
      </c>
      <c r="Y372" s="10">
        <f>X372*8/$U$369</f>
        <v>0.72727272727272729</v>
      </c>
      <c r="Z372" s="12">
        <v>28.94</v>
      </c>
      <c r="AA372" s="12">
        <f>Y372*Z372</f>
        <v>21.04727272727273</v>
      </c>
    </row>
    <row r="373" spans="18:27">
      <c r="S373" t="s">
        <v>292</v>
      </c>
      <c r="W373" s="8" t="s">
        <v>291</v>
      </c>
      <c r="X373" s="9">
        <v>1</v>
      </c>
      <c r="Y373" s="10">
        <f>X373*8/$U$369</f>
        <v>0.36363636363636365</v>
      </c>
      <c r="Z373" s="12">
        <v>23.6</v>
      </c>
      <c r="AA373" s="12">
        <f>Y373*Z373</f>
        <v>8.581818181818182</v>
      </c>
    </row>
    <row r="374" spans="18:27">
      <c r="S374" t="s">
        <v>293</v>
      </c>
      <c r="W374" s="8" t="s">
        <v>291</v>
      </c>
      <c r="X374" s="9">
        <v>6</v>
      </c>
      <c r="Y374" s="10">
        <f>X374*8/$U$369</f>
        <v>2.1818181818181817</v>
      </c>
      <c r="Z374" s="12">
        <v>21.36</v>
      </c>
      <c r="AA374" s="12">
        <f>Y374*Z374</f>
        <v>46.603636363636362</v>
      </c>
    </row>
    <row r="375" spans="18:27">
      <c r="W375" s="8"/>
      <c r="X375" s="9"/>
      <c r="Y375" s="10"/>
      <c r="AA375" s="34">
        <f>SUM(AA372:AA374)</f>
        <v>76.232727272727274</v>
      </c>
    </row>
    <row r="376" spans="18:27">
      <c r="S376" s="35" t="s">
        <v>653</v>
      </c>
      <c r="W376" s="8"/>
      <c r="X376" s="9"/>
      <c r="Y376" s="10"/>
      <c r="AA376" s="12"/>
    </row>
    <row r="377" spans="18:27">
      <c r="S377" t="s">
        <v>672</v>
      </c>
      <c r="W377" s="8" t="s">
        <v>203</v>
      </c>
      <c r="Y377" s="10">
        <v>0.53</v>
      </c>
      <c r="Z377" s="12">
        <v>55.08</v>
      </c>
      <c r="AA377" s="12">
        <f>Y377*Z377</f>
        <v>29.192399999999999</v>
      </c>
    </row>
    <row r="378" spans="18:27">
      <c r="S378" t="s">
        <v>673</v>
      </c>
      <c r="W378" s="8" t="s">
        <v>203</v>
      </c>
      <c r="Y378" s="10">
        <v>0.52</v>
      </c>
      <c r="Z378" s="12">
        <v>47</v>
      </c>
      <c r="AA378" s="12">
        <f>Y378*Z378</f>
        <v>24.44</v>
      </c>
    </row>
    <row r="379" spans="18:27">
      <c r="S379" t="s">
        <v>306</v>
      </c>
      <c r="W379" s="8" t="s">
        <v>307</v>
      </c>
      <c r="Y379" s="10">
        <v>9.73</v>
      </c>
      <c r="Z379" s="12">
        <v>24.52</v>
      </c>
      <c r="AA379" s="12">
        <f>Y379*Z379</f>
        <v>238.5796</v>
      </c>
    </row>
    <row r="380" spans="18:27">
      <c r="S380" t="s">
        <v>655</v>
      </c>
      <c r="W380" s="8" t="s">
        <v>203</v>
      </c>
      <c r="Y380" s="10">
        <v>0.186</v>
      </c>
      <c r="Z380">
        <v>6.14</v>
      </c>
      <c r="AA380" s="12">
        <f>Y380*Z380</f>
        <v>1.1420399999999999</v>
      </c>
    </row>
    <row r="381" spans="18:27">
      <c r="S381" t="s">
        <v>665</v>
      </c>
      <c r="W381" s="8" t="s">
        <v>439</v>
      </c>
      <c r="Y381" s="10">
        <v>0.2</v>
      </c>
      <c r="Z381">
        <v>13.93</v>
      </c>
      <c r="AA381" s="12">
        <f>Y381*Z381</f>
        <v>2.786</v>
      </c>
    </row>
    <row r="382" spans="18:27">
      <c r="W382" s="8"/>
      <c r="Y382" s="10"/>
      <c r="Z382" s="12"/>
      <c r="AA382" s="34">
        <f>SUM(AA377:AA381)</f>
        <v>296.14004</v>
      </c>
    </row>
    <row r="383" spans="18:27">
      <c r="S383" s="35" t="s">
        <v>309</v>
      </c>
    </row>
    <row r="384" spans="18:27">
      <c r="S384" t="s">
        <v>310</v>
      </c>
      <c r="W384" s="8" t="s">
        <v>311</v>
      </c>
      <c r="Y384" s="10">
        <v>3</v>
      </c>
      <c r="Z384" s="12">
        <f>AA375</f>
        <v>76.232727272727274</v>
      </c>
      <c r="AA384" s="12">
        <f>Y384%*Z384</f>
        <v>2.2869818181818182</v>
      </c>
    </row>
    <row r="385" spans="18:27">
      <c r="S385" t="s">
        <v>667</v>
      </c>
      <c r="W385" s="8" t="s">
        <v>337</v>
      </c>
      <c r="X385" s="9">
        <v>1</v>
      </c>
      <c r="Y385" s="10">
        <f>X385*8/$U$369</f>
        <v>0.36363636363636365</v>
      </c>
      <c r="Z385" s="12">
        <v>25.63</v>
      </c>
      <c r="AA385" s="12">
        <f>Y385*Z385</f>
        <v>9.32</v>
      </c>
    </row>
    <row r="386" spans="18:27">
      <c r="S386" t="s">
        <v>690</v>
      </c>
      <c r="W386" s="8" t="s">
        <v>337</v>
      </c>
      <c r="X386" s="9">
        <v>1</v>
      </c>
      <c r="Y386" s="10">
        <f>X386*8/$U$369</f>
        <v>0.36363636363636365</v>
      </c>
      <c r="Z386" s="50">
        <v>20</v>
      </c>
      <c r="AA386" s="12">
        <f>Y386*Z386</f>
        <v>7.2727272727272734</v>
      </c>
    </row>
    <row r="387" spans="18:27">
      <c r="S387" t="s">
        <v>675</v>
      </c>
      <c r="W387" s="8" t="s">
        <v>337</v>
      </c>
      <c r="X387" s="9">
        <v>0.5</v>
      </c>
      <c r="Y387" s="10">
        <f>X387*8/$U$369</f>
        <v>0.18181818181818182</v>
      </c>
      <c r="Z387">
        <v>7.07</v>
      </c>
      <c r="AA387" s="12">
        <f>Y387*Z387</f>
        <v>1.2854545454545456</v>
      </c>
    </row>
    <row r="388" spans="18:27">
      <c r="R388" s="14"/>
      <c r="S388" s="14"/>
      <c r="T388" s="14"/>
      <c r="U388" s="14"/>
      <c r="V388" s="14"/>
      <c r="W388" s="14"/>
      <c r="X388" s="14"/>
      <c r="Y388" s="14"/>
      <c r="Z388" s="14"/>
      <c r="AA388" s="36">
        <f>SUM(AA384:AA387)</f>
        <v>20.165163636363637</v>
      </c>
    </row>
    <row r="390" spans="18:27">
      <c r="R390" s="31" t="s">
        <v>277</v>
      </c>
      <c r="S390" s="31"/>
      <c r="T390" s="31" t="s">
        <v>544</v>
      </c>
      <c r="U390" s="31"/>
    </row>
    <row r="391" spans="18:27">
      <c r="R391" s="31" t="s">
        <v>278</v>
      </c>
      <c r="S391" s="31" t="s">
        <v>279</v>
      </c>
      <c r="T391" s="32" t="s">
        <v>280</v>
      </c>
      <c r="U391" s="33">
        <v>25</v>
      </c>
      <c r="V391" s="32" t="s">
        <v>281</v>
      </c>
      <c r="W391" s="33">
        <f>U391</f>
        <v>25</v>
      </c>
      <c r="X391" s="31" t="s">
        <v>282</v>
      </c>
      <c r="Z391" s="32" t="s">
        <v>133</v>
      </c>
      <c r="AA391" s="34">
        <f>AA396+AA401+AA404</f>
        <v>66.122160000000008</v>
      </c>
    </row>
    <row r="392" spans="18:27">
      <c r="R392" s="31" t="s">
        <v>283</v>
      </c>
      <c r="S392" s="31" t="s">
        <v>284</v>
      </c>
      <c r="W392" s="32" t="s">
        <v>122</v>
      </c>
      <c r="X392" s="32" t="s">
        <v>285</v>
      </c>
      <c r="Y392" s="32" t="s">
        <v>286</v>
      </c>
      <c r="Z392" s="32" t="s">
        <v>287</v>
      </c>
      <c r="AA392" s="32" t="s">
        <v>288</v>
      </c>
    </row>
    <row r="393" spans="18:27">
      <c r="S393" s="35" t="s">
        <v>289</v>
      </c>
    </row>
    <row r="394" spans="18:27">
      <c r="S394" t="s">
        <v>290</v>
      </c>
      <c r="W394" s="8" t="s">
        <v>291</v>
      </c>
      <c r="X394" s="9">
        <v>2</v>
      </c>
      <c r="Y394" s="10">
        <f>X394*8/$U$391</f>
        <v>0.64</v>
      </c>
      <c r="Z394" s="12">
        <v>28.94</v>
      </c>
      <c r="AA394" s="12">
        <f>Y394*Z394</f>
        <v>18.521600000000003</v>
      </c>
    </row>
    <row r="395" spans="18:27">
      <c r="S395" t="s">
        <v>293</v>
      </c>
      <c r="W395" s="8" t="s">
        <v>291</v>
      </c>
      <c r="X395" s="9">
        <v>2</v>
      </c>
      <c r="Y395" s="10">
        <f>X395*8/$U$391</f>
        <v>0.64</v>
      </c>
      <c r="Z395" s="12">
        <v>21.36</v>
      </c>
      <c r="AA395" s="12">
        <f>Y395*Z395</f>
        <v>13.670400000000001</v>
      </c>
    </row>
    <row r="396" spans="18:27">
      <c r="W396" s="8"/>
      <c r="X396" s="9"/>
      <c r="Y396" s="10"/>
      <c r="Z396" s="12"/>
      <c r="AA396" s="34">
        <f>SUM(AA394:AA395)</f>
        <v>32.192000000000007</v>
      </c>
    </row>
    <row r="397" spans="18:27">
      <c r="S397" s="35" t="s">
        <v>653</v>
      </c>
      <c r="W397" s="8"/>
      <c r="X397" s="9"/>
      <c r="Y397" s="10"/>
      <c r="AA397" s="12"/>
    </row>
    <row r="398" spans="18:27">
      <c r="S398" t="s">
        <v>688</v>
      </c>
      <c r="W398" s="8" t="s">
        <v>296</v>
      </c>
      <c r="Y398" s="10">
        <v>0.1</v>
      </c>
      <c r="Z398" s="12">
        <v>2.64</v>
      </c>
      <c r="AA398" s="12">
        <f>Y398*Z398</f>
        <v>0.26400000000000001</v>
      </c>
    </row>
    <row r="399" spans="18:27">
      <c r="S399" t="s">
        <v>301</v>
      </c>
      <c r="W399" s="8" t="s">
        <v>296</v>
      </c>
      <c r="Y399" s="10">
        <v>0.24</v>
      </c>
      <c r="Z399" s="12">
        <v>5.51</v>
      </c>
      <c r="AA399" s="12">
        <f>Y399*Z399</f>
        <v>1.3223999999999998</v>
      </c>
    </row>
    <row r="400" spans="18:27">
      <c r="S400" t="s">
        <v>669</v>
      </c>
      <c r="W400" s="8" t="s">
        <v>305</v>
      </c>
      <c r="Y400" s="10">
        <v>5.41</v>
      </c>
      <c r="Z400" s="12">
        <v>5.8</v>
      </c>
      <c r="AA400" s="12">
        <f>Y400*Z400</f>
        <v>31.378</v>
      </c>
    </row>
    <row r="401" spans="18:27">
      <c r="W401" s="8"/>
      <c r="Y401" s="10"/>
      <c r="Z401" s="12"/>
      <c r="AA401" s="34">
        <f>SUM(AA398:AA400)</f>
        <v>32.964399999999998</v>
      </c>
    </row>
    <row r="402" spans="18:27">
      <c r="S402" s="35" t="s">
        <v>309</v>
      </c>
    </row>
    <row r="403" spans="18:27">
      <c r="S403" t="s">
        <v>310</v>
      </c>
      <c r="W403" s="8" t="s">
        <v>311</v>
      </c>
      <c r="Y403" s="10">
        <v>3</v>
      </c>
      <c r="Z403" s="12">
        <f>AA396</f>
        <v>32.192000000000007</v>
      </c>
      <c r="AA403" s="12">
        <f>Y403%*Z403</f>
        <v>0.96576000000000017</v>
      </c>
    </row>
    <row r="404" spans="18:27">
      <c r="R404" s="14"/>
      <c r="S404" s="14"/>
      <c r="T404" s="14"/>
      <c r="U404" s="14"/>
      <c r="V404" s="14"/>
      <c r="W404" s="14"/>
      <c r="X404" s="14"/>
      <c r="Y404" s="14"/>
      <c r="Z404" s="14"/>
      <c r="AA404" s="36">
        <f>SUM(AA403)</f>
        <v>0.96576000000000017</v>
      </c>
    </row>
    <row r="406" spans="18:27">
      <c r="R406" s="31" t="s">
        <v>277</v>
      </c>
      <c r="S406" s="31"/>
      <c r="T406" s="31" t="s">
        <v>691</v>
      </c>
      <c r="U406" s="31"/>
    </row>
    <row r="407" spans="18:27">
      <c r="R407" s="31" t="s">
        <v>278</v>
      </c>
      <c r="S407" s="31" t="s">
        <v>279</v>
      </c>
      <c r="T407" s="32" t="s">
        <v>280</v>
      </c>
      <c r="U407" s="33">
        <v>250</v>
      </c>
      <c r="V407" s="32" t="s">
        <v>281</v>
      </c>
      <c r="W407" s="33">
        <f>U407</f>
        <v>250</v>
      </c>
      <c r="X407" s="31" t="s">
        <v>282</v>
      </c>
      <c r="Z407" s="32" t="s">
        <v>133</v>
      </c>
      <c r="AA407" s="34">
        <f>AA412+AA416+AA420</f>
        <v>5.5639628445000007</v>
      </c>
    </row>
    <row r="408" spans="18:27">
      <c r="R408" s="31" t="s">
        <v>283</v>
      </c>
      <c r="S408" s="31" t="s">
        <v>284</v>
      </c>
      <c r="W408" s="32" t="s">
        <v>122</v>
      </c>
      <c r="X408" s="32" t="s">
        <v>285</v>
      </c>
      <c r="Y408" s="32" t="s">
        <v>286</v>
      </c>
      <c r="Z408" s="32" t="s">
        <v>287</v>
      </c>
      <c r="AA408" s="32" t="s">
        <v>288</v>
      </c>
    </row>
    <row r="409" spans="18:27">
      <c r="S409" s="35" t="s">
        <v>289</v>
      </c>
    </row>
    <row r="410" spans="18:27">
      <c r="S410" t="s">
        <v>290</v>
      </c>
      <c r="W410" s="8" t="s">
        <v>291</v>
      </c>
      <c r="X410" s="9">
        <v>1</v>
      </c>
      <c r="Y410" s="18">
        <f>X410*8/$U$407</f>
        <v>3.2000000000000001E-2</v>
      </c>
      <c r="Z410" s="12">
        <v>28.94</v>
      </c>
      <c r="AA410" s="12">
        <f>Y410*Z410</f>
        <v>0.92608000000000001</v>
      </c>
    </row>
    <row r="411" spans="18:27">
      <c r="S411" t="s">
        <v>679</v>
      </c>
      <c r="W411" s="8" t="s">
        <v>291</v>
      </c>
      <c r="X411" s="9">
        <v>1</v>
      </c>
      <c r="Y411" s="18">
        <f>X411*8/$U$407</f>
        <v>3.2000000000000001E-2</v>
      </c>
      <c r="Z411" s="12">
        <v>23.6</v>
      </c>
      <c r="AA411" s="12">
        <f>Y411*Z411</f>
        <v>0.75520000000000009</v>
      </c>
    </row>
    <row r="412" spans="18:27">
      <c r="W412" s="8"/>
      <c r="X412" s="9"/>
      <c r="AA412" s="48">
        <f>SUM(AA410:AA411)</f>
        <v>1.6812800000000001</v>
      </c>
    </row>
    <row r="413" spans="18:27">
      <c r="S413" s="47" t="s">
        <v>294</v>
      </c>
      <c r="W413" s="8"/>
      <c r="X413" s="9"/>
      <c r="Y413" s="18"/>
    </row>
    <row r="414" spans="18:27">
      <c r="S414" t="s">
        <v>295</v>
      </c>
      <c r="W414" s="8" t="s">
        <v>296</v>
      </c>
      <c r="X414" s="9"/>
      <c r="Y414" s="18">
        <v>0.03</v>
      </c>
      <c r="Z414" s="12">
        <v>2.64</v>
      </c>
      <c r="AA414" s="12">
        <f>Y414*Z414</f>
        <v>7.9200000000000007E-2</v>
      </c>
    </row>
    <row r="415" spans="18:27">
      <c r="S415" t="s">
        <v>680</v>
      </c>
      <c r="W415" s="8" t="s">
        <v>296</v>
      </c>
      <c r="X415" s="9"/>
      <c r="Y415" s="18">
        <v>1.05</v>
      </c>
      <c r="Z415" s="12">
        <f>1012.71*3.379/1000</f>
        <v>3.4219470900000002</v>
      </c>
      <c r="AA415" s="12">
        <f>Y415*Z415</f>
        <v>3.5930444445000003</v>
      </c>
    </row>
    <row r="416" spans="18:27">
      <c r="W416" s="8"/>
      <c r="X416" s="9"/>
      <c r="AA416" s="48">
        <f>SUM(AA414:AA415)</f>
        <v>3.6722444445000004</v>
      </c>
    </row>
    <row r="417" spans="18:27">
      <c r="S417" s="47" t="s">
        <v>317</v>
      </c>
      <c r="W417" s="8"/>
      <c r="X417" s="9"/>
    </row>
    <row r="418" spans="18:27">
      <c r="S418" t="s">
        <v>310</v>
      </c>
      <c r="W418" s="8" t="s">
        <v>311</v>
      </c>
      <c r="Y418" s="10">
        <v>3</v>
      </c>
      <c r="Z418" s="12">
        <f>AA412</f>
        <v>1.6812800000000001</v>
      </c>
      <c r="AA418" s="12">
        <f>Y418%*Z418</f>
        <v>5.0438400000000001E-2</v>
      </c>
    </row>
    <row r="419" spans="18:27">
      <c r="S419" t="s">
        <v>681</v>
      </c>
      <c r="W419" s="8" t="s">
        <v>291</v>
      </c>
      <c r="X419" s="9">
        <v>1</v>
      </c>
      <c r="Y419" s="18">
        <f>X419*8/$U$407</f>
        <v>3.2000000000000001E-2</v>
      </c>
      <c r="Z419" s="50">
        <v>5</v>
      </c>
      <c r="AA419" s="12">
        <f>Y419*Z419</f>
        <v>0.16</v>
      </c>
    </row>
    <row r="420" spans="18:27">
      <c r="R420" s="14"/>
      <c r="S420" s="14"/>
      <c r="T420" s="14"/>
      <c r="U420" s="14"/>
      <c r="V420" s="14"/>
      <c r="W420" s="14"/>
      <c r="X420" s="14"/>
      <c r="Y420" s="14"/>
      <c r="Z420" s="14"/>
      <c r="AA420" s="49">
        <f>SUM(AA418:AA419)</f>
        <v>0.2104384</v>
      </c>
    </row>
    <row r="422" spans="18:27">
      <c r="R422" s="2" t="s">
        <v>277</v>
      </c>
      <c r="S422" s="2"/>
      <c r="T422" s="3" t="s">
        <v>694</v>
      </c>
      <c r="U422" s="2"/>
    </row>
    <row r="423" spans="18:27">
      <c r="R423" s="2" t="s">
        <v>278</v>
      </c>
      <c r="S423" s="2" t="s">
        <v>416</v>
      </c>
      <c r="T423" s="4" t="s">
        <v>280</v>
      </c>
      <c r="U423" s="5">
        <v>25</v>
      </c>
      <c r="V423" s="4" t="s">
        <v>281</v>
      </c>
      <c r="W423" s="5">
        <f>U423</f>
        <v>25</v>
      </c>
      <c r="X423" s="2" t="s">
        <v>282</v>
      </c>
      <c r="Z423" s="4" t="s">
        <v>203</v>
      </c>
      <c r="AA423" s="6">
        <f>AA431+AA440+AA445</f>
        <v>396.88173599999999</v>
      </c>
    </row>
    <row r="424" spans="18:27">
      <c r="R424" s="2" t="s">
        <v>283</v>
      </c>
      <c r="S424" s="2" t="s">
        <v>284</v>
      </c>
      <c r="W424" s="4" t="s">
        <v>122</v>
      </c>
      <c r="X424" s="4" t="s">
        <v>285</v>
      </c>
      <c r="Y424" s="4" t="s">
        <v>286</v>
      </c>
      <c r="Z424" s="4" t="s">
        <v>287</v>
      </c>
      <c r="AA424" s="4" t="s">
        <v>288</v>
      </c>
    </row>
    <row r="425" spans="18:27">
      <c r="S425" s="7" t="s">
        <v>289</v>
      </c>
    </row>
    <row r="426" spans="18:27">
      <c r="S426" t="s">
        <v>650</v>
      </c>
      <c r="W426" s="8" t="s">
        <v>291</v>
      </c>
      <c r="X426" s="9">
        <v>0.2</v>
      </c>
      <c r="Y426" s="10">
        <f>X426*8/$U$423</f>
        <v>6.4000000000000001E-2</v>
      </c>
      <c r="Z426" s="11">
        <v>34.729999999999997</v>
      </c>
      <c r="AA426" s="12">
        <f>Y426*Z426</f>
        <v>2.2227199999999998</v>
      </c>
    </row>
    <row r="427" spans="18:27">
      <c r="S427" t="s">
        <v>290</v>
      </c>
      <c r="W427" s="8" t="s">
        <v>291</v>
      </c>
      <c r="X427" s="9">
        <v>2</v>
      </c>
      <c r="Y427" s="10">
        <f>X427*8/$U$423</f>
        <v>0.64</v>
      </c>
      <c r="Z427" s="11">
        <v>28.94</v>
      </c>
      <c r="AA427" s="12">
        <f>Y427*Z427</f>
        <v>18.521600000000003</v>
      </c>
    </row>
    <row r="428" spans="18:27">
      <c r="S428" t="s">
        <v>679</v>
      </c>
      <c r="W428" s="8" t="s">
        <v>291</v>
      </c>
      <c r="X428" s="9">
        <v>1</v>
      </c>
      <c r="Y428" s="10">
        <f>X428*8/$U$423</f>
        <v>0.32</v>
      </c>
      <c r="Z428">
        <v>23.6</v>
      </c>
      <c r="AA428" s="12">
        <f>Y428*Z428</f>
        <v>7.5520000000000005</v>
      </c>
    </row>
    <row r="429" spans="18:27">
      <c r="S429" t="s">
        <v>293</v>
      </c>
      <c r="W429" s="8" t="s">
        <v>291</v>
      </c>
      <c r="X429" s="9">
        <v>7</v>
      </c>
      <c r="Y429" s="10">
        <f>X429*8/$U$423</f>
        <v>2.2400000000000002</v>
      </c>
      <c r="Z429">
        <v>21.36</v>
      </c>
      <c r="AA429" s="12">
        <f>Y429*Z429</f>
        <v>47.846400000000003</v>
      </c>
    </row>
    <row r="430" spans="18:27">
      <c r="S430" t="s">
        <v>663</v>
      </c>
      <c r="W430" s="8" t="s">
        <v>291</v>
      </c>
      <c r="X430" s="9">
        <v>1</v>
      </c>
      <c r="Y430" s="10">
        <f>X430*8/$U$423</f>
        <v>0.32</v>
      </c>
      <c r="Z430">
        <v>29.94</v>
      </c>
      <c r="AA430" s="12">
        <f t="shared" ref="AA430" si="1">Y430*Z430</f>
        <v>9.5808</v>
      </c>
    </row>
    <row r="431" spans="18:27">
      <c r="W431" s="8"/>
      <c r="AA431" s="6">
        <f>SUM(AA426:AA430)</f>
        <v>85.723519999999994</v>
      </c>
    </row>
    <row r="432" spans="18:27">
      <c r="S432" s="7" t="s">
        <v>653</v>
      </c>
    </row>
    <row r="433" spans="18:27">
      <c r="S433" t="s">
        <v>695</v>
      </c>
      <c r="W433" s="8" t="s">
        <v>439</v>
      </c>
      <c r="Y433" s="10">
        <v>0.01</v>
      </c>
      <c r="Z433" s="12">
        <v>38.22</v>
      </c>
      <c r="AA433" s="12">
        <f>Y433*Z433</f>
        <v>0.38219999999999998</v>
      </c>
    </row>
    <row r="434" spans="18:27">
      <c r="S434" t="s">
        <v>696</v>
      </c>
      <c r="W434" s="8" t="s">
        <v>697</v>
      </c>
      <c r="Y434" s="10">
        <v>8.0000000000000002E-3</v>
      </c>
      <c r="Z434" s="12">
        <v>12.63</v>
      </c>
      <c r="AA434" s="12">
        <f t="shared" ref="AA434:AA439" si="2">Y434*Z434</f>
        <v>0.10104</v>
      </c>
    </row>
    <row r="435" spans="18:27">
      <c r="S435" t="s">
        <v>698</v>
      </c>
      <c r="W435" s="8" t="s">
        <v>439</v>
      </c>
      <c r="Y435" s="10">
        <v>0.12</v>
      </c>
      <c r="Z435" s="12">
        <v>13.93</v>
      </c>
      <c r="AA435" s="12">
        <f t="shared" si="2"/>
        <v>1.6716</v>
      </c>
    </row>
    <row r="436" spans="18:27">
      <c r="S436" t="s">
        <v>699</v>
      </c>
      <c r="W436" s="8" t="s">
        <v>203</v>
      </c>
      <c r="Y436" s="10">
        <v>0.8</v>
      </c>
      <c r="Z436" s="12">
        <v>55.08</v>
      </c>
      <c r="AA436" s="12">
        <f t="shared" si="2"/>
        <v>44.064</v>
      </c>
    </row>
    <row r="437" spans="18:27">
      <c r="S437" t="s">
        <v>700</v>
      </c>
      <c r="W437" s="8" t="s">
        <v>203</v>
      </c>
      <c r="Y437" s="10">
        <v>0.5</v>
      </c>
      <c r="Z437" s="12">
        <v>47</v>
      </c>
      <c r="AA437" s="12">
        <f t="shared" si="2"/>
        <v>23.5</v>
      </c>
    </row>
    <row r="438" spans="18:27">
      <c r="S438" t="s">
        <v>664</v>
      </c>
      <c r="W438" s="8" t="s">
        <v>203</v>
      </c>
      <c r="Y438" s="10">
        <v>0.18</v>
      </c>
      <c r="Z438" s="12">
        <v>6.14</v>
      </c>
      <c r="AA438" s="12">
        <f t="shared" si="2"/>
        <v>1.1052</v>
      </c>
    </row>
    <row r="439" spans="18:27">
      <c r="S439" t="s">
        <v>701</v>
      </c>
      <c r="W439" s="8" t="s">
        <v>307</v>
      </c>
      <c r="Y439" s="10">
        <v>9.1999999999999993</v>
      </c>
      <c r="Z439" s="12">
        <v>24.52</v>
      </c>
      <c r="AA439" s="12">
        <f t="shared" si="2"/>
        <v>225.58399999999997</v>
      </c>
    </row>
    <row r="440" spans="18:27">
      <c r="W440" s="8"/>
      <c r="Y440" s="10"/>
      <c r="Z440" s="12"/>
      <c r="AA440" s="6">
        <f>SUM(AA433:AA439)</f>
        <v>296.40803999999997</v>
      </c>
    </row>
    <row r="441" spans="18:27">
      <c r="S441" s="7" t="s">
        <v>309</v>
      </c>
    </row>
    <row r="442" spans="18:27">
      <c r="S442" t="s">
        <v>702</v>
      </c>
      <c r="W442" s="8" t="s">
        <v>337</v>
      </c>
      <c r="X442" s="9">
        <v>1</v>
      </c>
      <c r="Y442" s="10">
        <f>X442*8/$U$423</f>
        <v>0.32</v>
      </c>
      <c r="Z442" s="12">
        <v>25.63</v>
      </c>
      <c r="AA442" s="12">
        <f>Y442*Z442</f>
        <v>8.2015999999999991</v>
      </c>
    </row>
    <row r="443" spans="18:27">
      <c r="S443" t="s">
        <v>703</v>
      </c>
      <c r="W443" s="8" t="s">
        <v>337</v>
      </c>
      <c r="X443" s="9">
        <v>1</v>
      </c>
      <c r="Y443" s="10">
        <f>X443*8/$U$423</f>
        <v>0.32</v>
      </c>
      <c r="Z443" s="12">
        <v>7.07</v>
      </c>
      <c r="AA443" s="12">
        <f>Y443*Z443</f>
        <v>2.2624</v>
      </c>
    </row>
    <row r="444" spans="18:27">
      <c r="S444" t="s">
        <v>310</v>
      </c>
      <c r="W444" s="8" t="s">
        <v>311</v>
      </c>
      <c r="Y444" s="10">
        <v>5</v>
      </c>
      <c r="Z444" s="12">
        <f>AA431</f>
        <v>85.723519999999994</v>
      </c>
      <c r="AA444" s="12">
        <f>Y444%*Z444</f>
        <v>4.2861760000000002</v>
      </c>
    </row>
    <row r="445" spans="18:27">
      <c r="R445" s="14"/>
      <c r="S445" s="14"/>
      <c r="T445" s="14"/>
      <c r="U445" s="14"/>
      <c r="V445" s="14"/>
      <c r="W445" s="14"/>
      <c r="X445" s="14"/>
      <c r="Y445" s="14"/>
      <c r="Z445" s="15"/>
      <c r="AA445" s="16">
        <f>SUM(AA442:AA444)</f>
        <v>14.750176</v>
      </c>
    </row>
    <row r="447" spans="18:27">
      <c r="R447" s="2" t="s">
        <v>277</v>
      </c>
      <c r="S447" s="2"/>
      <c r="T447" s="3" t="s">
        <v>704</v>
      </c>
      <c r="U447" s="2"/>
    </row>
    <row r="448" spans="18:27">
      <c r="R448" s="2" t="s">
        <v>278</v>
      </c>
      <c r="S448" s="2" t="s">
        <v>279</v>
      </c>
      <c r="T448" s="4" t="s">
        <v>280</v>
      </c>
      <c r="U448" s="5">
        <v>35</v>
      </c>
      <c r="V448" s="4" t="s">
        <v>281</v>
      </c>
      <c r="W448" s="5">
        <f>U448</f>
        <v>35</v>
      </c>
      <c r="X448" s="2" t="s">
        <v>282</v>
      </c>
      <c r="Z448" s="4" t="s">
        <v>133</v>
      </c>
      <c r="AA448" s="6">
        <f>AA454+AA459+AA462</f>
        <v>45.796600000000005</v>
      </c>
    </row>
    <row r="449" spans="18:27">
      <c r="R449" s="2" t="s">
        <v>283</v>
      </c>
      <c r="S449" s="2" t="s">
        <v>284</v>
      </c>
      <c r="W449" s="4" t="s">
        <v>122</v>
      </c>
      <c r="X449" s="4" t="s">
        <v>285</v>
      </c>
      <c r="Y449" s="4" t="s">
        <v>286</v>
      </c>
      <c r="Z449" s="4" t="s">
        <v>287</v>
      </c>
      <c r="AA449" s="4" t="s">
        <v>288</v>
      </c>
    </row>
    <row r="450" spans="18:27">
      <c r="S450" s="7" t="s">
        <v>289</v>
      </c>
    </row>
    <row r="451" spans="18:27">
      <c r="S451" t="s">
        <v>290</v>
      </c>
      <c r="W451" s="8" t="s">
        <v>291</v>
      </c>
      <c r="X451" s="9">
        <v>2</v>
      </c>
      <c r="Y451" s="10">
        <f>X451*8/$U$448</f>
        <v>0.45714285714285713</v>
      </c>
      <c r="Z451" s="12">
        <v>28.94</v>
      </c>
      <c r="AA451" s="12">
        <f>Y451*Z451</f>
        <v>13.229714285714286</v>
      </c>
    </row>
    <row r="452" spans="18:27">
      <c r="S452" t="s">
        <v>679</v>
      </c>
      <c r="W452" s="8" t="s">
        <v>291</v>
      </c>
      <c r="X452" s="9">
        <v>1</v>
      </c>
      <c r="Y452" s="10">
        <f>X452*8/$U$448</f>
        <v>0.22857142857142856</v>
      </c>
      <c r="Z452">
        <v>23.6</v>
      </c>
      <c r="AA452" s="12">
        <f>Y452*Z452</f>
        <v>5.3942857142857141</v>
      </c>
    </row>
    <row r="453" spans="18:27">
      <c r="S453" t="s">
        <v>293</v>
      </c>
      <c r="W453" s="8" t="s">
        <v>291</v>
      </c>
      <c r="X453" s="9">
        <v>1</v>
      </c>
      <c r="Y453" s="10">
        <f>X453*8/$U$448</f>
        <v>0.22857142857142856</v>
      </c>
      <c r="Z453">
        <v>21.36</v>
      </c>
      <c r="AA453" s="12">
        <f t="shared" ref="AA453" si="3">Y453*Z453</f>
        <v>4.8822857142857137</v>
      </c>
    </row>
    <row r="454" spans="18:27">
      <c r="W454" s="8"/>
      <c r="AA454" s="6">
        <f>SUM(AA451:AA453)</f>
        <v>23.506285714285713</v>
      </c>
    </row>
    <row r="455" spans="18:27">
      <c r="S455" s="7" t="s">
        <v>653</v>
      </c>
    </row>
    <row r="456" spans="18:27">
      <c r="S456" t="s">
        <v>688</v>
      </c>
      <c r="W456" s="8" t="s">
        <v>296</v>
      </c>
      <c r="Y456" s="10">
        <v>0.1</v>
      </c>
      <c r="Z456" s="12">
        <v>2.64</v>
      </c>
      <c r="AA456" s="12">
        <f t="shared" ref="AA456:AA458" si="4">Y456*Z456</f>
        <v>0.26400000000000001</v>
      </c>
    </row>
    <row r="457" spans="18:27">
      <c r="S457" t="s">
        <v>301</v>
      </c>
      <c r="W457" s="8" t="s">
        <v>296</v>
      </c>
      <c r="Y457" s="10">
        <v>0.1</v>
      </c>
      <c r="Z457" s="12">
        <v>5.51</v>
      </c>
      <c r="AA457" s="12">
        <f t="shared" si="4"/>
        <v>0.55100000000000005</v>
      </c>
    </row>
    <row r="458" spans="18:27">
      <c r="S458" t="s">
        <v>669</v>
      </c>
      <c r="W458" s="8" t="s">
        <v>296</v>
      </c>
      <c r="Y458" s="10">
        <v>3.5</v>
      </c>
      <c r="Z458" s="12">
        <v>5.8</v>
      </c>
      <c r="AA458" s="12">
        <f t="shared" si="4"/>
        <v>20.3</v>
      </c>
    </row>
    <row r="459" spans="18:27">
      <c r="AA459" s="6">
        <f>SUM(AA456:AA458)</f>
        <v>21.115000000000002</v>
      </c>
    </row>
    <row r="460" spans="18:27">
      <c r="S460" s="7" t="s">
        <v>309</v>
      </c>
    </row>
    <row r="461" spans="18:27">
      <c r="S461" t="s">
        <v>310</v>
      </c>
      <c r="W461" s="8" t="s">
        <v>311</v>
      </c>
      <c r="Y461" s="10">
        <v>5</v>
      </c>
      <c r="Z461" s="12">
        <f>AA454</f>
        <v>23.506285714285713</v>
      </c>
      <c r="AA461" s="12">
        <f>Y461%*Z461</f>
        <v>1.1753142857142858</v>
      </c>
    </row>
    <row r="462" spans="18:27">
      <c r="R462" s="14"/>
      <c r="S462" s="14"/>
      <c r="T462" s="14"/>
      <c r="U462" s="14"/>
      <c r="V462" s="14"/>
      <c r="W462" s="14"/>
      <c r="X462" s="14"/>
      <c r="Y462" s="14"/>
      <c r="Z462" s="14"/>
      <c r="AA462" s="16">
        <f>SUM(AA461)</f>
        <v>1.1753142857142858</v>
      </c>
    </row>
    <row r="464" spans="18:27">
      <c r="R464" s="37" t="s">
        <v>277</v>
      </c>
      <c r="S464" s="37"/>
      <c r="T464" s="3" t="s">
        <v>562</v>
      </c>
    </row>
    <row r="465" spans="18:27">
      <c r="R465" s="37" t="s">
        <v>278</v>
      </c>
      <c r="S465" s="37" t="s">
        <v>705</v>
      </c>
      <c r="T465" s="38" t="s">
        <v>280</v>
      </c>
      <c r="U465" s="39">
        <v>250</v>
      </c>
      <c r="V465" s="38" t="s">
        <v>281</v>
      </c>
      <c r="W465" s="39">
        <f>U465</f>
        <v>250</v>
      </c>
      <c r="X465" s="37" t="s">
        <v>282</v>
      </c>
      <c r="Z465" s="38" t="s">
        <v>706</v>
      </c>
      <c r="AA465" s="40">
        <f>AA471+AA475+AA478</f>
        <v>5.4833634845000008</v>
      </c>
    </row>
    <row r="466" spans="18:27">
      <c r="R466" s="37" t="s">
        <v>283</v>
      </c>
      <c r="S466" s="37" t="s">
        <v>284</v>
      </c>
      <c r="W466" s="38" t="s">
        <v>122</v>
      </c>
      <c r="X466" s="38" t="s">
        <v>285</v>
      </c>
      <c r="Y466" s="38" t="s">
        <v>286</v>
      </c>
      <c r="Z466" s="38" t="s">
        <v>287</v>
      </c>
      <c r="AA466" s="38" t="s">
        <v>288</v>
      </c>
    </row>
    <row r="467" spans="18:27">
      <c r="S467" s="41" t="s">
        <v>289</v>
      </c>
      <c r="X467" s="9"/>
    </row>
    <row r="468" spans="18:27">
      <c r="S468" t="s">
        <v>290</v>
      </c>
      <c r="W468" s="8" t="s">
        <v>291</v>
      </c>
      <c r="X468" s="9">
        <v>1</v>
      </c>
      <c r="Y468" s="18">
        <f>X468*8/$U$465</f>
        <v>3.2000000000000001E-2</v>
      </c>
      <c r="Z468" s="11">
        <v>29.99</v>
      </c>
      <c r="AA468" s="12">
        <f>Y468*Z468</f>
        <v>0.95967999999999998</v>
      </c>
    </row>
    <row r="469" spans="18:27">
      <c r="S469" t="s">
        <v>679</v>
      </c>
      <c r="W469" s="8" t="s">
        <v>291</v>
      </c>
      <c r="X469" s="9">
        <v>1</v>
      </c>
      <c r="Y469" s="18">
        <f>X469*8/$U$465</f>
        <v>3.2000000000000001E-2</v>
      </c>
      <c r="Z469">
        <v>21.36</v>
      </c>
      <c r="AA469" s="12">
        <f>Y469*Z469</f>
        <v>0.68352000000000002</v>
      </c>
    </row>
    <row r="470" spans="18:27">
      <c r="S470" t="s">
        <v>650</v>
      </c>
      <c r="W470" s="8" t="s">
        <v>291</v>
      </c>
      <c r="X470" s="9">
        <v>0.1</v>
      </c>
      <c r="Y470" s="18">
        <f>X470*8/$U$465</f>
        <v>3.2000000000000002E-3</v>
      </c>
      <c r="Z470" s="11">
        <v>35.99</v>
      </c>
      <c r="AA470" s="12">
        <f>Y470*Z470</f>
        <v>0.11516800000000001</v>
      </c>
    </row>
    <row r="471" spans="18:27">
      <c r="W471" s="8"/>
      <c r="X471" s="9"/>
      <c r="AA471" s="40">
        <f>SUM(AA468:AA470)</f>
        <v>1.7583679999999999</v>
      </c>
    </row>
    <row r="472" spans="18:27">
      <c r="S472" s="41" t="s">
        <v>294</v>
      </c>
      <c r="W472" s="8"/>
      <c r="X472" s="9"/>
      <c r="Y472" s="18"/>
    </row>
    <row r="473" spans="18:27">
      <c r="S473" t="s">
        <v>295</v>
      </c>
      <c r="W473" s="8" t="s">
        <v>296</v>
      </c>
      <c r="X473" s="9"/>
      <c r="Y473" s="18">
        <v>0.03</v>
      </c>
      <c r="Z473" s="12">
        <v>2.64</v>
      </c>
      <c r="AA473" s="12">
        <f>Y473*Z473</f>
        <v>7.9200000000000007E-2</v>
      </c>
    </row>
    <row r="474" spans="18:27">
      <c r="S474" t="s">
        <v>680</v>
      </c>
      <c r="W474" s="8" t="s">
        <v>296</v>
      </c>
      <c r="X474" s="9"/>
      <c r="Y474" s="18">
        <v>1.05</v>
      </c>
      <c r="Z474" s="12">
        <f>1012.71*3.379/1000</f>
        <v>3.4219470900000002</v>
      </c>
      <c r="AA474" s="12">
        <f>Y474*Z474</f>
        <v>3.5930444445000003</v>
      </c>
    </row>
    <row r="475" spans="18:27">
      <c r="W475" s="8"/>
      <c r="X475" s="9"/>
      <c r="AA475" s="40">
        <f>SUM(AA473:AA474)</f>
        <v>3.6722444445000004</v>
      </c>
    </row>
    <row r="476" spans="18:27">
      <c r="S476" s="41" t="s">
        <v>317</v>
      </c>
      <c r="W476" s="8"/>
      <c r="X476" s="9"/>
    </row>
    <row r="477" spans="18:27">
      <c r="S477" t="s">
        <v>310</v>
      </c>
      <c r="W477" s="8" t="s">
        <v>311</v>
      </c>
      <c r="Y477" s="10">
        <v>3</v>
      </c>
      <c r="Z477" s="12">
        <f>AA471</f>
        <v>1.7583679999999999</v>
      </c>
      <c r="AA477" s="12">
        <f>Y477%*Z477</f>
        <v>5.2751039999999999E-2</v>
      </c>
    </row>
    <row r="478" spans="18:27">
      <c r="R478" s="14"/>
      <c r="S478" s="14"/>
      <c r="T478" s="14"/>
      <c r="U478" s="14"/>
      <c r="V478" s="14"/>
      <c r="W478" s="14"/>
      <c r="X478" s="14"/>
      <c r="Y478" s="14"/>
      <c r="Z478" s="14"/>
      <c r="AA478" s="42">
        <f>SUM(AA477:AA477)</f>
        <v>5.2751039999999999E-2</v>
      </c>
    </row>
    <row r="480" spans="18:27">
      <c r="R480" s="37" t="s">
        <v>277</v>
      </c>
      <c r="S480" s="37"/>
      <c r="T480" s="37" t="s">
        <v>564</v>
      </c>
    </row>
    <row r="481" spans="18:27">
      <c r="R481" s="37" t="s">
        <v>278</v>
      </c>
      <c r="S481" s="37" t="s">
        <v>705</v>
      </c>
      <c r="T481" s="38" t="s">
        <v>280</v>
      </c>
      <c r="U481" s="39">
        <v>1600</v>
      </c>
      <c r="V481" s="38" t="s">
        <v>281</v>
      </c>
      <c r="W481" s="39">
        <f>U481</f>
        <v>1600</v>
      </c>
      <c r="X481" s="37" t="s">
        <v>282</v>
      </c>
      <c r="Z481" s="38" t="s">
        <v>706</v>
      </c>
      <c r="AA481" s="40">
        <f>AA487+AA491+AA494</f>
        <v>2.715605</v>
      </c>
    </row>
    <row r="482" spans="18:27">
      <c r="R482" s="37" t="s">
        <v>283</v>
      </c>
      <c r="S482" s="37" t="s">
        <v>284</v>
      </c>
      <c r="W482" s="38" t="s">
        <v>122</v>
      </c>
      <c r="X482" s="38" t="s">
        <v>285</v>
      </c>
      <c r="Y482" s="38" t="s">
        <v>286</v>
      </c>
      <c r="Z482" s="38" t="s">
        <v>287</v>
      </c>
      <c r="AA482" s="38" t="s">
        <v>288</v>
      </c>
    </row>
    <row r="483" spans="18:27">
      <c r="S483" s="41" t="s">
        <v>289</v>
      </c>
      <c r="X483" s="9"/>
    </row>
    <row r="484" spans="18:27">
      <c r="S484" t="s">
        <v>290</v>
      </c>
      <c r="W484" s="8" t="s">
        <v>291</v>
      </c>
      <c r="X484" s="9">
        <v>1</v>
      </c>
      <c r="Y484" s="10">
        <f>X484*8/$U$481</f>
        <v>5.0000000000000001E-3</v>
      </c>
      <c r="Z484">
        <v>28.94</v>
      </c>
      <c r="AA484" s="12">
        <f>Y484*Z484</f>
        <v>0.14470000000000002</v>
      </c>
    </row>
    <row r="485" spans="18:27">
      <c r="S485" t="s">
        <v>679</v>
      </c>
      <c r="W485" s="8" t="s">
        <v>291</v>
      </c>
      <c r="X485" s="9">
        <v>1</v>
      </c>
      <c r="Y485" s="10">
        <f>X485*8/$U$481</f>
        <v>5.0000000000000001E-3</v>
      </c>
      <c r="Z485">
        <v>23.6</v>
      </c>
      <c r="AA485" s="12">
        <f>Y485*Z485</f>
        <v>0.11800000000000001</v>
      </c>
    </row>
    <row r="486" spans="18:27">
      <c r="S486" t="s">
        <v>293</v>
      </c>
      <c r="W486" s="8" t="s">
        <v>291</v>
      </c>
      <c r="X486" s="9">
        <v>6</v>
      </c>
      <c r="Y486" s="10">
        <f>X486*8/$U$481</f>
        <v>0.03</v>
      </c>
      <c r="Z486">
        <v>21.36</v>
      </c>
      <c r="AA486" s="12">
        <f t="shared" ref="AA486" si="5">Y486*Z486</f>
        <v>0.64079999999999993</v>
      </c>
    </row>
    <row r="487" spans="18:27">
      <c r="W487" s="8"/>
      <c r="X487" s="9"/>
      <c r="AA487" s="40">
        <f>SUM(AA484:AA486)</f>
        <v>0.90349999999999997</v>
      </c>
    </row>
    <row r="488" spans="18:27">
      <c r="S488" s="41" t="s">
        <v>294</v>
      </c>
      <c r="W488" s="8"/>
      <c r="X488" s="9"/>
      <c r="Y488" s="18"/>
    </row>
    <row r="489" spans="18:27">
      <c r="S489" t="s">
        <v>708</v>
      </c>
      <c r="W489" s="8" t="s">
        <v>149</v>
      </c>
      <c r="X489" s="9"/>
      <c r="Y489" s="18">
        <v>1.05</v>
      </c>
      <c r="Z489" s="12">
        <v>1.7</v>
      </c>
      <c r="AA489" s="12">
        <f>Y489*Z489</f>
        <v>1.7849999999999999</v>
      </c>
    </row>
    <row r="490" spans="18:27">
      <c r="W490" s="8"/>
      <c r="X490" s="9"/>
      <c r="Y490" s="18"/>
      <c r="Z490" s="12"/>
      <c r="AA490" s="12"/>
    </row>
    <row r="491" spans="18:27">
      <c r="W491" s="8"/>
      <c r="X491" s="9"/>
      <c r="AA491" s="40">
        <f>SUM(AA489:AA490)</f>
        <v>1.7849999999999999</v>
      </c>
    </row>
    <row r="492" spans="18:27">
      <c r="S492" s="41" t="s">
        <v>317</v>
      </c>
      <c r="W492" s="8"/>
      <c r="X492" s="9"/>
    </row>
    <row r="493" spans="18:27">
      <c r="S493" t="s">
        <v>310</v>
      </c>
      <c r="W493" s="8" t="s">
        <v>311</v>
      </c>
      <c r="Y493" s="10">
        <v>3</v>
      </c>
      <c r="Z493" s="12">
        <f>AA487</f>
        <v>0.90349999999999997</v>
      </c>
      <c r="AA493" s="12">
        <f>Y493%*Z493</f>
        <v>2.7104999999999997E-2</v>
      </c>
    </row>
    <row r="494" spans="18:27">
      <c r="R494" s="14"/>
      <c r="S494" s="14"/>
      <c r="T494" s="14"/>
      <c r="U494" s="14"/>
      <c r="V494" s="14"/>
      <c r="W494" s="14"/>
      <c r="X494" s="14"/>
      <c r="Y494" s="14"/>
      <c r="Z494" s="14"/>
      <c r="AA494" s="42">
        <f>SUM(AA493:AA493)</f>
        <v>2.7104999999999997E-2</v>
      </c>
    </row>
    <row r="496" spans="18:27">
      <c r="R496" s="2" t="s">
        <v>277</v>
      </c>
      <c r="S496" s="2"/>
      <c r="T496" s="2" t="s">
        <v>569</v>
      </c>
      <c r="U496" s="2"/>
    </row>
    <row r="497" spans="18:27">
      <c r="R497" s="2" t="s">
        <v>278</v>
      </c>
      <c r="S497" s="2" t="s">
        <v>416</v>
      </c>
      <c r="T497" s="4" t="s">
        <v>280</v>
      </c>
      <c r="U497" s="5">
        <v>20</v>
      </c>
      <c r="V497" s="4" t="s">
        <v>281</v>
      </c>
      <c r="W497" s="5">
        <f>U497</f>
        <v>20</v>
      </c>
      <c r="X497" s="2" t="s">
        <v>282</v>
      </c>
      <c r="Z497" s="4" t="s">
        <v>203</v>
      </c>
      <c r="AA497" s="6">
        <f>AA506+AA513+AA519</f>
        <v>471.73033999999996</v>
      </c>
    </row>
    <row r="498" spans="18:27">
      <c r="R498" s="2" t="s">
        <v>283</v>
      </c>
      <c r="S498" s="2" t="s">
        <v>284</v>
      </c>
      <c r="W498" s="4" t="s">
        <v>122</v>
      </c>
      <c r="X498" s="4" t="s">
        <v>285</v>
      </c>
      <c r="Y498" s="4" t="s">
        <v>286</v>
      </c>
      <c r="Z498" s="4" t="s">
        <v>287</v>
      </c>
      <c r="AA498" s="4" t="s">
        <v>288</v>
      </c>
    </row>
    <row r="499" spans="18:27">
      <c r="S499" s="7" t="s">
        <v>289</v>
      </c>
    </row>
    <row r="500" spans="18:27">
      <c r="W500" s="8"/>
      <c r="X500" s="9"/>
      <c r="Y500" s="10"/>
      <c r="Z500" s="11"/>
      <c r="AA500" s="12"/>
    </row>
    <row r="501" spans="18:27">
      <c r="S501" t="s">
        <v>650</v>
      </c>
      <c r="W501" s="8" t="s">
        <v>291</v>
      </c>
      <c r="X501" s="9">
        <v>0.2</v>
      </c>
      <c r="Y501" s="10">
        <f>X501*8/$U$497</f>
        <v>0.08</v>
      </c>
      <c r="Z501">
        <v>34.729999999999997</v>
      </c>
      <c r="AA501" s="12">
        <f>Y501*Z501</f>
        <v>2.7784</v>
      </c>
    </row>
    <row r="502" spans="18:27">
      <c r="S502" t="s">
        <v>290</v>
      </c>
      <c r="W502" s="8" t="s">
        <v>291</v>
      </c>
      <c r="X502" s="9">
        <v>2</v>
      </c>
      <c r="Y502" s="10">
        <f>X502*8/$U$497</f>
        <v>0.8</v>
      </c>
      <c r="Z502">
        <v>28.94</v>
      </c>
      <c r="AA502" s="12">
        <f>Y502*Z502</f>
        <v>23.152000000000001</v>
      </c>
    </row>
    <row r="503" spans="18:27">
      <c r="S503" t="s">
        <v>679</v>
      </c>
      <c r="W503" s="8" t="s">
        <v>291</v>
      </c>
      <c r="X503" s="9">
        <v>2</v>
      </c>
      <c r="Y503" s="10">
        <f>X503*8/$U$497</f>
        <v>0.8</v>
      </c>
      <c r="Z503">
        <v>23.6</v>
      </c>
      <c r="AA503" s="12">
        <f>Y503*Z503</f>
        <v>18.880000000000003</v>
      </c>
    </row>
    <row r="504" spans="18:27">
      <c r="S504" t="s">
        <v>293</v>
      </c>
      <c r="W504" s="8" t="s">
        <v>291</v>
      </c>
      <c r="X504" s="9">
        <v>12</v>
      </c>
      <c r="Y504" s="10">
        <f>X504*8/$U$497</f>
        <v>4.8</v>
      </c>
      <c r="Z504">
        <v>21.36</v>
      </c>
      <c r="AA504" s="12">
        <f>Y504*Z504</f>
        <v>102.52799999999999</v>
      </c>
    </row>
    <row r="505" spans="18:27">
      <c r="S505" t="s">
        <v>663</v>
      </c>
      <c r="W505" s="8" t="s">
        <v>291</v>
      </c>
      <c r="X505" s="9">
        <v>2</v>
      </c>
      <c r="Y505" s="10">
        <f>X505*8/$U$497</f>
        <v>0.8</v>
      </c>
      <c r="Z505">
        <v>29.94</v>
      </c>
      <c r="AA505" s="12">
        <f t="shared" ref="AA505" si="6">Y505*Z505</f>
        <v>23.952000000000002</v>
      </c>
    </row>
    <row r="506" spans="18:27">
      <c r="W506" s="8"/>
      <c r="AA506" s="6">
        <f>SUM(AA500:AA504)</f>
        <v>147.33839999999998</v>
      </c>
    </row>
    <row r="507" spans="18:27">
      <c r="S507" s="7" t="s">
        <v>653</v>
      </c>
    </row>
    <row r="508" spans="18:27">
      <c r="S508" t="s">
        <v>698</v>
      </c>
      <c r="W508" s="8" t="s">
        <v>439</v>
      </c>
      <c r="Y508" s="10">
        <v>0.186</v>
      </c>
      <c r="Z508" s="12">
        <v>13.93</v>
      </c>
      <c r="AA508" s="12">
        <f>Y508*Z508</f>
        <v>2.5909800000000001</v>
      </c>
    </row>
    <row r="509" spans="18:27">
      <c r="S509" t="s">
        <v>699</v>
      </c>
      <c r="W509" s="8" t="s">
        <v>203</v>
      </c>
      <c r="Y509" s="10">
        <v>0.53</v>
      </c>
      <c r="Z509" s="12">
        <v>55.08</v>
      </c>
      <c r="AA509" s="12">
        <f>Y509*Z509</f>
        <v>29.192399999999999</v>
      </c>
    </row>
    <row r="510" spans="18:27">
      <c r="S510" t="s">
        <v>700</v>
      </c>
      <c r="W510" s="8" t="s">
        <v>203</v>
      </c>
      <c r="Y510" s="10">
        <v>0.52</v>
      </c>
      <c r="Z510" s="12">
        <v>47</v>
      </c>
      <c r="AA510" s="12">
        <f>Y510*Z510</f>
        <v>24.44</v>
      </c>
    </row>
    <row r="511" spans="18:27">
      <c r="S511" t="s">
        <v>664</v>
      </c>
      <c r="W511" s="8" t="s">
        <v>203</v>
      </c>
      <c r="Y511" s="10">
        <v>0.186</v>
      </c>
      <c r="Z511" s="12">
        <v>6.14</v>
      </c>
      <c r="AA511" s="12">
        <f>Y511*Z511</f>
        <v>1.1420399999999999</v>
      </c>
    </row>
    <row r="512" spans="18:27">
      <c r="S512" t="s">
        <v>701</v>
      </c>
      <c r="W512" s="8" t="s">
        <v>307</v>
      </c>
      <c r="Y512" s="10">
        <v>9.73</v>
      </c>
      <c r="Z512" s="12">
        <v>24.52</v>
      </c>
      <c r="AA512" s="12">
        <f>Y512*Z512</f>
        <v>238.5796</v>
      </c>
    </row>
    <row r="513" spans="18:27">
      <c r="W513" s="8"/>
      <c r="Y513" s="10"/>
      <c r="Z513" s="12"/>
      <c r="AA513" s="6">
        <f>SUM(AA508:AA512)</f>
        <v>295.94502</v>
      </c>
    </row>
    <row r="514" spans="18:27">
      <c r="S514" s="7" t="s">
        <v>309</v>
      </c>
    </row>
    <row r="515" spans="18:27">
      <c r="S515" t="s">
        <v>702</v>
      </c>
      <c r="W515" s="8" t="s">
        <v>337</v>
      </c>
      <c r="X515" s="9">
        <v>1</v>
      </c>
      <c r="Y515" s="10">
        <f>X515*8/$U$497</f>
        <v>0.4</v>
      </c>
      <c r="Z515" s="12">
        <v>25.63</v>
      </c>
      <c r="AA515" s="12">
        <f>Y515*Z515</f>
        <v>10.252000000000001</v>
      </c>
    </row>
    <row r="516" spans="18:27">
      <c r="S516" t="s">
        <v>703</v>
      </c>
      <c r="W516" s="8" t="s">
        <v>337</v>
      </c>
      <c r="X516" s="9">
        <v>1</v>
      </c>
      <c r="Y516" s="10">
        <f>X516*8/$U$497</f>
        <v>0.4</v>
      </c>
      <c r="Z516" s="12">
        <v>7.07</v>
      </c>
      <c r="AA516" s="12">
        <f>Y516*Z516</f>
        <v>2.8280000000000003</v>
      </c>
    </row>
    <row r="517" spans="18:27">
      <c r="S517" t="s">
        <v>709</v>
      </c>
      <c r="W517" s="8" t="s">
        <v>337</v>
      </c>
      <c r="X517" s="9">
        <v>1</v>
      </c>
      <c r="Y517" s="10">
        <f>X517*8/$U$497</f>
        <v>0.4</v>
      </c>
      <c r="Z517" s="12">
        <v>20</v>
      </c>
      <c r="AA517" s="12">
        <f>Y517*Z517</f>
        <v>8</v>
      </c>
    </row>
    <row r="518" spans="18:27">
      <c r="S518" t="s">
        <v>310</v>
      </c>
      <c r="W518" s="8" t="s">
        <v>311</v>
      </c>
      <c r="Y518" s="10">
        <v>5</v>
      </c>
      <c r="Z518" s="12">
        <f>AA506</f>
        <v>147.33839999999998</v>
      </c>
      <c r="AA518" s="12">
        <f>Y518%*Z518</f>
        <v>7.3669199999999995</v>
      </c>
    </row>
    <row r="519" spans="18:27">
      <c r="R519" s="14"/>
      <c r="S519" s="14"/>
      <c r="T519" s="14"/>
      <c r="U519" s="14"/>
      <c r="V519" s="14"/>
      <c r="W519" s="14"/>
      <c r="X519" s="14"/>
      <c r="Y519" s="14"/>
      <c r="Z519" s="15"/>
      <c r="AA519" s="16">
        <f>SUM(AA515:AA518)</f>
        <v>28.446920000000002</v>
      </c>
    </row>
    <row r="521" spans="18:27">
      <c r="R521" s="2" t="s">
        <v>277</v>
      </c>
      <c r="S521" s="2"/>
      <c r="T521" s="2" t="s">
        <v>571</v>
      </c>
      <c r="U521" s="2"/>
    </row>
    <row r="522" spans="18:27">
      <c r="R522" s="2" t="s">
        <v>278</v>
      </c>
      <c r="S522" s="2" t="s">
        <v>279</v>
      </c>
      <c r="T522" s="4" t="s">
        <v>280</v>
      </c>
      <c r="U522" s="5">
        <v>12</v>
      </c>
      <c r="V522" s="4" t="s">
        <v>281</v>
      </c>
      <c r="W522" s="5">
        <f>U522</f>
        <v>12</v>
      </c>
      <c r="X522" s="2" t="s">
        <v>282</v>
      </c>
      <c r="Z522" s="4" t="s">
        <v>133</v>
      </c>
      <c r="AA522" s="6">
        <f>AA528+AA533+AA536</f>
        <v>67.948066666666662</v>
      </c>
    </row>
    <row r="523" spans="18:27">
      <c r="R523" s="2" t="s">
        <v>283</v>
      </c>
      <c r="S523" s="2" t="s">
        <v>284</v>
      </c>
      <c r="W523" s="4" t="s">
        <v>122</v>
      </c>
      <c r="X523" s="4" t="s">
        <v>285</v>
      </c>
      <c r="Y523" s="4" t="s">
        <v>286</v>
      </c>
      <c r="Z523" s="4" t="s">
        <v>287</v>
      </c>
      <c r="AA523" s="4" t="s">
        <v>288</v>
      </c>
    </row>
    <row r="524" spans="18:27">
      <c r="S524" s="7" t="s">
        <v>289</v>
      </c>
    </row>
    <row r="525" spans="18:27">
      <c r="S525" t="s">
        <v>290</v>
      </c>
      <c r="W525" s="8" t="s">
        <v>291</v>
      </c>
      <c r="X525" s="9">
        <v>1</v>
      </c>
      <c r="Y525" s="10">
        <f>X525*8/$U$522</f>
        <v>0.66666666666666663</v>
      </c>
      <c r="Z525" s="11">
        <v>28.94</v>
      </c>
      <c r="AA525" s="12">
        <f>Y525*Z525</f>
        <v>19.293333333333333</v>
      </c>
    </row>
    <row r="526" spans="18:27">
      <c r="S526" t="s">
        <v>679</v>
      </c>
      <c r="W526" s="8" t="s">
        <v>291</v>
      </c>
      <c r="X526" s="9">
        <v>1</v>
      </c>
      <c r="Y526" s="10">
        <f>X526*8/$U$522</f>
        <v>0.66666666666666663</v>
      </c>
      <c r="Z526">
        <v>23.6</v>
      </c>
      <c r="AA526" s="12">
        <f>Y526*Z526</f>
        <v>15.733333333333334</v>
      </c>
    </row>
    <row r="527" spans="18:27">
      <c r="S527" t="s">
        <v>293</v>
      </c>
      <c r="W527" s="8" t="s">
        <v>291</v>
      </c>
      <c r="X527" s="9">
        <v>0.5</v>
      </c>
      <c r="Y527" s="10">
        <f>X527*8/$U$522</f>
        <v>0.33333333333333331</v>
      </c>
      <c r="Z527">
        <v>21.36</v>
      </c>
      <c r="AA527" s="12">
        <f t="shared" ref="AA527" si="7">Y527*Z527</f>
        <v>7.1199999999999992</v>
      </c>
    </row>
    <row r="528" spans="18:27">
      <c r="W528" s="8"/>
      <c r="AA528" s="6">
        <f>SUM(AA525:AA527)</f>
        <v>42.146666666666668</v>
      </c>
    </row>
    <row r="529" spans="18:27">
      <c r="S529" s="7" t="s">
        <v>653</v>
      </c>
    </row>
    <row r="530" spans="18:27">
      <c r="S530" t="s">
        <v>688</v>
      </c>
      <c r="W530" s="8" t="s">
        <v>296</v>
      </c>
      <c r="Y530" s="10">
        <v>0.1</v>
      </c>
      <c r="Z530" s="12">
        <v>2.64</v>
      </c>
      <c r="AA530" s="12">
        <f t="shared" ref="AA530:AA532" si="8">Y530*Z530</f>
        <v>0.26400000000000001</v>
      </c>
    </row>
    <row r="531" spans="18:27">
      <c r="S531" t="s">
        <v>301</v>
      </c>
      <c r="W531" s="8" t="s">
        <v>296</v>
      </c>
      <c r="Y531" s="10">
        <v>0.1</v>
      </c>
      <c r="Z531" s="12">
        <v>5.51</v>
      </c>
      <c r="AA531" s="12">
        <f t="shared" si="8"/>
        <v>0.55100000000000005</v>
      </c>
    </row>
    <row r="532" spans="18:27">
      <c r="S532" t="s">
        <v>669</v>
      </c>
      <c r="W532" s="8" t="s">
        <v>296</v>
      </c>
      <c r="Y532" s="10">
        <v>4.09</v>
      </c>
      <c r="Z532" s="12">
        <v>5.8</v>
      </c>
      <c r="AA532" s="12">
        <f t="shared" si="8"/>
        <v>23.721999999999998</v>
      </c>
    </row>
    <row r="533" spans="18:27">
      <c r="AA533" s="6">
        <f>SUM(AA530:AA532)</f>
        <v>24.536999999999999</v>
      </c>
    </row>
    <row r="534" spans="18:27">
      <c r="S534" s="7" t="s">
        <v>309</v>
      </c>
    </row>
    <row r="535" spans="18:27">
      <c r="S535" t="s">
        <v>310</v>
      </c>
      <c r="W535" s="8" t="s">
        <v>311</v>
      </c>
      <c r="Y535" s="10">
        <v>3</v>
      </c>
      <c r="Z535" s="12">
        <f>AA528</f>
        <v>42.146666666666668</v>
      </c>
      <c r="AA535" s="12">
        <f>Y535%*Z535</f>
        <v>1.2644</v>
      </c>
    </row>
    <row r="536" spans="18:27">
      <c r="R536" s="14"/>
      <c r="S536" s="14"/>
      <c r="T536" s="14"/>
      <c r="U536" s="14"/>
      <c r="V536" s="14"/>
      <c r="W536" s="14"/>
      <c r="X536" s="14"/>
      <c r="Y536" s="14"/>
      <c r="Z536" s="14"/>
      <c r="AA536" s="16">
        <f>SUM(AA535)</f>
        <v>1.2644</v>
      </c>
    </row>
    <row r="538" spans="18:27">
      <c r="R538" s="37" t="s">
        <v>277</v>
      </c>
      <c r="S538" s="37"/>
      <c r="T538" s="37" t="s">
        <v>710</v>
      </c>
    </row>
    <row r="539" spans="18:27">
      <c r="R539" s="37" t="s">
        <v>278</v>
      </c>
      <c r="S539" s="37" t="s">
        <v>705</v>
      </c>
      <c r="T539" s="38" t="s">
        <v>280</v>
      </c>
      <c r="U539" s="39">
        <v>250</v>
      </c>
      <c r="V539" s="38" t="s">
        <v>281</v>
      </c>
      <c r="W539" s="39">
        <f>U539</f>
        <v>250</v>
      </c>
      <c r="X539" s="37" t="s">
        <v>282</v>
      </c>
      <c r="Z539" s="38" t="s">
        <v>706</v>
      </c>
      <c r="AA539" s="40">
        <f>AA545+AA549+AA552</f>
        <v>5.4833634845000008</v>
      </c>
    </row>
    <row r="540" spans="18:27">
      <c r="R540" s="37" t="s">
        <v>283</v>
      </c>
      <c r="S540" s="37" t="s">
        <v>284</v>
      </c>
      <c r="W540" s="38" t="s">
        <v>122</v>
      </c>
      <c r="X540" s="38" t="s">
        <v>285</v>
      </c>
      <c r="Y540" s="38" t="s">
        <v>286</v>
      </c>
      <c r="Z540" s="38" t="s">
        <v>287</v>
      </c>
      <c r="AA540" s="38" t="s">
        <v>288</v>
      </c>
    </row>
    <row r="541" spans="18:27">
      <c r="S541" s="41" t="s">
        <v>289</v>
      </c>
      <c r="X541" s="9"/>
    </row>
    <row r="542" spans="18:27">
      <c r="S542" t="s">
        <v>290</v>
      </c>
      <c r="W542" s="8" t="s">
        <v>291</v>
      </c>
      <c r="X542" s="9">
        <v>1</v>
      </c>
      <c r="Y542" s="18">
        <f>X542*8/$U$539</f>
        <v>3.2000000000000001E-2</v>
      </c>
      <c r="Z542" s="11">
        <v>29.99</v>
      </c>
      <c r="AA542" s="12">
        <f>Y542*Z542</f>
        <v>0.95967999999999998</v>
      </c>
    </row>
    <row r="543" spans="18:27">
      <c r="S543" t="s">
        <v>679</v>
      </c>
      <c r="W543" s="8" t="s">
        <v>291</v>
      </c>
      <c r="X543" s="9">
        <v>1</v>
      </c>
      <c r="Y543" s="18">
        <f>X543*8/$U$539</f>
        <v>3.2000000000000001E-2</v>
      </c>
      <c r="Z543">
        <v>21.36</v>
      </c>
      <c r="AA543" s="12">
        <f>Y543*Z543</f>
        <v>0.68352000000000002</v>
      </c>
    </row>
    <row r="544" spans="18:27">
      <c r="S544" t="s">
        <v>650</v>
      </c>
      <c r="W544" s="8" t="s">
        <v>291</v>
      </c>
      <c r="X544" s="9">
        <v>0.1</v>
      </c>
      <c r="Y544" s="18">
        <f>X544*8/$U$539</f>
        <v>3.2000000000000002E-3</v>
      </c>
      <c r="Z544" s="11">
        <v>35.99</v>
      </c>
      <c r="AA544" s="12">
        <f>Y544*Z544</f>
        <v>0.11516800000000001</v>
      </c>
    </row>
    <row r="545" spans="18:27">
      <c r="W545" s="8"/>
      <c r="X545" s="9"/>
      <c r="AA545" s="40">
        <f>SUM(AA542:AA544)</f>
        <v>1.7583679999999999</v>
      </c>
    </row>
    <row r="546" spans="18:27">
      <c r="S546" s="41" t="s">
        <v>294</v>
      </c>
      <c r="W546" s="8"/>
      <c r="X546" s="9"/>
      <c r="Y546" s="18"/>
    </row>
    <row r="547" spans="18:27">
      <c r="S547" t="s">
        <v>295</v>
      </c>
      <c r="W547" s="8" t="s">
        <v>296</v>
      </c>
      <c r="X547" s="9"/>
      <c r="Y547" s="18">
        <v>0.03</v>
      </c>
      <c r="Z547" s="12">
        <v>2.64</v>
      </c>
      <c r="AA547" s="12">
        <f>Y547*Z547</f>
        <v>7.9200000000000007E-2</v>
      </c>
    </row>
    <row r="548" spans="18:27">
      <c r="S548" t="s">
        <v>680</v>
      </c>
      <c r="W548" s="8" t="s">
        <v>296</v>
      </c>
      <c r="X548" s="9"/>
      <c r="Y548" s="18">
        <v>1.05</v>
      </c>
      <c r="Z548" s="12">
        <f>1012.71*3.379/1000</f>
        <v>3.4219470900000002</v>
      </c>
      <c r="AA548" s="12">
        <f>Y548*Z548</f>
        <v>3.5930444445000003</v>
      </c>
    </row>
    <row r="549" spans="18:27">
      <c r="W549" s="8"/>
      <c r="X549" s="9"/>
      <c r="AA549" s="40">
        <f>SUM(AA547:AA548)</f>
        <v>3.6722444445000004</v>
      </c>
    </row>
    <row r="550" spans="18:27">
      <c r="S550" s="41" t="s">
        <v>317</v>
      </c>
      <c r="W550" s="8"/>
      <c r="X550" s="9"/>
    </row>
    <row r="551" spans="18:27">
      <c r="S551" t="s">
        <v>310</v>
      </c>
      <c r="W551" s="8" t="s">
        <v>311</v>
      </c>
      <c r="Y551" s="10">
        <v>3</v>
      </c>
      <c r="Z551" s="12">
        <f>AA545</f>
        <v>1.7583679999999999</v>
      </c>
      <c r="AA551" s="12">
        <f>Y551%*Z551</f>
        <v>5.2751039999999999E-2</v>
      </c>
    </row>
    <row r="552" spans="18:27">
      <c r="R552" s="14"/>
      <c r="S552" s="14"/>
      <c r="T552" s="14"/>
      <c r="U552" s="14"/>
      <c r="V552" s="14"/>
      <c r="W552" s="14"/>
      <c r="X552" s="14"/>
      <c r="Y552" s="14"/>
      <c r="Z552" s="14"/>
      <c r="AA552" s="42">
        <f>SUM(AA551:AA551)</f>
        <v>5.2751039999999999E-2</v>
      </c>
    </row>
    <row r="554" spans="18:27">
      <c r="R554" s="31" t="s">
        <v>277</v>
      </c>
      <c r="S554" s="31"/>
      <c r="T554" s="31" t="s">
        <v>711</v>
      </c>
      <c r="U554" s="31"/>
    </row>
    <row r="555" spans="18:27">
      <c r="R555" s="31" t="s">
        <v>278</v>
      </c>
      <c r="S555" s="31" t="s">
        <v>416</v>
      </c>
      <c r="T555" s="32" t="s">
        <v>280</v>
      </c>
      <c r="U555" s="33">
        <v>6</v>
      </c>
      <c r="V555" s="32" t="s">
        <v>281</v>
      </c>
      <c r="W555" s="33">
        <f>U555</f>
        <v>6</v>
      </c>
      <c r="X555" s="31" t="s">
        <v>282</v>
      </c>
      <c r="Z555" s="32" t="s">
        <v>203</v>
      </c>
      <c r="AA555" s="34">
        <f>AA561+AA570+AA576</f>
        <v>554.63709333333338</v>
      </c>
    </row>
    <row r="556" spans="18:27">
      <c r="R556" s="31" t="s">
        <v>283</v>
      </c>
      <c r="S556" s="31" t="s">
        <v>284</v>
      </c>
      <c r="W556" s="32" t="s">
        <v>122</v>
      </c>
      <c r="X556" s="32" t="s">
        <v>285</v>
      </c>
      <c r="Y556" s="32" t="s">
        <v>286</v>
      </c>
      <c r="Z556" s="32" t="s">
        <v>287</v>
      </c>
      <c r="AA556" s="32" t="s">
        <v>288</v>
      </c>
    </row>
    <row r="557" spans="18:27">
      <c r="S557" s="35" t="s">
        <v>289</v>
      </c>
    </row>
    <row r="558" spans="18:27">
      <c r="S558" t="s">
        <v>290</v>
      </c>
      <c r="W558" s="8" t="s">
        <v>291</v>
      </c>
      <c r="X558" s="9">
        <v>1</v>
      </c>
      <c r="Y558" s="10">
        <f>X558*8/$U$555</f>
        <v>1.3333333333333333</v>
      </c>
      <c r="Z558" s="12">
        <v>28.94</v>
      </c>
      <c r="AA558" s="12">
        <f>Y558*Z558</f>
        <v>38.586666666666666</v>
      </c>
    </row>
    <row r="559" spans="18:27">
      <c r="S559" t="s">
        <v>292</v>
      </c>
      <c r="W559" s="8" t="s">
        <v>291</v>
      </c>
      <c r="X559" s="9">
        <v>1</v>
      </c>
      <c r="Y559" s="10">
        <f>X559*8/$U$555</f>
        <v>1.3333333333333333</v>
      </c>
      <c r="Z559" s="12">
        <v>23.6</v>
      </c>
      <c r="AA559" s="12">
        <f>Y559*Z559</f>
        <v>31.466666666666669</v>
      </c>
    </row>
    <row r="560" spans="18:27">
      <c r="S560" t="s">
        <v>293</v>
      </c>
      <c r="W560" s="8" t="s">
        <v>291</v>
      </c>
      <c r="X560" s="9">
        <v>5</v>
      </c>
      <c r="Y560" s="10">
        <f>X560*8/$U$555</f>
        <v>6.666666666666667</v>
      </c>
      <c r="Z560" s="12">
        <v>21.36</v>
      </c>
      <c r="AA560" s="12">
        <f>Y560*Z560</f>
        <v>142.4</v>
      </c>
    </row>
    <row r="561" spans="18:27">
      <c r="W561" s="8"/>
      <c r="X561" s="9"/>
      <c r="Y561" s="10"/>
      <c r="AA561" s="34">
        <f>SUM(AA558:AA560)</f>
        <v>212.45333333333335</v>
      </c>
    </row>
    <row r="562" spans="18:27">
      <c r="S562" s="35" t="s">
        <v>653</v>
      </c>
      <c r="W562" s="8"/>
      <c r="X562" s="9"/>
      <c r="Y562" s="10"/>
      <c r="AA562" s="12"/>
    </row>
    <row r="563" spans="18:27">
      <c r="S563" t="s">
        <v>672</v>
      </c>
      <c r="W563" s="8" t="s">
        <v>203</v>
      </c>
      <c r="Y563" s="10">
        <v>0.8</v>
      </c>
      <c r="Z563" s="12">
        <v>55.08</v>
      </c>
      <c r="AA563" s="12">
        <f>Y563*Z563</f>
        <v>44.064</v>
      </c>
    </row>
    <row r="564" spans="18:27">
      <c r="S564" t="s">
        <v>673</v>
      </c>
      <c r="W564" s="8" t="s">
        <v>203</v>
      </c>
      <c r="Y564" s="10">
        <v>0.5</v>
      </c>
      <c r="Z564" s="12">
        <v>47</v>
      </c>
      <c r="AA564" s="12">
        <f>Y564*Z564</f>
        <v>23.5</v>
      </c>
    </row>
    <row r="565" spans="18:27">
      <c r="S565" t="s">
        <v>306</v>
      </c>
      <c r="W565" s="8" t="s">
        <v>307</v>
      </c>
      <c r="Y565" s="10">
        <v>9.74</v>
      </c>
      <c r="Z565" s="12">
        <v>24.52</v>
      </c>
      <c r="AA565" s="12">
        <f>Y565*Z565</f>
        <v>238.82480000000001</v>
      </c>
    </row>
    <row r="566" spans="18:27">
      <c r="S566" t="s">
        <v>655</v>
      </c>
      <c r="W566" s="8" t="s">
        <v>203</v>
      </c>
      <c r="Y566" s="10">
        <v>0.184</v>
      </c>
      <c r="Z566">
        <v>6.14</v>
      </c>
      <c r="AA566" s="12">
        <f>Y566*Z566</f>
        <v>1.1297599999999999</v>
      </c>
    </row>
    <row r="567" spans="18:27">
      <c r="S567" t="s">
        <v>665</v>
      </c>
      <c r="W567" s="8" t="s">
        <v>439</v>
      </c>
      <c r="Y567" s="10">
        <v>0.12</v>
      </c>
      <c r="Z567">
        <v>13.93</v>
      </c>
      <c r="AA567" s="12">
        <f>Y567*Z567</f>
        <v>1.6716</v>
      </c>
    </row>
    <row r="568" spans="18:27">
      <c r="S568" t="s">
        <v>712</v>
      </c>
      <c r="W568" s="8" t="s">
        <v>439</v>
      </c>
      <c r="Y568" s="10">
        <v>0.01</v>
      </c>
      <c r="AA568" s="12">
        <f t="shared" ref="AA568:AA569" si="9">Y568*Z568</f>
        <v>0</v>
      </c>
    </row>
    <row r="569" spans="18:27">
      <c r="S569" t="s">
        <v>713</v>
      </c>
      <c r="W569" s="8" t="s">
        <v>714</v>
      </c>
      <c r="Y569">
        <v>8.0000000000000002E-3</v>
      </c>
      <c r="AA569" s="12">
        <f t="shared" si="9"/>
        <v>0</v>
      </c>
    </row>
    <row r="570" spans="18:27">
      <c r="W570" s="8"/>
      <c r="Y570" s="10"/>
      <c r="Z570" s="12"/>
      <c r="AA570" s="34">
        <f>SUM(AA563:AA569)</f>
        <v>309.19015999999999</v>
      </c>
    </row>
    <row r="571" spans="18:27">
      <c r="S571" s="35" t="s">
        <v>309</v>
      </c>
    </row>
    <row r="572" spans="18:27">
      <c r="S572" t="s">
        <v>310</v>
      </c>
      <c r="W572" s="8" t="s">
        <v>311</v>
      </c>
      <c r="Y572" s="10">
        <v>3</v>
      </c>
      <c r="Z572" s="12">
        <f>AA561</f>
        <v>212.45333333333335</v>
      </c>
      <c r="AA572" s="12">
        <f>Y572%*Z572</f>
        <v>6.3736000000000006</v>
      </c>
    </row>
    <row r="573" spans="18:27">
      <c r="S573" t="s">
        <v>667</v>
      </c>
      <c r="W573" s="8" t="s">
        <v>337</v>
      </c>
      <c r="X573" s="9">
        <v>0.5</v>
      </c>
      <c r="Y573" s="10">
        <f>X573*8/$U$555</f>
        <v>0.66666666666666663</v>
      </c>
      <c r="Z573" s="12">
        <v>25.63</v>
      </c>
      <c r="AA573" s="12">
        <f>Y573*Z573</f>
        <v>17.086666666666666</v>
      </c>
    </row>
    <row r="574" spans="18:27">
      <c r="S574" t="s">
        <v>675</v>
      </c>
      <c r="W574" s="8" t="s">
        <v>337</v>
      </c>
      <c r="X574" s="9">
        <v>0.5</v>
      </c>
      <c r="Y574" s="10">
        <f>X574*8/$U$555</f>
        <v>0.66666666666666663</v>
      </c>
      <c r="Z574" s="12">
        <v>7.07</v>
      </c>
      <c r="AA574" s="12">
        <f>Y574*Z574</f>
        <v>4.7133333333333329</v>
      </c>
    </row>
    <row r="575" spans="18:27">
      <c r="S575" t="s">
        <v>715</v>
      </c>
      <c r="W575" s="8" t="s">
        <v>337</v>
      </c>
      <c r="X575" s="9">
        <v>0.5</v>
      </c>
      <c r="Y575" s="10">
        <f>X575*8/$U$555</f>
        <v>0.66666666666666663</v>
      </c>
      <c r="Z575" s="50">
        <v>7.23</v>
      </c>
      <c r="AA575" s="12">
        <f>Y575*Z575</f>
        <v>4.82</v>
      </c>
    </row>
    <row r="576" spans="18:27">
      <c r="R576" s="14"/>
      <c r="S576" s="14"/>
      <c r="T576" s="14"/>
      <c r="U576" s="14"/>
      <c r="V576" s="14"/>
      <c r="W576" s="14"/>
      <c r="X576" s="14"/>
      <c r="Y576" s="14"/>
      <c r="Z576" s="14"/>
      <c r="AA576" s="36">
        <f>SUM(AA572:AA575)</f>
        <v>32.993600000000001</v>
      </c>
    </row>
    <row r="578" spans="18:27">
      <c r="R578" s="31" t="s">
        <v>277</v>
      </c>
      <c r="S578" s="31"/>
      <c r="T578" s="31" t="s">
        <v>716</v>
      </c>
      <c r="U578" s="31"/>
    </row>
    <row r="579" spans="18:27">
      <c r="R579" s="31" t="s">
        <v>278</v>
      </c>
      <c r="S579" s="31" t="s">
        <v>279</v>
      </c>
      <c r="T579" s="32" t="s">
        <v>280</v>
      </c>
      <c r="U579" s="33">
        <v>6.7</v>
      </c>
      <c r="V579" s="32" t="s">
        <v>281</v>
      </c>
      <c r="W579" s="33">
        <f>U579</f>
        <v>6.7</v>
      </c>
      <c r="X579" s="31" t="s">
        <v>282</v>
      </c>
      <c r="Z579" s="32" t="s">
        <v>133</v>
      </c>
      <c r="AA579" s="34">
        <f>AA585+AA590+AA593</f>
        <v>111.80536417910447</v>
      </c>
    </row>
    <row r="580" spans="18:27">
      <c r="R580" s="31" t="s">
        <v>283</v>
      </c>
      <c r="S580" s="31" t="s">
        <v>284</v>
      </c>
      <c r="W580" s="32" t="s">
        <v>122</v>
      </c>
      <c r="X580" s="32" t="s">
        <v>285</v>
      </c>
      <c r="Y580" s="32" t="s">
        <v>286</v>
      </c>
      <c r="Z580" s="32" t="s">
        <v>287</v>
      </c>
      <c r="AA580" s="32" t="s">
        <v>288</v>
      </c>
    </row>
    <row r="581" spans="18:27">
      <c r="S581" s="35" t="s">
        <v>289</v>
      </c>
    </row>
    <row r="582" spans="18:27">
      <c r="S582" t="s">
        <v>290</v>
      </c>
      <c r="W582" s="8" t="s">
        <v>291</v>
      </c>
      <c r="X582" s="9">
        <v>1</v>
      </c>
      <c r="Y582" s="10">
        <f>X582*8/$U$579</f>
        <v>1.1940298507462686</v>
      </c>
      <c r="Z582" s="12">
        <v>28.94</v>
      </c>
      <c r="AA582" s="12">
        <f>Y582*Z582</f>
        <v>34.555223880597012</v>
      </c>
    </row>
    <row r="583" spans="18:27">
      <c r="S583" t="s">
        <v>292</v>
      </c>
      <c r="W583" s="8" t="s">
        <v>291</v>
      </c>
      <c r="X583" s="9">
        <v>1</v>
      </c>
      <c r="Y583" s="10">
        <f>X583*8/$U$579</f>
        <v>1.1940298507462686</v>
      </c>
      <c r="Z583" s="12">
        <v>23.6</v>
      </c>
      <c r="AA583" s="12">
        <f>Y583*Z583</f>
        <v>28.17910447761194</v>
      </c>
    </row>
    <row r="584" spans="18:27">
      <c r="S584" t="s">
        <v>293</v>
      </c>
      <c r="W584" s="8" t="s">
        <v>291</v>
      </c>
      <c r="X584" s="9">
        <v>0.5</v>
      </c>
      <c r="Y584" s="10">
        <f>X584*8/$U$579</f>
        <v>0.59701492537313428</v>
      </c>
      <c r="Z584" s="12">
        <v>21.36</v>
      </c>
      <c r="AA584" s="12">
        <f>Y584*Z584</f>
        <v>12.752238805970148</v>
      </c>
    </row>
    <row r="585" spans="18:27">
      <c r="W585" s="8"/>
      <c r="X585" s="9"/>
      <c r="Y585" s="10"/>
      <c r="AA585" s="34">
        <f>SUM(AA582:AA584)</f>
        <v>75.486567164179107</v>
      </c>
    </row>
    <row r="586" spans="18:27">
      <c r="S586" s="35" t="s">
        <v>653</v>
      </c>
      <c r="W586" s="8"/>
      <c r="X586" s="9"/>
      <c r="Y586" s="10"/>
      <c r="AA586" s="12"/>
    </row>
    <row r="587" spans="18:27">
      <c r="S587" t="s">
        <v>688</v>
      </c>
      <c r="W587" s="8" t="s">
        <v>296</v>
      </c>
      <c r="Y587" s="10">
        <v>0.08</v>
      </c>
      <c r="Z587" s="12">
        <v>2.64</v>
      </c>
      <c r="AA587" s="12">
        <f>Y587*Z587</f>
        <v>0.21120000000000003</v>
      </c>
    </row>
    <row r="588" spans="18:27">
      <c r="S588" t="s">
        <v>301</v>
      </c>
      <c r="W588" s="8" t="s">
        <v>296</v>
      </c>
      <c r="Y588" s="10">
        <v>0.1</v>
      </c>
      <c r="Z588" s="12">
        <v>5.51</v>
      </c>
      <c r="AA588" s="12">
        <f>Y588*Z588</f>
        <v>0.55100000000000005</v>
      </c>
    </row>
    <row r="589" spans="18:27">
      <c r="S589" t="s">
        <v>669</v>
      </c>
      <c r="W589" s="8" t="s">
        <v>305</v>
      </c>
      <c r="Y589" s="10">
        <v>5.74</v>
      </c>
      <c r="Z589" s="12">
        <v>5.8</v>
      </c>
      <c r="AA589" s="12">
        <f>Y589*Z589</f>
        <v>33.292000000000002</v>
      </c>
    </row>
    <row r="590" spans="18:27">
      <c r="W590" s="8"/>
      <c r="Y590" s="10"/>
      <c r="Z590" s="12"/>
      <c r="AA590" s="34">
        <f>SUM(AA587:AA589)</f>
        <v>34.054200000000002</v>
      </c>
    </row>
    <row r="591" spans="18:27">
      <c r="S591" s="35" t="s">
        <v>309</v>
      </c>
    </row>
    <row r="592" spans="18:27">
      <c r="S592" t="s">
        <v>310</v>
      </c>
      <c r="W592" s="8" t="s">
        <v>311</v>
      </c>
      <c r="Y592" s="10">
        <v>3</v>
      </c>
      <c r="Z592" s="12">
        <f>AA585</f>
        <v>75.486567164179107</v>
      </c>
      <c r="AA592" s="12">
        <f>Y592%*Z592</f>
        <v>2.2645970149253731</v>
      </c>
    </row>
    <row r="593" spans="18:27">
      <c r="R593" s="14"/>
      <c r="S593" s="14"/>
      <c r="T593" s="14"/>
      <c r="U593" s="14"/>
      <c r="V593" s="14"/>
      <c r="W593" s="14"/>
      <c r="X593" s="14"/>
      <c r="Y593" s="14"/>
      <c r="Z593" s="14"/>
      <c r="AA593" s="36">
        <f>SUM(AA592)</f>
        <v>2.2645970149253731</v>
      </c>
    </row>
    <row r="595" spans="18:27">
      <c r="R595" s="31" t="s">
        <v>277</v>
      </c>
      <c r="S595" s="31"/>
      <c r="T595" s="31" t="s">
        <v>717</v>
      </c>
      <c r="U595" s="31"/>
    </row>
    <row r="596" spans="18:27">
      <c r="R596" s="31" t="s">
        <v>278</v>
      </c>
      <c r="S596" s="31" t="s">
        <v>279</v>
      </c>
      <c r="T596" s="32" t="s">
        <v>280</v>
      </c>
      <c r="U596" s="33">
        <v>250</v>
      </c>
      <c r="V596" s="32" t="s">
        <v>281</v>
      </c>
      <c r="W596" s="33">
        <f>U596</f>
        <v>250</v>
      </c>
      <c r="X596" s="31" t="s">
        <v>282</v>
      </c>
      <c r="Z596" s="32" t="s">
        <v>133</v>
      </c>
      <c r="AA596" s="34">
        <f>AA601+AA606+AA610</f>
        <v>5.4995328445</v>
      </c>
    </row>
    <row r="597" spans="18:27">
      <c r="R597" s="31" t="s">
        <v>283</v>
      </c>
      <c r="S597" s="31" t="s">
        <v>284</v>
      </c>
      <c r="W597" s="32" t="s">
        <v>122</v>
      </c>
      <c r="X597" s="32" t="s">
        <v>285</v>
      </c>
      <c r="Y597" s="32" t="s">
        <v>286</v>
      </c>
      <c r="Z597" s="32" t="s">
        <v>287</v>
      </c>
      <c r="AA597" s="32" t="s">
        <v>288</v>
      </c>
    </row>
    <row r="598" spans="18:27">
      <c r="S598" s="35" t="s">
        <v>289</v>
      </c>
    </row>
    <row r="599" spans="18:27">
      <c r="S599" t="s">
        <v>290</v>
      </c>
      <c r="W599" s="8" t="s">
        <v>291</v>
      </c>
      <c r="X599" s="9">
        <v>1</v>
      </c>
      <c r="Y599" s="18">
        <f>X599*8/$U$596</f>
        <v>3.2000000000000001E-2</v>
      </c>
      <c r="Z599" s="12">
        <v>28.94</v>
      </c>
      <c r="AA599" s="12">
        <f>Y599*Z599</f>
        <v>0.92608000000000001</v>
      </c>
    </row>
    <row r="600" spans="18:27">
      <c r="S600" t="s">
        <v>679</v>
      </c>
      <c r="W600" s="8" t="s">
        <v>291</v>
      </c>
      <c r="X600" s="9">
        <v>1</v>
      </c>
      <c r="Y600" s="18">
        <f>X600*8/$U$596</f>
        <v>3.2000000000000001E-2</v>
      </c>
      <c r="Z600" s="12">
        <v>23.6</v>
      </c>
      <c r="AA600" s="12">
        <f>Y600*Z600</f>
        <v>0.75520000000000009</v>
      </c>
    </row>
    <row r="601" spans="18:27">
      <c r="W601" s="8"/>
      <c r="X601" s="9"/>
      <c r="AA601" s="48">
        <f>SUM(AA599:AA600)</f>
        <v>1.6812800000000001</v>
      </c>
    </row>
    <row r="602" spans="18:27">
      <c r="S602" s="47" t="s">
        <v>294</v>
      </c>
      <c r="W602" s="8"/>
      <c r="X602" s="9"/>
      <c r="Y602" s="18"/>
    </row>
    <row r="603" spans="18:27">
      <c r="S603" t="s">
        <v>295</v>
      </c>
      <c r="W603" s="8" t="s">
        <v>296</v>
      </c>
      <c r="X603" s="9"/>
      <c r="Y603" s="18">
        <v>0.05</v>
      </c>
      <c r="Z603" s="12">
        <v>2.64</v>
      </c>
      <c r="AA603" s="12">
        <f>Y603*Z603</f>
        <v>0.13200000000000001</v>
      </c>
    </row>
    <row r="604" spans="18:27">
      <c r="S604" t="s">
        <v>680</v>
      </c>
      <c r="W604" s="8" t="s">
        <v>296</v>
      </c>
      <c r="X604" s="9"/>
      <c r="Y604" s="18">
        <v>1.05</v>
      </c>
      <c r="Z604" s="12">
        <f>1012.71*3.379/1000</f>
        <v>3.4219470900000002</v>
      </c>
      <c r="AA604" s="12">
        <f>Y604*Z604</f>
        <v>3.5930444445000003</v>
      </c>
    </row>
    <row r="605" spans="18:27">
      <c r="S605" t="s">
        <v>718</v>
      </c>
      <c r="W605" s="8" t="s">
        <v>296</v>
      </c>
      <c r="X605" s="9"/>
      <c r="Y605" s="18">
        <v>1E-3</v>
      </c>
      <c r="Z605" s="50">
        <v>13.81</v>
      </c>
      <c r="AA605" s="12">
        <f>Y605*Z605</f>
        <v>1.3810000000000001E-2</v>
      </c>
    </row>
    <row r="606" spans="18:27">
      <c r="W606" s="8"/>
      <c r="X606" s="9"/>
      <c r="AA606" s="48">
        <f>SUM(AA603:AA605)</f>
        <v>3.7388544445000003</v>
      </c>
    </row>
    <row r="607" spans="18:27">
      <c r="S607" s="47" t="s">
        <v>317</v>
      </c>
      <c r="W607" s="8"/>
      <c r="X607" s="9"/>
    </row>
    <row r="608" spans="18:27">
      <c r="S608" t="s">
        <v>310</v>
      </c>
      <c r="W608" s="8" t="s">
        <v>311</v>
      </c>
      <c r="Y608" s="10">
        <v>3</v>
      </c>
      <c r="Z608" s="12">
        <f>AA601</f>
        <v>1.6812800000000001</v>
      </c>
      <c r="AA608" s="12">
        <f>Y608%*Z608</f>
        <v>5.0438400000000001E-2</v>
      </c>
    </row>
    <row r="609" spans="18:27">
      <c r="S609" t="s">
        <v>719</v>
      </c>
      <c r="T609" t="s">
        <v>720</v>
      </c>
      <c r="W609" s="8" t="s">
        <v>291</v>
      </c>
      <c r="X609" s="9">
        <v>0.5</v>
      </c>
      <c r="Y609" s="18">
        <f>X609*8/$U$596</f>
        <v>1.6E-2</v>
      </c>
      <c r="Z609" s="50">
        <v>1.81</v>
      </c>
      <c r="AA609" s="12">
        <f>Y609*Z609</f>
        <v>2.8960000000000003E-2</v>
      </c>
    </row>
    <row r="610" spans="18:27">
      <c r="R610" s="14"/>
      <c r="S610" s="14"/>
      <c r="T610" s="14"/>
      <c r="U610" s="14"/>
      <c r="V610" s="14"/>
      <c r="W610" s="14"/>
      <c r="X610" s="14"/>
      <c r="Y610" s="14"/>
      <c r="Z610" s="14"/>
      <c r="AA610" s="49">
        <f>SUM(AA608:AA609)</f>
        <v>7.9398400000000008E-2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C45B-90E1-424D-B4A6-B0D24D63EA13}">
  <sheetPr>
    <tabColor rgb="FFFFC000"/>
  </sheetPr>
  <dimension ref="A2:AL355"/>
  <sheetViews>
    <sheetView workbookViewId="0">
      <selection activeCell="H11" sqref="H11"/>
    </sheetView>
  </sheetViews>
  <sheetFormatPr defaultRowHeight="15"/>
  <cols>
    <col min="10" max="10" width="12.42578125" customWidth="1"/>
    <col min="11" max="11" width="12.5703125" customWidth="1"/>
    <col min="12" max="12" width="9.28515625" bestFit="1" customWidth="1"/>
    <col min="20" max="20" width="9.28515625" bestFit="1" customWidth="1"/>
  </cols>
  <sheetData>
    <row r="2" spans="1:26">
      <c r="M2" s="25" t="s">
        <v>1377</v>
      </c>
      <c r="N2" s="25">
        <f>'Datos iniciales '!B5</f>
        <v>120</v>
      </c>
    </row>
    <row r="3" spans="1:26">
      <c r="E3" s="4" t="s">
        <v>1221</v>
      </c>
      <c r="F3" s="4" t="s">
        <v>1222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/>
      <c r="N3" s="25"/>
    </row>
    <row r="4" spans="1:26">
      <c r="G4" s="23"/>
      <c r="H4" s="21"/>
      <c r="I4" s="12"/>
      <c r="K4">
        <f>SUM(J4:J37)</f>
        <v>100953.75458293746</v>
      </c>
      <c r="M4" s="25" t="s">
        <v>1368</v>
      </c>
      <c r="N4" s="25">
        <f>K4/N2</f>
        <v>841.28128819114545</v>
      </c>
    </row>
    <row r="5" spans="1:26">
      <c r="K5" s="12"/>
    </row>
    <row r="6" spans="1:26">
      <c r="A6" s="28"/>
      <c r="B6" s="2"/>
      <c r="G6" s="2"/>
      <c r="Q6" s="2" t="s">
        <v>277</v>
      </c>
      <c r="R6" s="2"/>
      <c r="S6" s="2" t="s">
        <v>1371</v>
      </c>
      <c r="T6" s="2"/>
    </row>
    <row r="7" spans="1:26">
      <c r="E7" s="71"/>
      <c r="F7" s="12"/>
      <c r="I7" s="12"/>
      <c r="J7" s="12"/>
      <c r="L7" s="200"/>
      <c r="Q7" s="2" t="s">
        <v>278</v>
      </c>
      <c r="R7" s="2" t="s">
        <v>279</v>
      </c>
      <c r="S7" s="4" t="s">
        <v>280</v>
      </c>
      <c r="T7" s="5">
        <v>500</v>
      </c>
      <c r="U7" s="4" t="s">
        <v>281</v>
      </c>
      <c r="V7" s="5">
        <f>T7</f>
        <v>500</v>
      </c>
      <c r="W7" s="2" t="s">
        <v>282</v>
      </c>
      <c r="Y7" s="4" t="s">
        <v>133</v>
      </c>
      <c r="Z7" s="6">
        <f>Z13+Z18+Z23</f>
        <v>2.8992706400000006</v>
      </c>
    </row>
    <row r="8" spans="1:26">
      <c r="A8" s="28" t="s">
        <v>456</v>
      </c>
      <c r="B8" s="2"/>
      <c r="E8" s="71"/>
      <c r="F8" s="12"/>
      <c r="J8" s="12"/>
      <c r="L8" s="223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s="51" t="s">
        <v>458</v>
      </c>
      <c r="E9" s="266">
        <v>1</v>
      </c>
      <c r="F9" s="12">
        <v>4.3697592997811796</v>
      </c>
      <c r="G9" t="s">
        <v>203</v>
      </c>
      <c r="H9">
        <f>E9*F9*$N$2</f>
        <v>524.37111597374155</v>
      </c>
      <c r="I9" s="12">
        <f>Z26</f>
        <v>8.4582044799999991</v>
      </c>
      <c r="J9" s="12">
        <f t="shared" ref="J9:J17" si="0">H9*I9</f>
        <v>4435.2381223117</v>
      </c>
      <c r="L9" s="200"/>
      <c r="M9" s="71"/>
      <c r="R9" s="7" t="s">
        <v>289</v>
      </c>
    </row>
    <row r="10" spans="1:26">
      <c r="A10" s="51" t="s">
        <v>460</v>
      </c>
      <c r="E10" s="266">
        <v>1</v>
      </c>
      <c r="F10" s="12">
        <v>5.8818380743982497E-2</v>
      </c>
      <c r="G10" t="s">
        <v>203</v>
      </c>
      <c r="H10">
        <f>E10*F10*$N$2</f>
        <v>7.0582056892778997</v>
      </c>
      <c r="I10" s="12">
        <f>Z42</f>
        <v>49.404980000000002</v>
      </c>
      <c r="J10" s="12">
        <f t="shared" si="0"/>
        <v>348.71051091466086</v>
      </c>
      <c r="L10" s="200"/>
      <c r="M10" s="71"/>
      <c r="R10" t="s">
        <v>1373</v>
      </c>
      <c r="V10" s="8" t="s">
        <v>291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462</v>
      </c>
      <c r="E11" s="266">
        <v>1</v>
      </c>
      <c r="F11" s="12">
        <v>0.26954048140043763</v>
      </c>
      <c r="G11" t="s">
        <v>203</v>
      </c>
      <c r="H11">
        <f>E11*F11*$N$2</f>
        <v>32.344857768052513</v>
      </c>
      <c r="I11" s="12">
        <f>Z53</f>
        <v>66.234217333333333</v>
      </c>
      <c r="J11" s="12">
        <f t="shared" si="0"/>
        <v>2142.3363390249451</v>
      </c>
      <c r="L11" s="200"/>
      <c r="M11" s="71"/>
      <c r="R11" t="s">
        <v>293</v>
      </c>
      <c r="V11" s="8" t="s">
        <v>291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464</v>
      </c>
      <c r="E12" s="266">
        <v>1</v>
      </c>
      <c r="F12" s="12">
        <v>2.5797301239970829</v>
      </c>
      <c r="G12" t="s">
        <v>203</v>
      </c>
      <c r="H12">
        <f>E12*F12*$N$2</f>
        <v>309.56761487964997</v>
      </c>
      <c r="I12" s="12">
        <f>Z70</f>
        <v>19.299630000000001</v>
      </c>
      <c r="J12" s="12">
        <f t="shared" si="0"/>
        <v>5974.540427159739</v>
      </c>
      <c r="K12" s="23"/>
      <c r="L12" s="200"/>
      <c r="M12" s="71"/>
      <c r="R12" t="s">
        <v>650</v>
      </c>
      <c r="V12" s="8" t="s">
        <v>291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1378</v>
      </c>
      <c r="E13" s="266">
        <v>1</v>
      </c>
      <c r="F13" s="12">
        <v>2.0536834427425243</v>
      </c>
      <c r="G13" t="s">
        <v>133</v>
      </c>
      <c r="H13">
        <f>E13*F13*$N$2</f>
        <v>246.44201312910292</v>
      </c>
      <c r="I13" s="12">
        <f>Z87</f>
        <v>7.9303440000000007</v>
      </c>
      <c r="J13" s="12">
        <f t="shared" si="0"/>
        <v>1954.3699401663027</v>
      </c>
      <c r="L13" s="200"/>
      <c r="M13" s="71"/>
      <c r="Z13" s="6">
        <f>SUM(Z10:Z12)</f>
        <v>1.5030880000000002</v>
      </c>
    </row>
    <row r="14" spans="1:26">
      <c r="A14" s="51" t="s">
        <v>468</v>
      </c>
      <c r="E14" s="266">
        <v>1</v>
      </c>
      <c r="F14" s="12">
        <v>2.3110594456601019</v>
      </c>
      <c r="G14" t="s">
        <v>133</v>
      </c>
      <c r="H14">
        <f>E14*F14*$N$2</f>
        <v>277.32713347921225</v>
      </c>
      <c r="I14" s="12">
        <f>Z102</f>
        <v>12.11253</v>
      </c>
      <c r="J14" s="12">
        <f t="shared" si="0"/>
        <v>3359.1332240809625</v>
      </c>
      <c r="K14" s="24"/>
      <c r="L14" s="200"/>
      <c r="M14" s="71"/>
      <c r="R14" s="7" t="s">
        <v>653</v>
      </c>
    </row>
    <row r="15" spans="1:26">
      <c r="A15" s="51" t="s">
        <v>470</v>
      </c>
      <c r="E15" s="266">
        <v>1</v>
      </c>
      <c r="F15" s="12">
        <v>2.3110594456601019</v>
      </c>
      <c r="G15" t="s">
        <v>203</v>
      </c>
      <c r="H15">
        <f>E15*F15*$N$2</f>
        <v>277.32713347921225</v>
      </c>
      <c r="I15" s="12">
        <f>Z113</f>
        <v>22.910007466666666</v>
      </c>
      <c r="J15" s="12">
        <f t="shared" si="0"/>
        <v>6353.5666987180157</v>
      </c>
      <c r="L15" s="200"/>
      <c r="M15" s="71"/>
      <c r="R15" t="s">
        <v>301</v>
      </c>
      <c r="V15" s="8" t="s">
        <v>296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475</v>
      </c>
      <c r="E16" s="266"/>
      <c r="F16" s="12"/>
      <c r="L16" s="200"/>
      <c r="M16" s="71"/>
      <c r="R16" t="s">
        <v>1374</v>
      </c>
      <c r="S16" s="68"/>
      <c r="T16" s="68"/>
      <c r="U16" s="68"/>
      <c r="V16" s="8" t="s">
        <v>307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1379</v>
      </c>
      <c r="E17" s="266">
        <v>0.88</v>
      </c>
      <c r="F17" s="12">
        <v>1</v>
      </c>
      <c r="H17">
        <f>E17*F17*$N$2</f>
        <v>105.6</v>
      </c>
      <c r="I17" s="12">
        <f>Z126</f>
        <v>238.34357440000002</v>
      </c>
      <c r="J17" s="12">
        <f>H17*I17</f>
        <v>25169.08145664</v>
      </c>
      <c r="L17" s="200"/>
      <c r="M17" s="71"/>
      <c r="R17" t="s">
        <v>308</v>
      </c>
      <c r="V17" s="8" t="s">
        <v>305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485</v>
      </c>
      <c r="E18" s="266"/>
      <c r="F18" s="12"/>
      <c r="L18" s="200"/>
      <c r="M18" s="71"/>
      <c r="Z18" s="6">
        <f>SUM(Z15:Z17)</f>
        <v>1.11605</v>
      </c>
    </row>
    <row r="19" spans="1:38">
      <c r="A19" s="51" t="s">
        <v>487</v>
      </c>
      <c r="B19" s="51"/>
      <c r="C19" s="51"/>
      <c r="D19" s="51"/>
      <c r="E19" s="266">
        <v>0.97</v>
      </c>
      <c r="F19" s="12">
        <v>0.88460977388767326</v>
      </c>
      <c r="G19" t="s">
        <v>133</v>
      </c>
      <c r="H19">
        <f>E19*F19*$N$2</f>
        <v>102.96857768052516</v>
      </c>
      <c r="I19" s="62">
        <f>Z152</f>
        <v>39.620881818181815</v>
      </c>
      <c r="J19" s="59">
        <f>H19*I19</f>
        <v>4079.7058472663612</v>
      </c>
      <c r="L19" s="201"/>
      <c r="M19" s="71"/>
      <c r="R19" s="7" t="s">
        <v>309</v>
      </c>
    </row>
    <row r="20" spans="1:38">
      <c r="A20" s="1" t="s">
        <v>489</v>
      </c>
      <c r="E20" s="266"/>
      <c r="F20" s="12"/>
      <c r="I20" s="23"/>
      <c r="J20" s="12"/>
      <c r="K20" s="23"/>
      <c r="L20" s="26"/>
      <c r="M20" s="71"/>
      <c r="R20" t="s">
        <v>310</v>
      </c>
      <c r="V20" s="8" t="s">
        <v>311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491</v>
      </c>
      <c r="E21" s="266">
        <v>0.93</v>
      </c>
      <c r="F21" s="12">
        <v>5.1057622173595919E-2</v>
      </c>
      <c r="G21" t="s">
        <v>133</v>
      </c>
      <c r="H21">
        <f>E21*F21*$N$2</f>
        <v>5.6980306345733052</v>
      </c>
      <c r="I21" s="27">
        <f>Z171</f>
        <v>27.126394000000001</v>
      </c>
      <c r="J21" s="12">
        <f>H21*I21</f>
        <v>154.5670240175055</v>
      </c>
      <c r="K21" s="24"/>
      <c r="L21" s="26"/>
      <c r="M21" s="71"/>
      <c r="R21" t="s">
        <v>1375</v>
      </c>
      <c r="V21" s="8" t="s">
        <v>337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1372</v>
      </c>
      <c r="E22" s="266"/>
      <c r="F22" s="12"/>
      <c r="I22" s="23"/>
      <c r="J22" s="12"/>
      <c r="K22" s="24"/>
      <c r="L22" s="26"/>
      <c r="M22" s="71"/>
      <c r="R22" t="s">
        <v>1376</v>
      </c>
      <c r="V22" s="8" t="s">
        <v>144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494</v>
      </c>
      <c r="E23" s="266"/>
      <c r="F23" s="12"/>
      <c r="I23" s="23"/>
      <c r="J23" s="12"/>
      <c r="L23" s="26"/>
      <c r="M23" s="71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496</v>
      </c>
      <c r="E24" s="266">
        <v>0.9</v>
      </c>
      <c r="F24" s="12">
        <v>0.63231218088986141</v>
      </c>
      <c r="G24" t="s">
        <v>203</v>
      </c>
      <c r="H24">
        <f>E24*F24*$N$2</f>
        <v>68.289715536105035</v>
      </c>
      <c r="I24" s="27">
        <f>Z190</f>
        <v>426.39754399999998</v>
      </c>
      <c r="J24" s="12">
        <f>H24*I24</f>
        <v>29118.566985053829</v>
      </c>
      <c r="L24" s="26"/>
      <c r="M24" s="71"/>
    </row>
    <row r="25" spans="1:38">
      <c r="A25" t="s">
        <v>498</v>
      </c>
      <c r="E25" s="266">
        <v>0.8</v>
      </c>
      <c r="F25" s="12"/>
      <c r="G25" s="23" t="s">
        <v>296</v>
      </c>
      <c r="H25" s="199">
        <f>'Cimentación 4 pisos'!H25*E25</f>
        <v>202.33989788475566</v>
      </c>
      <c r="I25" s="27">
        <f>Z229</f>
        <v>5.5639628445000007</v>
      </c>
      <c r="J25" s="12">
        <f>H25*I25</f>
        <v>1125.8116737907048</v>
      </c>
      <c r="K25">
        <f>H25/H24</f>
        <v>2.9629629629629628</v>
      </c>
      <c r="L25" s="26">
        <f>H24*40</f>
        <v>2731.5886214442016</v>
      </c>
      <c r="M25" s="71"/>
      <c r="Q25" s="2" t="s">
        <v>277</v>
      </c>
      <c r="R25" s="2"/>
      <c r="S25" s="2" t="s">
        <v>458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508</v>
      </c>
      <c r="E26" s="266"/>
      <c r="F26" s="12"/>
      <c r="G26" s="23"/>
      <c r="I26" s="23"/>
      <c r="J26" s="12"/>
      <c r="L26" s="26"/>
      <c r="M26" s="71"/>
      <c r="Q26" s="2" t="s">
        <v>278</v>
      </c>
      <c r="R26" s="2" t="s">
        <v>416</v>
      </c>
      <c r="S26" s="4" t="s">
        <v>280</v>
      </c>
      <c r="T26" s="5">
        <v>250</v>
      </c>
      <c r="U26" s="4" t="s">
        <v>281</v>
      </c>
      <c r="V26" s="5">
        <f>T26</f>
        <v>250</v>
      </c>
      <c r="W26" s="2" t="s">
        <v>282</v>
      </c>
      <c r="Y26" s="4" t="s">
        <v>203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510</v>
      </c>
      <c r="E27" s="266">
        <v>0.92</v>
      </c>
      <c r="F27" s="12">
        <v>0.12020423048869439</v>
      </c>
      <c r="G27" s="23" t="s">
        <v>203</v>
      </c>
      <c r="H27">
        <f>E27*F27*$N$2</f>
        <v>13.270547045951862</v>
      </c>
      <c r="I27" s="27">
        <f>Z245</f>
        <v>438.22651999999994</v>
      </c>
      <c r="J27" s="12">
        <f>H27*I27</f>
        <v>5815.5056504437634</v>
      </c>
      <c r="L27" s="26"/>
      <c r="M27" s="71"/>
      <c r="Q27" s="2" t="s">
        <v>283</v>
      </c>
      <c r="R27" s="2" t="s">
        <v>284</v>
      </c>
      <c r="V27" s="4" t="s">
        <v>122</v>
      </c>
      <c r="W27" s="4" t="s">
        <v>285</v>
      </c>
      <c r="X27" s="4" t="s">
        <v>286</v>
      </c>
      <c r="Y27" s="4" t="s">
        <v>287</v>
      </c>
      <c r="Z27" s="4" t="s">
        <v>288</v>
      </c>
      <c r="AC27" s="2"/>
      <c r="AD27" s="2"/>
      <c r="AH27" s="4"/>
      <c r="AI27" s="4"/>
      <c r="AJ27" s="4"/>
      <c r="AK27" s="4"/>
      <c r="AL27" s="4"/>
    </row>
    <row r="28" spans="1:38">
      <c r="A28" t="s">
        <v>512</v>
      </c>
      <c r="E28" s="266">
        <v>0.95</v>
      </c>
      <c r="F28" s="12">
        <v>0.64908825674690007</v>
      </c>
      <c r="G28" s="23" t="s">
        <v>133</v>
      </c>
      <c r="H28">
        <f>E28*F28*$N$2</f>
        <v>73.996061269146594</v>
      </c>
      <c r="I28" s="27">
        <f>Z267</f>
        <v>64.026960000000003</v>
      </c>
      <c r="J28" s="12">
        <f>H28*I28</f>
        <v>4737.7428550371988</v>
      </c>
      <c r="L28" s="26"/>
      <c r="M28" s="71"/>
      <c r="R28" s="7" t="s">
        <v>289</v>
      </c>
      <c r="AD28" s="7"/>
    </row>
    <row r="29" spans="1:38">
      <c r="A29" t="s">
        <v>514</v>
      </c>
      <c r="E29" s="266">
        <v>0.77</v>
      </c>
      <c r="F29" s="12"/>
      <c r="G29" s="23" t="s">
        <v>296</v>
      </c>
      <c r="H29">
        <f>'Cimentación 4 pisos'!H29*'Cimentación 1 piso'!E29</f>
        <v>46.27862873814734</v>
      </c>
      <c r="I29" s="27">
        <f>Z283</f>
        <v>5.5639628445000007</v>
      </c>
      <c r="J29" s="12">
        <f>H29*I29</f>
        <v>257.49257079346177</v>
      </c>
      <c r="K29">
        <f>H29/H27</f>
        <v>3.48731884057971</v>
      </c>
      <c r="L29" s="26"/>
      <c r="M29" s="71"/>
      <c r="R29" t="s">
        <v>650</v>
      </c>
      <c r="V29" s="8" t="s">
        <v>291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516</v>
      </c>
      <c r="B30" s="2"/>
      <c r="E30" s="266"/>
      <c r="F30" s="12"/>
      <c r="I30" s="23"/>
      <c r="J30" s="12"/>
      <c r="L30" s="26"/>
      <c r="M30" s="71"/>
      <c r="R30" t="s">
        <v>290</v>
      </c>
      <c r="V30" s="8" t="s">
        <v>291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518</v>
      </c>
      <c r="E31" s="266">
        <v>0.86</v>
      </c>
      <c r="F31" s="12">
        <v>8.3369803063457329E-2</v>
      </c>
      <c r="G31" t="s">
        <v>203</v>
      </c>
      <c r="H31">
        <f>E31*F31*$N$2</f>
        <v>8.6037636761487963</v>
      </c>
      <c r="I31" s="12">
        <f>Z301</f>
        <v>424.92179999999996</v>
      </c>
      <c r="J31" s="12">
        <f>H31*I31</f>
        <v>3655.9267480437634</v>
      </c>
      <c r="L31" s="200"/>
      <c r="M31" s="71"/>
      <c r="R31" t="s">
        <v>293</v>
      </c>
      <c r="V31" s="8" t="s">
        <v>291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520</v>
      </c>
      <c r="E32" s="266">
        <v>0.89</v>
      </c>
      <c r="F32" s="12">
        <v>0.41684901531728669</v>
      </c>
      <c r="G32" t="s">
        <v>133</v>
      </c>
      <c r="H32">
        <f>E32*F32*$N$2</f>
        <v>44.519474835886214</v>
      </c>
      <c r="I32" s="12">
        <f>Z322</f>
        <v>42.644480000000001</v>
      </c>
      <c r="J32" s="12">
        <f>H32*I32</f>
        <v>1898.5098542494529</v>
      </c>
      <c r="L32" s="200"/>
      <c r="M32" s="71"/>
      <c r="Z32" s="6">
        <f>SUM(Z29:Z31)</f>
        <v>2.6196159999999997</v>
      </c>
      <c r="AD32" s="7"/>
    </row>
    <row r="33" spans="1:38">
      <c r="A33" t="s">
        <v>522</v>
      </c>
      <c r="E33" s="266">
        <v>0.67</v>
      </c>
      <c r="F33" s="12"/>
      <c r="G33" t="s">
        <v>296</v>
      </c>
      <c r="H33" s="199">
        <f>'Cimentación 4 pisos'!H33*'Cimentación 1 piso'!E33</f>
        <v>67.029321663019687</v>
      </c>
      <c r="I33" s="12">
        <f>Z338</f>
        <v>5.5639628445000007</v>
      </c>
      <c r="J33" s="12">
        <f>H33*I33</f>
        <v>372.94865522508053</v>
      </c>
      <c r="K33">
        <f>H33/H31</f>
        <v>7.7906976744186043</v>
      </c>
      <c r="L33" s="200"/>
      <c r="M33" s="71"/>
      <c r="R33" s="7" t="s">
        <v>309</v>
      </c>
      <c r="AH33" s="8"/>
      <c r="AJ33" s="10"/>
      <c r="AK33" s="12"/>
      <c r="AL33" s="12"/>
    </row>
    <row r="34" spans="1:38">
      <c r="M34" s="71"/>
      <c r="R34" t="s">
        <v>310</v>
      </c>
      <c r="V34" s="8" t="s">
        <v>311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L35" s="200"/>
      <c r="R35" t="s">
        <v>651</v>
      </c>
      <c r="V35" s="8" t="s">
        <v>337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277</v>
      </c>
      <c r="R41" s="2"/>
      <c r="S41" s="2" t="s">
        <v>460</v>
      </c>
      <c r="T41" s="2"/>
    </row>
    <row r="42" spans="1:38">
      <c r="Q42" s="2" t="s">
        <v>278</v>
      </c>
      <c r="R42" s="2" t="s">
        <v>416</v>
      </c>
      <c r="S42" s="4" t="s">
        <v>280</v>
      </c>
      <c r="T42" s="5">
        <v>4</v>
      </c>
      <c r="U42" s="4" t="s">
        <v>281</v>
      </c>
      <c r="V42" s="5">
        <f>T42</f>
        <v>4</v>
      </c>
      <c r="W42" s="2" t="s">
        <v>282</v>
      </c>
      <c r="Y42" s="4" t="s">
        <v>203</v>
      </c>
      <c r="Z42" s="6">
        <f>Z47+Z50</f>
        <v>49.404980000000002</v>
      </c>
    </row>
    <row r="43" spans="1:38">
      <c r="Q43" s="2" t="s">
        <v>283</v>
      </c>
      <c r="R43" s="2" t="s">
        <v>284</v>
      </c>
      <c r="V43" s="4" t="s">
        <v>122</v>
      </c>
      <c r="W43" s="4" t="s">
        <v>285</v>
      </c>
      <c r="X43" s="4" t="s">
        <v>286</v>
      </c>
      <c r="Y43" s="4" t="s">
        <v>287</v>
      </c>
      <c r="Z43" s="4" t="s">
        <v>288</v>
      </c>
    </row>
    <row r="44" spans="1:38">
      <c r="R44" s="7" t="s">
        <v>289</v>
      </c>
    </row>
    <row r="45" spans="1:38">
      <c r="R45" t="s">
        <v>650</v>
      </c>
      <c r="V45" s="8" t="s">
        <v>291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293</v>
      </c>
      <c r="V46" s="8" t="s">
        <v>291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309</v>
      </c>
    </row>
    <row r="49" spans="17:26">
      <c r="R49" t="s">
        <v>310</v>
      </c>
      <c r="V49" s="8" t="s">
        <v>311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277</v>
      </c>
      <c r="R52" s="2"/>
      <c r="S52" s="2" t="s">
        <v>462</v>
      </c>
      <c r="T52" s="2"/>
    </row>
    <row r="53" spans="17:26">
      <c r="Q53" s="2" t="s">
        <v>278</v>
      </c>
      <c r="R53" s="2" t="s">
        <v>416</v>
      </c>
      <c r="S53" s="4" t="s">
        <v>280</v>
      </c>
      <c r="T53" s="5">
        <v>30</v>
      </c>
      <c r="U53" s="4" t="s">
        <v>281</v>
      </c>
      <c r="V53" s="5">
        <f>T53</f>
        <v>30</v>
      </c>
      <c r="W53" s="2" t="s">
        <v>282</v>
      </c>
      <c r="Y53" s="4" t="s">
        <v>203</v>
      </c>
      <c r="Z53" s="6">
        <f>Z59+Z63+Z67</f>
        <v>66.234217333333333</v>
      </c>
    </row>
    <row r="54" spans="17:26">
      <c r="Q54" s="2" t="s">
        <v>283</v>
      </c>
      <c r="R54" s="2" t="s">
        <v>284</v>
      </c>
      <c r="V54" s="4" t="s">
        <v>122</v>
      </c>
      <c r="W54" s="4" t="s">
        <v>285</v>
      </c>
      <c r="X54" s="4" t="s">
        <v>286</v>
      </c>
      <c r="Y54" s="4" t="s">
        <v>287</v>
      </c>
      <c r="Z54" s="4" t="s">
        <v>288</v>
      </c>
    </row>
    <row r="55" spans="17:26">
      <c r="R55" s="7" t="s">
        <v>289</v>
      </c>
    </row>
    <row r="56" spans="17:26">
      <c r="R56" t="s">
        <v>650</v>
      </c>
      <c r="V56" s="8" t="s">
        <v>291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293</v>
      </c>
      <c r="V57" s="8" t="s">
        <v>291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652</v>
      </c>
      <c r="V58" s="8" t="s">
        <v>291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653</v>
      </c>
      <c r="V60" s="8"/>
      <c r="W60" s="9"/>
      <c r="X60" s="10"/>
      <c r="Z60" s="12"/>
    </row>
    <row r="61" spans="17:26">
      <c r="R61" t="s">
        <v>654</v>
      </c>
      <c r="V61" s="8" t="s">
        <v>203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655</v>
      </c>
      <c r="V62" s="8" t="s">
        <v>203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309</v>
      </c>
    </row>
    <row r="65" spans="17:26">
      <c r="R65" t="s">
        <v>310</v>
      </c>
      <c r="V65" s="8" t="s">
        <v>311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656</v>
      </c>
      <c r="V66" s="8" t="s">
        <v>337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277</v>
      </c>
      <c r="R69" s="2"/>
      <c r="S69" s="2" t="s">
        <v>464</v>
      </c>
      <c r="T69" s="2"/>
    </row>
    <row r="70" spans="17:26">
      <c r="Q70" s="2" t="s">
        <v>278</v>
      </c>
      <c r="R70" s="2" t="s">
        <v>416</v>
      </c>
      <c r="S70" s="4" t="s">
        <v>280</v>
      </c>
      <c r="T70" s="5">
        <v>40</v>
      </c>
      <c r="U70" s="4" t="s">
        <v>281</v>
      </c>
      <c r="V70" s="5">
        <f>T70</f>
        <v>40</v>
      </c>
      <c r="W70" s="2" t="s">
        <v>282</v>
      </c>
      <c r="Y70" s="4" t="s">
        <v>203</v>
      </c>
      <c r="Z70" s="6">
        <f>Z76+Z84</f>
        <v>19.299630000000001</v>
      </c>
    </row>
    <row r="71" spans="17:26">
      <c r="Q71" s="2" t="s">
        <v>283</v>
      </c>
      <c r="R71" s="2" t="s">
        <v>284</v>
      </c>
      <c r="V71" s="4" t="s">
        <v>122</v>
      </c>
      <c r="W71" s="4" t="s">
        <v>285</v>
      </c>
      <c r="X71" s="4" t="s">
        <v>286</v>
      </c>
      <c r="Y71" s="4" t="s">
        <v>287</v>
      </c>
      <c r="Z71" s="4" t="s">
        <v>288</v>
      </c>
    </row>
    <row r="72" spans="17:26">
      <c r="R72" s="7" t="s">
        <v>289</v>
      </c>
    </row>
    <row r="73" spans="17:26">
      <c r="R73" t="s">
        <v>650</v>
      </c>
      <c r="V73" s="8" t="s">
        <v>291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293</v>
      </c>
      <c r="V74" s="8" t="s">
        <v>291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652</v>
      </c>
      <c r="V75" s="8" t="s">
        <v>291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653</v>
      </c>
      <c r="V77" s="8"/>
      <c r="W77" s="9"/>
      <c r="X77" s="10"/>
      <c r="Z77" s="12"/>
    </row>
    <row r="78" spans="17:26">
      <c r="R78" t="s">
        <v>655</v>
      </c>
      <c r="V78" s="8" t="s">
        <v>203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309</v>
      </c>
    </row>
    <row r="81" spans="17:26">
      <c r="R81" t="s">
        <v>310</v>
      </c>
      <c r="V81" s="8" t="s">
        <v>311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656</v>
      </c>
      <c r="V82" s="8" t="s">
        <v>337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657</v>
      </c>
      <c r="V83" s="8" t="s">
        <v>337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277</v>
      </c>
      <c r="R86" s="2"/>
      <c r="S86" s="2" t="s">
        <v>1345</v>
      </c>
      <c r="T86" s="2"/>
    </row>
    <row r="87" spans="17:26">
      <c r="Q87" s="2" t="s">
        <v>278</v>
      </c>
      <c r="R87" s="2" t="s">
        <v>279</v>
      </c>
      <c r="S87" s="4" t="s">
        <v>280</v>
      </c>
      <c r="T87" s="5">
        <v>500</v>
      </c>
      <c r="U87" s="4" t="s">
        <v>281</v>
      </c>
      <c r="V87" s="5">
        <f>T87</f>
        <v>500</v>
      </c>
      <c r="W87" s="2" t="s">
        <v>282</v>
      </c>
      <c r="Y87" s="4" t="s">
        <v>133</v>
      </c>
      <c r="Z87" s="6">
        <f>Z93+Z99</f>
        <v>7.9303440000000007</v>
      </c>
    </row>
    <row r="88" spans="17:26">
      <c r="Q88" s="2" t="s">
        <v>283</v>
      </c>
      <c r="R88" s="2" t="s">
        <v>284</v>
      </c>
      <c r="V88" s="4" t="s">
        <v>122</v>
      </c>
      <c r="W88" s="4" t="s">
        <v>285</v>
      </c>
      <c r="X88" s="4" t="s">
        <v>286</v>
      </c>
      <c r="Y88" s="4" t="s">
        <v>287</v>
      </c>
      <c r="Z88" s="4" t="s">
        <v>288</v>
      </c>
    </row>
    <row r="89" spans="17:26">
      <c r="R89" s="7" t="s">
        <v>289</v>
      </c>
    </row>
    <row r="90" spans="17:26">
      <c r="R90" t="s">
        <v>650</v>
      </c>
      <c r="V90" s="8" t="s">
        <v>291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292</v>
      </c>
      <c r="V91" s="8" t="s">
        <v>291</v>
      </c>
      <c r="W91" s="9">
        <v>1</v>
      </c>
      <c r="X91" s="10">
        <f t="shared" ref="X91:X92" si="1">W91*8/$T$87</f>
        <v>1.6E-2</v>
      </c>
      <c r="Y91">
        <v>23.6</v>
      </c>
      <c r="Z91" s="12">
        <f>X91*Y91</f>
        <v>0.37760000000000005</v>
      </c>
    </row>
    <row r="92" spans="17:26">
      <c r="R92" t="s">
        <v>293</v>
      </c>
      <c r="V92" s="8" t="s">
        <v>291</v>
      </c>
      <c r="W92" s="9">
        <v>3</v>
      </c>
      <c r="X92" s="10">
        <f t="shared" si="1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309</v>
      </c>
    </row>
    <row r="95" spans="17:26">
      <c r="R95" t="s">
        <v>310</v>
      </c>
      <c r="V95" s="8" t="s">
        <v>311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656</v>
      </c>
      <c r="V96" s="8" t="s">
        <v>337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658</v>
      </c>
      <c r="V97" s="8" t="s">
        <v>337</v>
      </c>
      <c r="W97" s="9">
        <v>1</v>
      </c>
      <c r="X97" s="10">
        <f t="shared" ref="X97:X98" si="2">W97*8/$T$87</f>
        <v>1.6E-2</v>
      </c>
      <c r="Y97">
        <v>136.06</v>
      </c>
      <c r="Z97" s="12">
        <f t="shared" ref="Z97:Z98" si="3">X97*Y97</f>
        <v>2.1769600000000002</v>
      </c>
    </row>
    <row r="98" spans="17:26" ht="15" customHeight="1">
      <c r="R98" t="s">
        <v>659</v>
      </c>
      <c r="S98" s="69"/>
      <c r="T98" s="69"/>
      <c r="U98" s="69"/>
      <c r="V98" s="8" t="s">
        <v>337</v>
      </c>
      <c r="W98" s="9">
        <v>1</v>
      </c>
      <c r="X98" s="10">
        <f t="shared" si="2"/>
        <v>1.6E-2</v>
      </c>
      <c r="Y98">
        <v>220.52</v>
      </c>
      <c r="Z98" s="12">
        <f t="shared" si="3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277</v>
      </c>
      <c r="R101" s="2"/>
      <c r="S101" s="2" t="s">
        <v>468</v>
      </c>
      <c r="T101" s="2"/>
    </row>
    <row r="102" spans="17:26">
      <c r="Q102" s="2" t="s">
        <v>278</v>
      </c>
      <c r="R102" s="2" t="s">
        <v>313</v>
      </c>
      <c r="S102" s="4" t="s">
        <v>280</v>
      </c>
      <c r="T102" s="5">
        <v>80</v>
      </c>
      <c r="U102" s="4" t="s">
        <v>281</v>
      </c>
      <c r="V102" s="5">
        <f>T102</f>
        <v>80</v>
      </c>
      <c r="W102" s="2" t="s">
        <v>282</v>
      </c>
      <c r="Y102" s="4" t="s">
        <v>144</v>
      </c>
      <c r="Z102" s="6">
        <f>Z106+Z110</f>
        <v>12.11253</v>
      </c>
    </row>
    <row r="103" spans="17:26">
      <c r="Q103" s="2" t="s">
        <v>283</v>
      </c>
      <c r="R103" s="2" t="s">
        <v>284</v>
      </c>
      <c r="V103" s="4" t="s">
        <v>122</v>
      </c>
      <c r="W103" s="4" t="s">
        <v>285</v>
      </c>
      <c r="X103" s="4" t="s">
        <v>286</v>
      </c>
      <c r="Y103" s="4" t="s">
        <v>287</v>
      </c>
      <c r="Z103" s="4" t="s">
        <v>288</v>
      </c>
    </row>
    <row r="104" spans="17:26">
      <c r="R104" s="7" t="s">
        <v>289</v>
      </c>
    </row>
    <row r="105" spans="17:26">
      <c r="R105" t="s">
        <v>293</v>
      </c>
      <c r="V105" s="8" t="s">
        <v>291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309</v>
      </c>
    </row>
    <row r="108" spans="17:26">
      <c r="R108" t="s">
        <v>310</v>
      </c>
      <c r="V108" s="8" t="s">
        <v>311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660</v>
      </c>
      <c r="V109" s="8" t="s">
        <v>337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277</v>
      </c>
      <c r="R112" s="2"/>
      <c r="S112" s="2" t="s">
        <v>470</v>
      </c>
      <c r="T112" s="2"/>
    </row>
    <row r="113" spans="17:26">
      <c r="Q113" s="2" t="s">
        <v>278</v>
      </c>
      <c r="R113" s="2" t="s">
        <v>416</v>
      </c>
      <c r="S113" s="4" t="s">
        <v>280</v>
      </c>
      <c r="T113" s="5">
        <v>187.5</v>
      </c>
      <c r="U113" s="4" t="s">
        <v>281</v>
      </c>
      <c r="V113" s="5">
        <f>T113</f>
        <v>187.5</v>
      </c>
      <c r="W113" s="2" t="s">
        <v>282</v>
      </c>
      <c r="Y113" s="4" t="s">
        <v>203</v>
      </c>
      <c r="Z113" s="6">
        <f>Z118+Z123</f>
        <v>22.910007466666666</v>
      </c>
    </row>
    <row r="114" spans="17:26">
      <c r="Q114" s="2" t="s">
        <v>283</v>
      </c>
      <c r="R114" s="2" t="s">
        <v>284</v>
      </c>
      <c r="V114" s="4" t="s">
        <v>122</v>
      </c>
      <c r="W114" s="4" t="s">
        <v>285</v>
      </c>
      <c r="X114" s="4" t="s">
        <v>286</v>
      </c>
      <c r="Y114" s="4" t="s">
        <v>287</v>
      </c>
      <c r="Z114" s="4" t="s">
        <v>288</v>
      </c>
    </row>
    <row r="115" spans="17:26">
      <c r="R115" s="7" t="s">
        <v>289</v>
      </c>
    </row>
    <row r="116" spans="17:26">
      <c r="R116" t="s">
        <v>292</v>
      </c>
      <c r="V116" s="8" t="s">
        <v>291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293</v>
      </c>
      <c r="V117" s="8" t="s">
        <v>291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309</v>
      </c>
    </row>
    <row r="120" spans="17:26">
      <c r="R120" t="s">
        <v>310</v>
      </c>
      <c r="V120" s="8" t="s">
        <v>311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661</v>
      </c>
      <c r="V121" s="8" t="s">
        <v>337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662</v>
      </c>
      <c r="V122" s="8" t="s">
        <v>337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277</v>
      </c>
      <c r="R125" s="31"/>
      <c r="S125" s="31" t="s">
        <v>483</v>
      </c>
      <c r="T125" s="31"/>
    </row>
    <row r="126" spans="17:26">
      <c r="Q126" s="31" t="s">
        <v>278</v>
      </c>
      <c r="R126" s="31" t="s">
        <v>279</v>
      </c>
      <c r="S126" s="32" t="s">
        <v>280</v>
      </c>
      <c r="T126" s="33">
        <v>50</v>
      </c>
      <c r="U126" s="32" t="s">
        <v>281</v>
      </c>
      <c r="V126" s="33">
        <f>T126</f>
        <v>50</v>
      </c>
      <c r="W126" s="31" t="s">
        <v>282</v>
      </c>
      <c r="Y126" s="32" t="s">
        <v>133</v>
      </c>
      <c r="Z126" s="34">
        <f>Z134+Z141+Z145</f>
        <v>238.34357440000002</v>
      </c>
    </row>
    <row r="127" spans="17:26">
      <c r="Q127" s="31" t="s">
        <v>283</v>
      </c>
      <c r="R127" s="31" t="s">
        <v>284</v>
      </c>
      <c r="V127" s="32" t="s">
        <v>122</v>
      </c>
      <c r="W127" s="32" t="s">
        <v>285</v>
      </c>
      <c r="X127" s="32" t="s">
        <v>286</v>
      </c>
      <c r="Y127" s="32" t="s">
        <v>287</v>
      </c>
      <c r="Z127" s="32" t="s">
        <v>288</v>
      </c>
    </row>
    <row r="128" spans="17:26">
      <c r="R128" s="35" t="s">
        <v>289</v>
      </c>
    </row>
    <row r="129" spans="18:26">
      <c r="R129" t="s">
        <v>650</v>
      </c>
      <c r="V129" s="8" t="s">
        <v>291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290</v>
      </c>
      <c r="V130" s="8" t="s">
        <v>291</v>
      </c>
      <c r="W130" s="9">
        <v>1</v>
      </c>
      <c r="X130" s="10">
        <f t="shared" ref="X130:X133" si="4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292</v>
      </c>
      <c r="V131" s="8" t="s">
        <v>291</v>
      </c>
      <c r="W131" s="9">
        <v>2</v>
      </c>
      <c r="X131" s="10">
        <f t="shared" si="4"/>
        <v>0.32</v>
      </c>
      <c r="Y131" s="12">
        <v>23.6</v>
      </c>
      <c r="Z131" s="12">
        <f>X131*Y131</f>
        <v>7.5520000000000005</v>
      </c>
    </row>
    <row r="132" spans="18:26">
      <c r="R132" t="s">
        <v>293</v>
      </c>
      <c r="V132" s="8" t="s">
        <v>291</v>
      </c>
      <c r="W132" s="9">
        <v>5</v>
      </c>
      <c r="X132" s="10">
        <f t="shared" si="4"/>
        <v>0.8</v>
      </c>
      <c r="Y132" s="12">
        <v>21.36</v>
      </c>
      <c r="Z132" s="12">
        <f>X132*Y132</f>
        <v>17.088000000000001</v>
      </c>
    </row>
    <row r="133" spans="18:26">
      <c r="R133" t="s">
        <v>652</v>
      </c>
      <c r="V133" s="8" t="s">
        <v>291</v>
      </c>
      <c r="W133" s="9">
        <v>1</v>
      </c>
      <c r="X133" s="10">
        <f t="shared" si="4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653</v>
      </c>
      <c r="V135" s="8"/>
      <c r="W135" s="9"/>
      <c r="X135" s="10"/>
      <c r="Z135" s="12"/>
    </row>
    <row r="136" spans="18:26">
      <c r="R136" t="s">
        <v>306</v>
      </c>
      <c r="V136" s="8" t="s">
        <v>307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655</v>
      </c>
      <c r="V137" s="8" t="s">
        <v>203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665</v>
      </c>
      <c r="V138" s="8" t="s">
        <v>439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302</v>
      </c>
      <c r="V139" s="8" t="s">
        <v>203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666</v>
      </c>
      <c r="V140" s="8" t="s">
        <v>203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309</v>
      </c>
    </row>
    <row r="143" spans="18:26">
      <c r="R143" t="s">
        <v>310</v>
      </c>
      <c r="V143" s="8" t="s">
        <v>311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667</v>
      </c>
      <c r="V144" s="8" t="s">
        <v>337</v>
      </c>
      <c r="W144" s="9">
        <v>1</v>
      </c>
      <c r="X144" s="10">
        <f t="shared" ref="X144" si="5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277</v>
      </c>
      <c r="R151" s="31"/>
      <c r="S151" s="31" t="s">
        <v>668</v>
      </c>
      <c r="T151" s="31"/>
    </row>
    <row r="152" spans="17:26">
      <c r="Q152" s="31" t="s">
        <v>278</v>
      </c>
      <c r="R152" s="31" t="s">
        <v>279</v>
      </c>
      <c r="S152" s="32" t="s">
        <v>280</v>
      </c>
      <c r="T152" s="33">
        <v>110</v>
      </c>
      <c r="U152" s="32" t="s">
        <v>281</v>
      </c>
      <c r="V152" s="33">
        <f>T152</f>
        <v>110</v>
      </c>
      <c r="W152" s="31" t="s">
        <v>282</v>
      </c>
      <c r="Y152" s="32" t="s">
        <v>133</v>
      </c>
      <c r="Z152" s="34">
        <f>Z158+Z164+Z168</f>
        <v>39.620881818181815</v>
      </c>
    </row>
    <row r="153" spans="17:26">
      <c r="Q153" s="31" t="s">
        <v>283</v>
      </c>
      <c r="R153" s="31" t="s">
        <v>284</v>
      </c>
      <c r="V153" s="32" t="s">
        <v>122</v>
      </c>
      <c r="W153" s="32" t="s">
        <v>285</v>
      </c>
      <c r="X153" s="32" t="s">
        <v>286</v>
      </c>
      <c r="Y153" s="32" t="s">
        <v>287</v>
      </c>
      <c r="Z153" s="32" t="s">
        <v>288</v>
      </c>
    </row>
    <row r="154" spans="17:26">
      <c r="R154" s="35" t="s">
        <v>289</v>
      </c>
    </row>
    <row r="155" spans="17:26">
      <c r="R155" t="s">
        <v>290</v>
      </c>
      <c r="V155" s="8" t="s">
        <v>291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292</v>
      </c>
      <c r="V156" s="8" t="s">
        <v>291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293</v>
      </c>
      <c r="V157" s="8" t="s">
        <v>291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653</v>
      </c>
      <c r="V159" s="8"/>
      <c r="W159" s="9"/>
      <c r="X159" s="10"/>
      <c r="Z159" s="12"/>
    </row>
    <row r="160" spans="17:26">
      <c r="R160" t="s">
        <v>306</v>
      </c>
      <c r="V160" s="8" t="s">
        <v>307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655</v>
      </c>
      <c r="V161" s="8" t="s">
        <v>203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302</v>
      </c>
      <c r="V162" s="8" t="s">
        <v>203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669</v>
      </c>
      <c r="V163" s="8" t="s">
        <v>305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309</v>
      </c>
    </row>
    <row r="166" spans="17:26">
      <c r="R166" t="s">
        <v>310</v>
      </c>
      <c r="V166" s="8" t="s">
        <v>311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667</v>
      </c>
      <c r="V167" s="8" t="s">
        <v>337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277</v>
      </c>
      <c r="R170" s="31"/>
      <c r="S170" s="31" t="s">
        <v>670</v>
      </c>
      <c r="T170" s="31"/>
    </row>
    <row r="171" spans="17:26">
      <c r="Q171" s="31" t="s">
        <v>278</v>
      </c>
      <c r="R171" s="31" t="s">
        <v>279</v>
      </c>
      <c r="S171" s="32" t="s">
        <v>280</v>
      </c>
      <c r="T171" s="33">
        <v>120</v>
      </c>
      <c r="U171" s="32" t="s">
        <v>281</v>
      </c>
      <c r="V171" s="33">
        <f>T171</f>
        <v>120</v>
      </c>
      <c r="W171" s="31" t="s">
        <v>282</v>
      </c>
      <c r="Y171" s="32" t="s">
        <v>133</v>
      </c>
      <c r="Z171" s="34">
        <f>Z177+Z183+Z187</f>
        <v>27.126394000000001</v>
      </c>
    </row>
    <row r="172" spans="17:26">
      <c r="Q172" s="31" t="s">
        <v>283</v>
      </c>
      <c r="R172" s="31" t="s">
        <v>284</v>
      </c>
      <c r="V172" s="32" t="s">
        <v>122</v>
      </c>
      <c r="W172" s="32" t="s">
        <v>285</v>
      </c>
      <c r="X172" s="32" t="s">
        <v>286</v>
      </c>
      <c r="Y172" s="32" t="s">
        <v>287</v>
      </c>
      <c r="Z172" s="32" t="s">
        <v>288</v>
      </c>
    </row>
    <row r="173" spans="17:26">
      <c r="R173" s="35" t="s">
        <v>289</v>
      </c>
    </row>
    <row r="174" spans="17:26">
      <c r="R174" t="s">
        <v>290</v>
      </c>
      <c r="V174" s="8" t="s">
        <v>291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292</v>
      </c>
      <c r="V175" s="8" t="s">
        <v>291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293</v>
      </c>
      <c r="V176" s="8" t="s">
        <v>291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653</v>
      </c>
      <c r="V178" s="8"/>
      <c r="W178" s="9"/>
      <c r="X178" s="10"/>
      <c r="Z178" s="12"/>
    </row>
    <row r="179" spans="17:26">
      <c r="R179" t="s">
        <v>306</v>
      </c>
      <c r="V179" s="8" t="s">
        <v>307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655</v>
      </c>
      <c r="V180" s="8" t="s">
        <v>203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665</v>
      </c>
      <c r="V181" s="8" t="s">
        <v>439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302</v>
      </c>
      <c r="V182" s="8" t="s">
        <v>203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309</v>
      </c>
    </row>
    <row r="185" spans="17:26">
      <c r="R185" t="s">
        <v>310</v>
      </c>
      <c r="V185" s="8" t="s">
        <v>311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667</v>
      </c>
      <c r="V186" s="8" t="s">
        <v>337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277</v>
      </c>
      <c r="R189" s="31"/>
      <c r="S189" s="31" t="s">
        <v>496</v>
      </c>
      <c r="T189" s="31"/>
    </row>
    <row r="190" spans="17:26">
      <c r="Q190" s="31" t="s">
        <v>278</v>
      </c>
      <c r="R190" s="31" t="s">
        <v>416</v>
      </c>
      <c r="S190" s="32" t="s">
        <v>280</v>
      </c>
      <c r="T190" s="33">
        <v>25</v>
      </c>
      <c r="U190" s="32" t="s">
        <v>281</v>
      </c>
      <c r="V190" s="33">
        <f>T190</f>
        <v>25</v>
      </c>
      <c r="W190" s="31" t="s">
        <v>282</v>
      </c>
      <c r="Y190" s="32" t="s">
        <v>203</v>
      </c>
      <c r="Z190" s="34">
        <f>Z196+Z204+Z209</f>
        <v>426.39754399999998</v>
      </c>
    </row>
    <row r="191" spans="17:26">
      <c r="Q191" s="31" t="s">
        <v>283</v>
      </c>
      <c r="R191" s="31" t="s">
        <v>284</v>
      </c>
      <c r="V191" s="32" t="s">
        <v>122</v>
      </c>
      <c r="W191" s="32" t="s">
        <v>285</v>
      </c>
      <c r="X191" s="32" t="s">
        <v>286</v>
      </c>
      <c r="Y191" s="32" t="s">
        <v>287</v>
      </c>
      <c r="Z191" s="32" t="s">
        <v>288</v>
      </c>
    </row>
    <row r="192" spans="17:26">
      <c r="R192" s="35" t="s">
        <v>289</v>
      </c>
    </row>
    <row r="193" spans="18:26">
      <c r="R193" t="s">
        <v>290</v>
      </c>
      <c r="V193" s="8" t="s">
        <v>291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292</v>
      </c>
      <c r="V194" s="8" t="s">
        <v>291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293</v>
      </c>
      <c r="V195" s="8" t="s">
        <v>291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653</v>
      </c>
      <c r="V197" s="8"/>
      <c r="W197" s="9"/>
      <c r="X197" s="10"/>
      <c r="Z197" s="12"/>
    </row>
    <row r="198" spans="18:26">
      <c r="R198" t="s">
        <v>672</v>
      </c>
      <c r="V198" s="8" t="s">
        <v>203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673</v>
      </c>
      <c r="V199" s="8" t="s">
        <v>203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306</v>
      </c>
      <c r="V200" s="8" t="s">
        <v>307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655</v>
      </c>
      <c r="V201" s="8" t="s">
        <v>203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665</v>
      </c>
      <c r="V202" s="8" t="s">
        <v>439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674</v>
      </c>
      <c r="V203" s="8" t="s">
        <v>439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309</v>
      </c>
    </row>
    <row r="206" spans="18:26">
      <c r="R206" t="s">
        <v>310</v>
      </c>
      <c r="V206" s="8" t="s">
        <v>311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667</v>
      </c>
      <c r="V207" s="8" t="s">
        <v>337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675</v>
      </c>
      <c r="V208" s="8" t="s">
        <v>337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277</v>
      </c>
      <c r="R211" s="31"/>
      <c r="S211" s="31" t="s">
        <v>676</v>
      </c>
      <c r="T211" s="31"/>
    </row>
    <row r="212" spans="17:26">
      <c r="Q212" s="31" t="s">
        <v>278</v>
      </c>
      <c r="R212" s="31" t="s">
        <v>279</v>
      </c>
      <c r="S212" s="32" t="s">
        <v>280</v>
      </c>
      <c r="T212" s="33">
        <v>8</v>
      </c>
      <c r="U212" s="32" t="s">
        <v>281</v>
      </c>
      <c r="V212" s="33">
        <f>T212</f>
        <v>8</v>
      </c>
      <c r="W212" s="31" t="s">
        <v>282</v>
      </c>
      <c r="Y212" s="32" t="s">
        <v>133</v>
      </c>
      <c r="Z212" s="34">
        <f>Z217+Z222+Z225</f>
        <v>75.114200000000011</v>
      </c>
    </row>
    <row r="213" spans="17:26">
      <c r="Q213" s="31" t="s">
        <v>283</v>
      </c>
      <c r="R213" s="31" t="s">
        <v>284</v>
      </c>
      <c r="V213" s="32" t="s">
        <v>122</v>
      </c>
      <c r="W213" s="32" t="s">
        <v>285</v>
      </c>
      <c r="X213" s="32" t="s">
        <v>286</v>
      </c>
      <c r="Y213" s="32" t="s">
        <v>287</v>
      </c>
      <c r="Z213" s="32" t="s">
        <v>288</v>
      </c>
    </row>
    <row r="214" spans="17:26">
      <c r="R214" s="35" t="s">
        <v>289</v>
      </c>
    </row>
    <row r="215" spans="17:26">
      <c r="R215" t="s">
        <v>290</v>
      </c>
      <c r="V215" s="8" t="s">
        <v>291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292</v>
      </c>
      <c r="V216" s="8" t="s">
        <v>291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653</v>
      </c>
      <c r="V218" s="8"/>
      <c r="W218" s="9"/>
      <c r="X218" s="10"/>
      <c r="Z218" s="12"/>
    </row>
    <row r="219" spans="17:26">
      <c r="R219" t="s">
        <v>677</v>
      </c>
      <c r="V219" s="8" t="s">
        <v>296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301</v>
      </c>
      <c r="V220" s="8" t="s">
        <v>296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669</v>
      </c>
      <c r="V221" s="8" t="s">
        <v>305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309</v>
      </c>
    </row>
    <row r="224" spans="17:26">
      <c r="R224" t="s">
        <v>310</v>
      </c>
      <c r="V224" s="8" t="s">
        <v>311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277</v>
      </c>
      <c r="R228" s="31"/>
      <c r="S228" s="31" t="s">
        <v>498</v>
      </c>
      <c r="T228" s="31"/>
    </row>
    <row r="229" spans="17:26">
      <c r="Q229" s="31" t="s">
        <v>278</v>
      </c>
      <c r="R229" s="31" t="s">
        <v>678</v>
      </c>
      <c r="S229" s="32" t="s">
        <v>280</v>
      </c>
      <c r="T229" s="33">
        <v>250</v>
      </c>
      <c r="U229" s="32" t="s">
        <v>281</v>
      </c>
      <c r="V229" s="33">
        <f>T229</f>
        <v>250</v>
      </c>
      <c r="W229" s="31" t="s">
        <v>282</v>
      </c>
      <c r="Y229" s="32" t="s">
        <v>296</v>
      </c>
      <c r="Z229" s="34">
        <f>Z234+Z238+Z242</f>
        <v>5.5639628445000007</v>
      </c>
    </row>
    <row r="230" spans="17:26">
      <c r="Q230" s="31" t="s">
        <v>283</v>
      </c>
      <c r="R230" s="31" t="s">
        <v>284</v>
      </c>
      <c r="V230" s="32" t="s">
        <v>122</v>
      </c>
      <c r="W230" s="32" t="s">
        <v>285</v>
      </c>
      <c r="X230" s="32" t="s">
        <v>286</v>
      </c>
      <c r="Y230" s="32" t="s">
        <v>287</v>
      </c>
      <c r="Z230" s="32" t="s">
        <v>288</v>
      </c>
    </row>
    <row r="231" spans="17:26">
      <c r="R231" s="35" t="s">
        <v>289</v>
      </c>
      <c r="W231" s="9"/>
    </row>
    <row r="232" spans="17:26">
      <c r="R232" t="s">
        <v>290</v>
      </c>
      <c r="V232" s="8" t="s">
        <v>291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679</v>
      </c>
      <c r="V233" s="8" t="s">
        <v>291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294</v>
      </c>
      <c r="V235" s="8"/>
      <c r="W235" s="9"/>
      <c r="X235" s="18"/>
    </row>
    <row r="236" spans="17:26">
      <c r="R236" t="s">
        <v>295</v>
      </c>
      <c r="V236" s="8" t="s">
        <v>296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680</v>
      </c>
      <c r="V237" s="8" t="s">
        <v>296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317</v>
      </c>
      <c r="V239" s="8"/>
      <c r="W239" s="9"/>
    </row>
    <row r="240" spans="17:26">
      <c r="R240" t="s">
        <v>310</v>
      </c>
      <c r="V240" s="8" t="s">
        <v>311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681</v>
      </c>
      <c r="V241" s="8" t="s">
        <v>291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277</v>
      </c>
      <c r="R244" s="31"/>
      <c r="S244" s="31" t="s">
        <v>510</v>
      </c>
      <c r="T244" s="31"/>
    </row>
    <row r="245" spans="17:26">
      <c r="Q245" s="31" t="s">
        <v>278</v>
      </c>
      <c r="R245" s="31" t="s">
        <v>416</v>
      </c>
      <c r="S245" s="32" t="s">
        <v>280</v>
      </c>
      <c r="T245" s="33">
        <v>20</v>
      </c>
      <c r="U245" s="32" t="s">
        <v>281</v>
      </c>
      <c r="V245" s="33">
        <f>T245</f>
        <v>20</v>
      </c>
      <c r="W245" s="31" t="s">
        <v>282</v>
      </c>
      <c r="Y245" s="32" t="s">
        <v>203</v>
      </c>
      <c r="Z245" s="34">
        <f>Z251+Z259+Z264</f>
        <v>438.22651999999994</v>
      </c>
    </row>
    <row r="246" spans="17:26">
      <c r="Q246" s="31" t="s">
        <v>283</v>
      </c>
      <c r="R246" s="31" t="s">
        <v>284</v>
      </c>
      <c r="V246" s="32" t="s">
        <v>122</v>
      </c>
      <c r="W246" s="32" t="s">
        <v>285</v>
      </c>
      <c r="X246" s="32" t="s">
        <v>286</v>
      </c>
      <c r="Y246" s="32" t="s">
        <v>287</v>
      </c>
      <c r="Z246" s="32" t="s">
        <v>288</v>
      </c>
    </row>
    <row r="247" spans="17:26">
      <c r="R247" s="35" t="s">
        <v>289</v>
      </c>
    </row>
    <row r="248" spans="17:26">
      <c r="R248" t="s">
        <v>290</v>
      </c>
      <c r="V248" s="8" t="s">
        <v>291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292</v>
      </c>
      <c r="V249" s="8" t="s">
        <v>291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293</v>
      </c>
      <c r="V250" s="8" t="s">
        <v>291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653</v>
      </c>
      <c r="V252" s="8"/>
      <c r="W252" s="9"/>
      <c r="X252" s="10"/>
      <c r="Z252" s="12"/>
    </row>
    <row r="253" spans="17:26">
      <c r="R253" t="s">
        <v>672</v>
      </c>
      <c r="V253" s="8" t="s">
        <v>203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673</v>
      </c>
      <c r="V254" s="8" t="s">
        <v>203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306</v>
      </c>
      <c r="V255" s="8" t="s">
        <v>307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655</v>
      </c>
      <c r="V256" s="8" t="s">
        <v>203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665</v>
      </c>
      <c r="V257" s="8" t="s">
        <v>439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674</v>
      </c>
      <c r="V258" s="8" t="s">
        <v>439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309</v>
      </c>
    </row>
    <row r="261" spans="17:29">
      <c r="R261" t="s">
        <v>310</v>
      </c>
      <c r="V261" s="8" t="s">
        <v>311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667</v>
      </c>
      <c r="V262" s="8" t="s">
        <v>337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675</v>
      </c>
      <c r="V263" s="8" t="s">
        <v>337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277</v>
      </c>
      <c r="R266" s="31"/>
      <c r="S266" s="31" t="s">
        <v>512</v>
      </c>
      <c r="T266" s="31"/>
    </row>
    <row r="267" spans="17:29">
      <c r="Q267" s="31" t="s">
        <v>278</v>
      </c>
      <c r="R267" s="31" t="s">
        <v>279</v>
      </c>
      <c r="S267" s="32" t="s">
        <v>280</v>
      </c>
      <c r="T267" s="33">
        <v>20</v>
      </c>
      <c r="U267" s="32" t="s">
        <v>281</v>
      </c>
      <c r="V267" s="33">
        <f>T267</f>
        <v>20</v>
      </c>
      <c r="W267" s="31" t="s">
        <v>282</v>
      </c>
      <c r="Y267" s="32" t="s">
        <v>133</v>
      </c>
      <c r="Z267" s="34">
        <f>Z272+Z277+Z280</f>
        <v>64.026960000000003</v>
      </c>
    </row>
    <row r="268" spans="17:29">
      <c r="Q268" s="31" t="s">
        <v>283</v>
      </c>
      <c r="R268" s="31" t="s">
        <v>284</v>
      </c>
      <c r="V268" s="32" t="s">
        <v>122</v>
      </c>
      <c r="W268" s="32" t="s">
        <v>285</v>
      </c>
      <c r="X268" s="32" t="s">
        <v>286</v>
      </c>
      <c r="Y268" s="32" t="s">
        <v>287</v>
      </c>
      <c r="Z268" s="32" t="s">
        <v>288</v>
      </c>
    </row>
    <row r="269" spans="17:29">
      <c r="R269" s="35" t="s">
        <v>289</v>
      </c>
      <c r="AC269" s="12"/>
    </row>
    <row r="270" spans="17:29">
      <c r="R270" t="s">
        <v>290</v>
      </c>
      <c r="V270" s="8" t="s">
        <v>291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292</v>
      </c>
      <c r="V271" s="8" t="s">
        <v>291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653</v>
      </c>
      <c r="V273" s="8"/>
      <c r="W273" s="9"/>
      <c r="X273" s="10"/>
      <c r="Z273" s="12"/>
    </row>
    <row r="274" spans="17:26">
      <c r="R274" t="s">
        <v>677</v>
      </c>
      <c r="V274" s="8" t="s">
        <v>296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301</v>
      </c>
      <c r="V275" s="8" t="s">
        <v>296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669</v>
      </c>
      <c r="V276" s="8" t="s">
        <v>305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309</v>
      </c>
    </row>
    <row r="279" spans="17:26">
      <c r="R279" t="s">
        <v>310</v>
      </c>
      <c r="V279" s="8" t="s">
        <v>311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277</v>
      </c>
      <c r="R282" s="31"/>
      <c r="S282" s="31" t="s">
        <v>684</v>
      </c>
      <c r="T282" s="31"/>
    </row>
    <row r="283" spans="17:26">
      <c r="Q283" s="31" t="s">
        <v>278</v>
      </c>
      <c r="R283" s="31" t="s">
        <v>678</v>
      </c>
      <c r="S283" s="32" t="s">
        <v>280</v>
      </c>
      <c r="T283" s="33">
        <v>250</v>
      </c>
      <c r="U283" s="32" t="s">
        <v>281</v>
      </c>
      <c r="V283" s="33">
        <f>T283</f>
        <v>250</v>
      </c>
      <c r="W283" s="31" t="s">
        <v>282</v>
      </c>
      <c r="Y283" s="32" t="s">
        <v>296</v>
      </c>
      <c r="Z283" s="34">
        <f>Z289+Z293+Z297</f>
        <v>5.5639628445000007</v>
      </c>
    </row>
    <row r="284" spans="17:26">
      <c r="Q284" s="31" t="s">
        <v>283</v>
      </c>
      <c r="R284" s="31" t="s">
        <v>284</v>
      </c>
      <c r="V284" s="32" t="s">
        <v>122</v>
      </c>
      <c r="W284" s="32" t="s">
        <v>285</v>
      </c>
      <c r="X284" s="32" t="s">
        <v>286</v>
      </c>
      <c r="Y284" s="32" t="s">
        <v>287</v>
      </c>
      <c r="Z284" s="32" t="s">
        <v>288</v>
      </c>
    </row>
    <row r="285" spans="17:26">
      <c r="R285" s="35" t="s">
        <v>289</v>
      </c>
      <c r="W285" s="9"/>
    </row>
    <row r="286" spans="17:26">
      <c r="R286" t="s">
        <v>290</v>
      </c>
      <c r="V286" s="8" t="s">
        <v>291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679</v>
      </c>
      <c r="V287" s="8" t="s">
        <v>291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294</v>
      </c>
      <c r="V290" s="8"/>
      <c r="W290" s="9"/>
      <c r="X290" s="18"/>
    </row>
    <row r="291" spans="17:26">
      <c r="R291" t="s">
        <v>295</v>
      </c>
      <c r="V291" s="8" t="s">
        <v>296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680</v>
      </c>
      <c r="V292" s="8" t="s">
        <v>296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317</v>
      </c>
      <c r="V294" s="8"/>
      <c r="W294" s="9"/>
    </row>
    <row r="295" spans="17:26">
      <c r="R295" t="s">
        <v>310</v>
      </c>
      <c r="V295" s="8" t="s">
        <v>311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681</v>
      </c>
      <c r="V296" s="8" t="s">
        <v>291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277</v>
      </c>
      <c r="R300" s="31"/>
      <c r="S300" s="31" t="s">
        <v>685</v>
      </c>
      <c r="T300" s="31"/>
    </row>
    <row r="301" spans="17:26">
      <c r="Q301" s="31" t="s">
        <v>278</v>
      </c>
      <c r="R301" s="31" t="s">
        <v>416</v>
      </c>
      <c r="S301" s="32" t="s">
        <v>280</v>
      </c>
      <c r="T301" s="33">
        <v>15</v>
      </c>
      <c r="U301" s="32" t="s">
        <v>281</v>
      </c>
      <c r="V301" s="33">
        <f>T301</f>
        <v>15</v>
      </c>
      <c r="W301" s="31" t="s">
        <v>282</v>
      </c>
      <c r="Y301" s="32" t="s">
        <v>203</v>
      </c>
      <c r="Z301" s="34">
        <f>Z307+Z314+Z319</f>
        <v>424.92179999999996</v>
      </c>
    </row>
    <row r="302" spans="17:26">
      <c r="Q302" s="31" t="s">
        <v>283</v>
      </c>
      <c r="R302" s="31" t="s">
        <v>284</v>
      </c>
      <c r="V302" s="32" t="s">
        <v>122</v>
      </c>
      <c r="W302" s="32" t="s">
        <v>285</v>
      </c>
      <c r="X302" s="32" t="s">
        <v>286</v>
      </c>
      <c r="Y302" s="32" t="s">
        <v>287</v>
      </c>
      <c r="Z302" s="32" t="s">
        <v>288</v>
      </c>
    </row>
    <row r="303" spans="17:26">
      <c r="R303" s="35" t="s">
        <v>289</v>
      </c>
    </row>
    <row r="304" spans="17:26">
      <c r="R304" t="s">
        <v>290</v>
      </c>
      <c r="V304" s="8" t="s">
        <v>291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292</v>
      </c>
      <c r="V305" s="8" t="s">
        <v>291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293</v>
      </c>
      <c r="V306" s="8" t="s">
        <v>291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653</v>
      </c>
      <c r="V308" s="8"/>
      <c r="W308" s="9"/>
      <c r="X308" s="10"/>
      <c r="Z308" s="12"/>
    </row>
    <row r="309" spans="17:26">
      <c r="R309" t="s">
        <v>672</v>
      </c>
      <c r="V309" s="8" t="s">
        <v>203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673</v>
      </c>
      <c r="V310" s="8" t="s">
        <v>203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306</v>
      </c>
      <c r="V311" s="8" t="s">
        <v>307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655</v>
      </c>
      <c r="V312" s="8" t="s">
        <v>203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665</v>
      </c>
      <c r="V313" s="8" t="s">
        <v>439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309</v>
      </c>
    </row>
    <row r="316" spans="17:26">
      <c r="R316" t="s">
        <v>310</v>
      </c>
      <c r="V316" s="8" t="s">
        <v>311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667</v>
      </c>
      <c r="V317" s="8" t="s">
        <v>337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675</v>
      </c>
      <c r="V318" s="8" t="s">
        <v>337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277</v>
      </c>
      <c r="R321" s="31"/>
      <c r="S321" s="31" t="s">
        <v>686</v>
      </c>
      <c r="T321" s="31"/>
    </row>
    <row r="322" spans="17:26">
      <c r="Q322" s="31" t="s">
        <v>278</v>
      </c>
      <c r="R322" s="31" t="s">
        <v>279</v>
      </c>
      <c r="S322" s="32" t="s">
        <v>280</v>
      </c>
      <c r="T322" s="33">
        <v>20</v>
      </c>
      <c r="U322" s="32" t="s">
        <v>281</v>
      </c>
      <c r="V322" s="33">
        <f>T322</f>
        <v>20</v>
      </c>
      <c r="W322" s="31" t="s">
        <v>282</v>
      </c>
      <c r="Y322" s="32" t="s">
        <v>133</v>
      </c>
      <c r="Z322" s="34">
        <f>Z327+Z332+Z335</f>
        <v>42.644480000000001</v>
      </c>
    </row>
    <row r="323" spans="17:26">
      <c r="Q323" s="31" t="s">
        <v>283</v>
      </c>
      <c r="R323" s="31" t="s">
        <v>284</v>
      </c>
      <c r="V323" s="32" t="s">
        <v>122</v>
      </c>
      <c r="W323" s="32" t="s">
        <v>285</v>
      </c>
      <c r="X323" s="32" t="s">
        <v>286</v>
      </c>
      <c r="Y323" s="32" t="s">
        <v>287</v>
      </c>
      <c r="Z323" s="32" t="s">
        <v>288</v>
      </c>
    </row>
    <row r="324" spans="17:26">
      <c r="R324" s="35" t="s">
        <v>289</v>
      </c>
    </row>
    <row r="325" spans="17:26">
      <c r="R325" t="s">
        <v>290</v>
      </c>
      <c r="V325" s="8" t="s">
        <v>291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292</v>
      </c>
      <c r="V326" s="8" t="s">
        <v>291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653</v>
      </c>
      <c r="V328" s="8"/>
      <c r="W328" s="9"/>
      <c r="X328" s="10"/>
      <c r="Z328" s="12"/>
    </row>
    <row r="329" spans="17:26">
      <c r="R329" t="s">
        <v>677</v>
      </c>
      <c r="V329" s="8" t="s">
        <v>296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301</v>
      </c>
      <c r="V330" s="8" t="s">
        <v>296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669</v>
      </c>
      <c r="V331" s="8" t="s">
        <v>305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309</v>
      </c>
    </row>
    <row r="334" spans="17:26">
      <c r="R334" t="s">
        <v>310</v>
      </c>
      <c r="V334" s="8" t="s">
        <v>311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277</v>
      </c>
      <c r="R337" s="31"/>
      <c r="S337" s="31" t="s">
        <v>687</v>
      </c>
      <c r="T337" s="31"/>
    </row>
    <row r="338" spans="17:26">
      <c r="Q338" s="31" t="s">
        <v>278</v>
      </c>
      <c r="R338" s="31" t="s">
        <v>678</v>
      </c>
      <c r="S338" s="32" t="s">
        <v>280</v>
      </c>
      <c r="T338" s="33">
        <v>250</v>
      </c>
      <c r="U338" s="32" t="s">
        <v>281</v>
      </c>
      <c r="V338" s="33">
        <f>T338</f>
        <v>250</v>
      </c>
      <c r="W338" s="31" t="s">
        <v>282</v>
      </c>
      <c r="Y338" s="32" t="s">
        <v>296</v>
      </c>
      <c r="Z338" s="34">
        <f>Z343+Z347+Z351</f>
        <v>5.5639628445000007</v>
      </c>
    </row>
    <row r="339" spans="17:26">
      <c r="Q339" s="31" t="s">
        <v>283</v>
      </c>
      <c r="R339" s="31" t="s">
        <v>284</v>
      </c>
      <c r="V339" s="32" t="s">
        <v>122</v>
      </c>
      <c r="W339" s="32" t="s">
        <v>285</v>
      </c>
      <c r="X339" s="32" t="s">
        <v>286</v>
      </c>
      <c r="Y339" s="32" t="s">
        <v>287</v>
      </c>
      <c r="Z339" s="32" t="s">
        <v>288</v>
      </c>
    </row>
    <row r="340" spans="17:26">
      <c r="R340" s="35" t="s">
        <v>289</v>
      </c>
      <c r="W340" s="9"/>
    </row>
    <row r="341" spans="17:26">
      <c r="R341" t="s">
        <v>290</v>
      </c>
      <c r="V341" s="8" t="s">
        <v>291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679</v>
      </c>
      <c r="V342" s="8" t="s">
        <v>291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294</v>
      </c>
      <c r="V344" s="8"/>
      <c r="W344" s="9"/>
      <c r="X344" s="18"/>
    </row>
    <row r="345" spans="17:26">
      <c r="R345" t="s">
        <v>295</v>
      </c>
      <c r="V345" s="8" t="s">
        <v>296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680</v>
      </c>
      <c r="V346" s="8" t="s">
        <v>296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317</v>
      </c>
      <c r="V348" s="8"/>
      <c r="W348" s="9"/>
    </row>
    <row r="349" spans="17:26">
      <c r="R349" t="s">
        <v>310</v>
      </c>
      <c r="V349" s="8" t="s">
        <v>311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681</v>
      </c>
      <c r="V350" s="8" t="s">
        <v>291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7D9E-3C1B-4C33-9CFA-AAE5EB5D0DA7}">
  <sheetPr>
    <tabColor rgb="FFFFC000"/>
  </sheetPr>
  <dimension ref="A2:AL355"/>
  <sheetViews>
    <sheetView workbookViewId="0">
      <selection activeCell="E3" sqref="E3:K3"/>
    </sheetView>
  </sheetViews>
  <sheetFormatPr defaultRowHeight="15"/>
  <cols>
    <col min="10" max="10" width="12.7109375" customWidth="1"/>
    <col min="11" max="11" width="12.85546875" customWidth="1"/>
    <col min="12" max="12" width="9.28515625" bestFit="1" customWidth="1"/>
    <col min="13" max="13" width="10.85546875" customWidth="1"/>
    <col min="20" max="20" width="9.28515625" bestFit="1" customWidth="1"/>
  </cols>
  <sheetData>
    <row r="2" spans="1:26">
      <c r="M2" s="25" t="s">
        <v>1377</v>
      </c>
      <c r="N2" s="25">
        <f>'Datos iniciales '!B6</f>
        <v>80</v>
      </c>
    </row>
    <row r="3" spans="1:26">
      <c r="E3" s="4" t="s">
        <v>1221</v>
      </c>
      <c r="F3" s="4" t="s">
        <v>1222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/>
      <c r="N3" s="25"/>
    </row>
    <row r="4" spans="1:26">
      <c r="G4" s="23"/>
      <c r="H4" s="21"/>
      <c r="I4" s="12"/>
      <c r="K4">
        <f>SUM(J4:J37)</f>
        <v>69877.806153796933</v>
      </c>
      <c r="M4" s="25" t="s">
        <v>1368</v>
      </c>
      <c r="N4" s="25">
        <f>K4/N2</f>
        <v>873.47257692246171</v>
      </c>
    </row>
    <row r="5" spans="1:26">
      <c r="K5" s="12"/>
    </row>
    <row r="6" spans="1:26">
      <c r="A6" s="28"/>
      <c r="B6" s="2"/>
      <c r="G6" s="2"/>
      <c r="Q6" s="2" t="s">
        <v>277</v>
      </c>
      <c r="R6" s="2"/>
      <c r="S6" s="2" t="s">
        <v>1371</v>
      </c>
      <c r="T6" s="2"/>
    </row>
    <row r="7" spans="1:26">
      <c r="E7" s="71"/>
      <c r="F7" s="12"/>
      <c r="I7" s="12"/>
      <c r="J7" s="12"/>
      <c r="Q7" s="2" t="s">
        <v>278</v>
      </c>
      <c r="R7" s="2" t="s">
        <v>279</v>
      </c>
      <c r="S7" s="4" t="s">
        <v>280</v>
      </c>
      <c r="T7" s="5">
        <v>500</v>
      </c>
      <c r="U7" s="4" t="s">
        <v>281</v>
      </c>
      <c r="V7" s="5">
        <f>T7</f>
        <v>500</v>
      </c>
      <c r="W7" s="2" t="s">
        <v>282</v>
      </c>
      <c r="Y7" s="4" t="s">
        <v>133</v>
      </c>
      <c r="Z7" s="6">
        <f>Z13+Z18+Z23</f>
        <v>2.8992706400000006</v>
      </c>
    </row>
    <row r="8" spans="1:26">
      <c r="A8" s="28" t="s">
        <v>456</v>
      </c>
      <c r="B8" s="2"/>
      <c r="E8" s="71"/>
      <c r="F8" s="12"/>
      <c r="J8" s="12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s="51" t="s">
        <v>458</v>
      </c>
      <c r="E9" s="266">
        <v>1</v>
      </c>
      <c r="F9" s="12">
        <v>4.3697592997811823</v>
      </c>
      <c r="G9" t="s">
        <v>203</v>
      </c>
      <c r="H9">
        <f t="shared" ref="H9:H21" si="0">E9*F9*$N$2</f>
        <v>349.5807439824946</v>
      </c>
      <c r="I9" s="12">
        <f>Z26</f>
        <v>8.4582044799999991</v>
      </c>
      <c r="J9" s="12">
        <f t="shared" ref="J9:J17" si="1">H9*I9</f>
        <v>2956.8254148744686</v>
      </c>
      <c r="M9" s="12">
        <f>SUM(J9:J15)</f>
        <v>16378.596841584218</v>
      </c>
      <c r="R9" s="7" t="s">
        <v>289</v>
      </c>
    </row>
    <row r="10" spans="1:26">
      <c r="A10" s="51" t="s">
        <v>460</v>
      </c>
      <c r="E10" s="266">
        <v>1</v>
      </c>
      <c r="F10" s="12">
        <v>5.8818380743982497E-2</v>
      </c>
      <c r="G10" t="s">
        <v>203</v>
      </c>
      <c r="H10">
        <f t="shared" si="0"/>
        <v>4.7054704595186001</v>
      </c>
      <c r="I10" s="12">
        <f>Z42</f>
        <v>49.404980000000002</v>
      </c>
      <c r="J10" s="12">
        <f t="shared" si="1"/>
        <v>232.47367394310726</v>
      </c>
      <c r="R10" t="s">
        <v>1373</v>
      </c>
      <c r="V10" s="8" t="s">
        <v>291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462</v>
      </c>
      <c r="E11" s="266">
        <v>1</v>
      </c>
      <c r="F11" s="12">
        <v>0.26954048140043763</v>
      </c>
      <c r="G11" t="s">
        <v>203</v>
      </c>
      <c r="H11">
        <f t="shared" si="0"/>
        <v>21.56323851203501</v>
      </c>
      <c r="I11" s="12">
        <f>Z53</f>
        <v>66.234217333333333</v>
      </c>
      <c r="J11" s="12">
        <f t="shared" si="1"/>
        <v>1428.2242260166302</v>
      </c>
      <c r="R11" t="s">
        <v>293</v>
      </c>
      <c r="V11" s="8" t="s">
        <v>291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464</v>
      </c>
      <c r="E12" s="266">
        <v>1</v>
      </c>
      <c r="F12" s="12">
        <v>2.5797301239970829</v>
      </c>
      <c r="G12" t="s">
        <v>203</v>
      </c>
      <c r="H12">
        <f t="shared" si="0"/>
        <v>206.37840991976663</v>
      </c>
      <c r="I12" s="12">
        <f>Z70</f>
        <v>19.299630000000001</v>
      </c>
      <c r="J12" s="12">
        <f t="shared" si="1"/>
        <v>3983.0269514398256</v>
      </c>
      <c r="K12" s="23"/>
      <c r="R12" t="s">
        <v>650</v>
      </c>
      <c r="V12" s="8" t="s">
        <v>291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1378</v>
      </c>
      <c r="E13" s="266">
        <v>1</v>
      </c>
      <c r="F13" s="12">
        <v>2.0536834427425243</v>
      </c>
      <c r="G13" t="s">
        <v>133</v>
      </c>
      <c r="H13">
        <f t="shared" si="0"/>
        <v>164.29467541940195</v>
      </c>
      <c r="I13" s="12">
        <f>Z87</f>
        <v>7.9303440000000007</v>
      </c>
      <c r="J13" s="12">
        <f t="shared" si="1"/>
        <v>1302.9132934442018</v>
      </c>
      <c r="Z13" s="6">
        <f>SUM(Z10:Z12)</f>
        <v>1.5030880000000002</v>
      </c>
    </row>
    <row r="14" spans="1:26">
      <c r="A14" s="51" t="s">
        <v>468</v>
      </c>
      <c r="E14" s="266">
        <v>1</v>
      </c>
      <c r="F14" s="12">
        <v>2.3110594456601019</v>
      </c>
      <c r="G14" t="s">
        <v>133</v>
      </c>
      <c r="H14">
        <f t="shared" si="0"/>
        <v>184.88475565280817</v>
      </c>
      <c r="I14" s="12">
        <f>Z102</f>
        <v>12.11253</v>
      </c>
      <c r="J14" s="12">
        <f t="shared" si="1"/>
        <v>2239.4221493873083</v>
      </c>
      <c r="K14" s="24"/>
      <c r="R14" s="7" t="s">
        <v>653</v>
      </c>
    </row>
    <row r="15" spans="1:26">
      <c r="A15" s="51" t="s">
        <v>470</v>
      </c>
      <c r="E15" s="266">
        <v>1</v>
      </c>
      <c r="F15" s="12">
        <v>2.3110594456601019</v>
      </c>
      <c r="G15" t="s">
        <v>203</v>
      </c>
      <c r="H15">
        <f t="shared" si="0"/>
        <v>184.88475565280817</v>
      </c>
      <c r="I15" s="12">
        <f>Z113</f>
        <v>22.910007466666666</v>
      </c>
      <c r="J15" s="12">
        <f t="shared" si="1"/>
        <v>4235.7111324786774</v>
      </c>
      <c r="R15" t="s">
        <v>301</v>
      </c>
      <c r="V15" s="8" t="s">
        <v>296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475</v>
      </c>
      <c r="E16" s="266"/>
      <c r="F16" s="12"/>
      <c r="R16" t="s">
        <v>1374</v>
      </c>
      <c r="S16" s="68"/>
      <c r="T16" s="68"/>
      <c r="U16" s="68"/>
      <c r="V16" s="8" t="s">
        <v>307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483</v>
      </c>
      <c r="E17" s="266">
        <v>0.92</v>
      </c>
      <c r="F17" s="12">
        <v>1</v>
      </c>
      <c r="H17">
        <f>E17*F17*$N$2</f>
        <v>73.600000000000009</v>
      </c>
      <c r="I17" s="12">
        <f>Z126</f>
        <v>238.34357440000002</v>
      </c>
      <c r="J17" s="12">
        <f t="shared" si="1"/>
        <v>17542.087075840005</v>
      </c>
      <c r="R17" t="s">
        <v>308</v>
      </c>
      <c r="V17" s="8" t="s">
        <v>305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485</v>
      </c>
      <c r="E18" s="266"/>
      <c r="F18" s="12"/>
      <c r="Z18" s="6">
        <f>SUM(Z15:Z17)</f>
        <v>1.11605</v>
      </c>
    </row>
    <row r="19" spans="1:38">
      <c r="A19" s="51" t="s">
        <v>487</v>
      </c>
      <c r="B19" s="51"/>
      <c r="C19" s="51"/>
      <c r="D19" s="51"/>
      <c r="E19" s="266">
        <v>0.98</v>
      </c>
      <c r="F19" s="12">
        <v>0.88460977388767326</v>
      </c>
      <c r="G19" t="s">
        <v>133</v>
      </c>
      <c r="H19">
        <f t="shared" si="0"/>
        <v>69.353406272793578</v>
      </c>
      <c r="I19" s="62">
        <f>Z152</f>
        <v>39.620881818181815</v>
      </c>
      <c r="J19" s="59">
        <f>H19*I19</f>
        <v>2747.8431136227036</v>
      </c>
      <c r="R19" s="7" t="s">
        <v>309</v>
      </c>
    </row>
    <row r="20" spans="1:38">
      <c r="A20" s="1" t="s">
        <v>489</v>
      </c>
      <c r="E20" s="266"/>
      <c r="F20" s="12"/>
      <c r="I20" s="23"/>
      <c r="J20" s="12"/>
      <c r="K20" s="23"/>
      <c r="R20" t="s">
        <v>310</v>
      </c>
      <c r="V20" s="8" t="s">
        <v>311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491</v>
      </c>
      <c r="E21" s="266">
        <v>0.95</v>
      </c>
      <c r="F21" s="12">
        <v>5.1057622173595919E-2</v>
      </c>
      <c r="G21" t="s">
        <v>133</v>
      </c>
      <c r="H21">
        <f t="shared" si="0"/>
        <v>3.8803792851932895</v>
      </c>
      <c r="I21" s="27">
        <f>Z171</f>
        <v>27.126394000000001</v>
      </c>
      <c r="J21" s="12">
        <f>H21*I21</f>
        <v>105.26069735959155</v>
      </c>
      <c r="K21" s="24"/>
      <c r="R21" t="s">
        <v>1375</v>
      </c>
      <c r="V21" s="8" t="s">
        <v>337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1372</v>
      </c>
      <c r="E22" s="266"/>
      <c r="F22" s="12"/>
      <c r="I22" s="23"/>
      <c r="J22" s="12"/>
      <c r="K22" s="24"/>
      <c r="R22" t="s">
        <v>1376</v>
      </c>
      <c r="V22" s="8" t="s">
        <v>144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494</v>
      </c>
      <c r="E23" s="266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496</v>
      </c>
      <c r="E24" s="266">
        <v>0.93</v>
      </c>
      <c r="F24" s="12">
        <v>0.63231218088986141</v>
      </c>
      <c r="G24" t="s">
        <v>203</v>
      </c>
      <c r="H24">
        <f>E24*F24*$N$2</f>
        <v>47.044026258205697</v>
      </c>
      <c r="I24" s="27">
        <f>Z190</f>
        <v>426.39754399999998</v>
      </c>
      <c r="J24" s="12">
        <f>H24*I24</f>
        <v>20059.457256370417</v>
      </c>
    </row>
    <row r="25" spans="1:38">
      <c r="A25" t="s">
        <v>498</v>
      </c>
      <c r="E25" s="266">
        <v>0.85</v>
      </c>
      <c r="F25" s="12"/>
      <c r="G25" s="23" t="s">
        <v>296</v>
      </c>
      <c r="H25" s="199">
        <f>'Cimentación 4 pisos'!H25*E25</f>
        <v>214.98614150255287</v>
      </c>
      <c r="I25" s="27">
        <f>Z229</f>
        <v>5.5639628445000007</v>
      </c>
      <c r="J25" s="12">
        <f>H25*I25</f>
        <v>1196.1749034026236</v>
      </c>
      <c r="Q25" s="2" t="s">
        <v>277</v>
      </c>
      <c r="R25" s="2"/>
      <c r="S25" s="2" t="s">
        <v>458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508</v>
      </c>
      <c r="E26" s="266"/>
      <c r="F26" s="12"/>
      <c r="G26" s="23"/>
      <c r="I26" s="23"/>
      <c r="J26" s="12"/>
      <c r="K26" s="23"/>
      <c r="L26">
        <f>H25/H24</f>
        <v>4.5698924731182782</v>
      </c>
      <c r="Q26" s="2" t="s">
        <v>278</v>
      </c>
      <c r="R26" s="2" t="s">
        <v>416</v>
      </c>
      <c r="S26" s="4" t="s">
        <v>280</v>
      </c>
      <c r="T26" s="5">
        <v>250</v>
      </c>
      <c r="U26" s="4" t="s">
        <v>281</v>
      </c>
      <c r="V26" s="5">
        <f>T26</f>
        <v>250</v>
      </c>
      <c r="W26" s="2" t="s">
        <v>282</v>
      </c>
      <c r="Y26" s="4" t="s">
        <v>203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510</v>
      </c>
      <c r="E27" s="266">
        <v>0.95</v>
      </c>
      <c r="F27" s="12">
        <v>0.12020423048869439</v>
      </c>
      <c r="G27" s="23" t="s">
        <v>203</v>
      </c>
      <c r="H27">
        <f>E27*F27*$N$2</f>
        <v>9.1355215171407735</v>
      </c>
      <c r="I27" s="27">
        <f>Z245</f>
        <v>438.22651999999994</v>
      </c>
      <c r="J27" s="12">
        <f>H27*I27</f>
        <v>4003.4278028417211</v>
      </c>
      <c r="Q27" s="2" t="s">
        <v>283</v>
      </c>
      <c r="R27" s="2" t="s">
        <v>284</v>
      </c>
      <c r="V27" s="4" t="s">
        <v>122</v>
      </c>
      <c r="W27" s="4" t="s">
        <v>285</v>
      </c>
      <c r="X27" s="4" t="s">
        <v>286</v>
      </c>
      <c r="Y27" s="4" t="s">
        <v>287</v>
      </c>
      <c r="Z27" s="4" t="s">
        <v>288</v>
      </c>
      <c r="AC27" s="2"/>
      <c r="AD27" s="2"/>
      <c r="AH27" s="4"/>
      <c r="AI27" s="4"/>
      <c r="AJ27" s="4"/>
      <c r="AK27" s="4"/>
      <c r="AL27" s="4"/>
    </row>
    <row r="28" spans="1:38">
      <c r="A28" t="s">
        <v>512</v>
      </c>
      <c r="E28" s="266">
        <v>0.97</v>
      </c>
      <c r="F28" s="12">
        <v>0.64908825674690007</v>
      </c>
      <c r="G28" s="23" t="s">
        <v>133</v>
      </c>
      <c r="H28">
        <f>E28*F28*$N$2</f>
        <v>50.369248723559451</v>
      </c>
      <c r="I28" s="27">
        <f>Z267</f>
        <v>64.026960000000003</v>
      </c>
      <c r="J28" s="12">
        <f>H28*I28</f>
        <v>3224.989873253392</v>
      </c>
      <c r="R28" s="7" t="s">
        <v>289</v>
      </c>
      <c r="AD28" s="7"/>
    </row>
    <row r="29" spans="1:38">
      <c r="A29" t="s">
        <v>514</v>
      </c>
      <c r="E29" s="266">
        <v>0.85</v>
      </c>
      <c r="F29" s="12"/>
      <c r="G29" s="23" t="s">
        <v>296</v>
      </c>
      <c r="H29">
        <f>'Cimentación 4 pisos'!H29*'Cimentación 2 pisos '!E29</f>
        <v>51.086797957695111</v>
      </c>
      <c r="I29" s="27">
        <f>Z283</f>
        <v>5.5639628445000007</v>
      </c>
      <c r="J29" s="12">
        <f>H29*I29</f>
        <v>284.2450456810941</v>
      </c>
      <c r="R29" t="s">
        <v>650</v>
      </c>
      <c r="V29" s="8" t="s">
        <v>291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516</v>
      </c>
      <c r="B30" s="2"/>
      <c r="E30" s="266"/>
      <c r="F30" s="12"/>
      <c r="I30" s="23"/>
      <c r="J30" s="12"/>
      <c r="R30" t="s">
        <v>290</v>
      </c>
      <c r="V30" s="8" t="s">
        <v>291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518</v>
      </c>
      <c r="E31" s="266">
        <v>0.91</v>
      </c>
      <c r="F31" s="12">
        <v>8.3369803063457329E-2</v>
      </c>
      <c r="G31" t="s">
        <v>203</v>
      </c>
      <c r="H31">
        <f>E31*F31*$N$2</f>
        <v>6.0693216630196929</v>
      </c>
      <c r="I31" s="12">
        <f>Z301</f>
        <v>424.92179999999996</v>
      </c>
      <c r="J31" s="12">
        <f>H31*I31</f>
        <v>2578.9870858293211</v>
      </c>
      <c r="R31" t="s">
        <v>293</v>
      </c>
      <c r="V31" s="8" t="s">
        <v>291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520</v>
      </c>
      <c r="E32" s="266">
        <v>0.93</v>
      </c>
      <c r="F32" s="12">
        <v>0.41684901531728669</v>
      </c>
      <c r="G32" t="s">
        <v>133</v>
      </c>
      <c r="H32">
        <f>E32*F32*$N$2</f>
        <v>31.01356673960613</v>
      </c>
      <c r="I32" s="12">
        <f>Z322</f>
        <v>42.644480000000001</v>
      </c>
      <c r="J32" s="12">
        <f>H32*I32</f>
        <v>1322.5574265557989</v>
      </c>
      <c r="Z32" s="6">
        <f>SUM(Z29:Z31)</f>
        <v>2.6196159999999997</v>
      </c>
      <c r="AD32" s="7"/>
    </row>
    <row r="33" spans="1:38">
      <c r="A33" t="s">
        <v>522</v>
      </c>
      <c r="E33" s="266">
        <v>0.78</v>
      </c>
      <c r="F33" s="12"/>
      <c r="G33" t="s">
        <v>296</v>
      </c>
      <c r="H33" s="199">
        <f>'Cimentación 4 pisos'!H33*'Cimentación 2 pisos '!E33</f>
        <v>78.034135667396058</v>
      </c>
      <c r="I33" s="12">
        <f>Z338</f>
        <v>5.5639628445000007</v>
      </c>
      <c r="J33" s="12">
        <f>H33*I33</f>
        <v>434.17903145606391</v>
      </c>
      <c r="R33" s="7" t="s">
        <v>309</v>
      </c>
      <c r="AH33" s="8"/>
      <c r="AJ33" s="10"/>
      <c r="AK33" s="12"/>
      <c r="AL33" s="12"/>
    </row>
    <row r="34" spans="1:38">
      <c r="R34" t="s">
        <v>310</v>
      </c>
      <c r="V34" s="8" t="s">
        <v>311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651</v>
      </c>
      <c r="V35" s="8" t="s">
        <v>337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277</v>
      </c>
      <c r="R41" s="2"/>
      <c r="S41" s="2" t="s">
        <v>460</v>
      </c>
      <c r="T41" s="2"/>
    </row>
    <row r="42" spans="1:38">
      <c r="Q42" s="2" t="s">
        <v>278</v>
      </c>
      <c r="R42" s="2" t="s">
        <v>416</v>
      </c>
      <c r="S42" s="4" t="s">
        <v>280</v>
      </c>
      <c r="T42" s="5">
        <v>4</v>
      </c>
      <c r="U42" s="4" t="s">
        <v>281</v>
      </c>
      <c r="V42" s="5">
        <f>T42</f>
        <v>4</v>
      </c>
      <c r="W42" s="2" t="s">
        <v>282</v>
      </c>
      <c r="Y42" s="4" t="s">
        <v>203</v>
      </c>
      <c r="Z42" s="6">
        <f>Z47+Z50</f>
        <v>49.404980000000002</v>
      </c>
    </row>
    <row r="43" spans="1:38">
      <c r="Q43" s="2" t="s">
        <v>283</v>
      </c>
      <c r="R43" s="2" t="s">
        <v>284</v>
      </c>
      <c r="V43" s="4" t="s">
        <v>122</v>
      </c>
      <c r="W43" s="4" t="s">
        <v>285</v>
      </c>
      <c r="X43" s="4" t="s">
        <v>286</v>
      </c>
      <c r="Y43" s="4" t="s">
        <v>287</v>
      </c>
      <c r="Z43" s="4" t="s">
        <v>288</v>
      </c>
    </row>
    <row r="44" spans="1:38">
      <c r="R44" s="7" t="s">
        <v>289</v>
      </c>
    </row>
    <row r="45" spans="1:38">
      <c r="R45" t="s">
        <v>650</v>
      </c>
      <c r="V45" s="8" t="s">
        <v>291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293</v>
      </c>
      <c r="V46" s="8" t="s">
        <v>291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309</v>
      </c>
    </row>
    <row r="49" spans="17:26">
      <c r="R49" t="s">
        <v>310</v>
      </c>
      <c r="V49" s="8" t="s">
        <v>311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277</v>
      </c>
      <c r="R52" s="2"/>
      <c r="S52" s="2" t="s">
        <v>462</v>
      </c>
      <c r="T52" s="2"/>
    </row>
    <row r="53" spans="17:26">
      <c r="Q53" s="2" t="s">
        <v>278</v>
      </c>
      <c r="R53" s="2" t="s">
        <v>416</v>
      </c>
      <c r="S53" s="4" t="s">
        <v>280</v>
      </c>
      <c r="T53" s="5">
        <v>30</v>
      </c>
      <c r="U53" s="4" t="s">
        <v>281</v>
      </c>
      <c r="V53" s="5">
        <f>T53</f>
        <v>30</v>
      </c>
      <c r="W53" s="2" t="s">
        <v>282</v>
      </c>
      <c r="Y53" s="4" t="s">
        <v>203</v>
      </c>
      <c r="Z53" s="6">
        <f>Z59+Z63+Z67</f>
        <v>66.234217333333333</v>
      </c>
    </row>
    <row r="54" spans="17:26">
      <c r="Q54" s="2" t="s">
        <v>283</v>
      </c>
      <c r="R54" s="2" t="s">
        <v>284</v>
      </c>
      <c r="V54" s="4" t="s">
        <v>122</v>
      </c>
      <c r="W54" s="4" t="s">
        <v>285</v>
      </c>
      <c r="X54" s="4" t="s">
        <v>286</v>
      </c>
      <c r="Y54" s="4" t="s">
        <v>287</v>
      </c>
      <c r="Z54" s="4" t="s">
        <v>288</v>
      </c>
    </row>
    <row r="55" spans="17:26">
      <c r="R55" s="7" t="s">
        <v>289</v>
      </c>
    </row>
    <row r="56" spans="17:26">
      <c r="R56" t="s">
        <v>650</v>
      </c>
      <c r="V56" s="8" t="s">
        <v>291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293</v>
      </c>
      <c r="V57" s="8" t="s">
        <v>291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652</v>
      </c>
      <c r="V58" s="8" t="s">
        <v>291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653</v>
      </c>
      <c r="V60" s="8"/>
      <c r="W60" s="9"/>
      <c r="X60" s="10"/>
      <c r="Z60" s="12"/>
    </row>
    <row r="61" spans="17:26">
      <c r="R61" t="s">
        <v>654</v>
      </c>
      <c r="V61" s="8" t="s">
        <v>203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655</v>
      </c>
      <c r="V62" s="8" t="s">
        <v>203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309</v>
      </c>
    </row>
    <row r="65" spans="17:26">
      <c r="R65" t="s">
        <v>310</v>
      </c>
      <c r="V65" s="8" t="s">
        <v>311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656</v>
      </c>
      <c r="V66" s="8" t="s">
        <v>337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277</v>
      </c>
      <c r="R69" s="2"/>
      <c r="S69" s="2" t="s">
        <v>464</v>
      </c>
      <c r="T69" s="2"/>
    </row>
    <row r="70" spans="17:26">
      <c r="Q70" s="2" t="s">
        <v>278</v>
      </c>
      <c r="R70" s="2" t="s">
        <v>416</v>
      </c>
      <c r="S70" s="4" t="s">
        <v>280</v>
      </c>
      <c r="T70" s="5">
        <v>40</v>
      </c>
      <c r="U70" s="4" t="s">
        <v>281</v>
      </c>
      <c r="V70" s="5">
        <f>T70</f>
        <v>40</v>
      </c>
      <c r="W70" s="2" t="s">
        <v>282</v>
      </c>
      <c r="Y70" s="4" t="s">
        <v>203</v>
      </c>
      <c r="Z70" s="6">
        <f>Z76+Z84</f>
        <v>19.299630000000001</v>
      </c>
    </row>
    <row r="71" spans="17:26">
      <c r="Q71" s="2" t="s">
        <v>283</v>
      </c>
      <c r="R71" s="2" t="s">
        <v>284</v>
      </c>
      <c r="V71" s="4" t="s">
        <v>122</v>
      </c>
      <c r="W71" s="4" t="s">
        <v>285</v>
      </c>
      <c r="X71" s="4" t="s">
        <v>286</v>
      </c>
      <c r="Y71" s="4" t="s">
        <v>287</v>
      </c>
      <c r="Z71" s="4" t="s">
        <v>288</v>
      </c>
    </row>
    <row r="72" spans="17:26">
      <c r="R72" s="7" t="s">
        <v>289</v>
      </c>
    </row>
    <row r="73" spans="17:26">
      <c r="R73" t="s">
        <v>650</v>
      </c>
      <c r="V73" s="8" t="s">
        <v>291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293</v>
      </c>
      <c r="V74" s="8" t="s">
        <v>291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652</v>
      </c>
      <c r="V75" s="8" t="s">
        <v>291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653</v>
      </c>
      <c r="V77" s="8"/>
      <c r="W77" s="9"/>
      <c r="X77" s="10"/>
      <c r="Z77" s="12"/>
    </row>
    <row r="78" spans="17:26">
      <c r="R78" t="s">
        <v>655</v>
      </c>
      <c r="V78" s="8" t="s">
        <v>203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309</v>
      </c>
    </row>
    <row r="81" spans="17:26">
      <c r="R81" t="s">
        <v>310</v>
      </c>
      <c r="V81" s="8" t="s">
        <v>311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656</v>
      </c>
      <c r="V82" s="8" t="s">
        <v>337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657</v>
      </c>
      <c r="V83" s="8" t="s">
        <v>337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277</v>
      </c>
      <c r="R86" s="2"/>
      <c r="S86" s="2" t="s">
        <v>1345</v>
      </c>
      <c r="T86" s="2"/>
    </row>
    <row r="87" spans="17:26">
      <c r="Q87" s="2" t="s">
        <v>278</v>
      </c>
      <c r="R87" s="2" t="s">
        <v>279</v>
      </c>
      <c r="S87" s="4" t="s">
        <v>280</v>
      </c>
      <c r="T87" s="5">
        <v>500</v>
      </c>
      <c r="U87" s="4" t="s">
        <v>281</v>
      </c>
      <c r="V87" s="5">
        <f>T87</f>
        <v>500</v>
      </c>
      <c r="W87" s="2" t="s">
        <v>282</v>
      </c>
      <c r="Y87" s="4" t="s">
        <v>133</v>
      </c>
      <c r="Z87" s="6">
        <f>Z93+Z99</f>
        <v>7.9303440000000007</v>
      </c>
    </row>
    <row r="88" spans="17:26">
      <c r="Q88" s="2" t="s">
        <v>283</v>
      </c>
      <c r="R88" s="2" t="s">
        <v>284</v>
      </c>
      <c r="V88" s="4" t="s">
        <v>122</v>
      </c>
      <c r="W88" s="4" t="s">
        <v>285</v>
      </c>
      <c r="X88" s="4" t="s">
        <v>286</v>
      </c>
      <c r="Y88" s="4" t="s">
        <v>287</v>
      </c>
      <c r="Z88" s="4" t="s">
        <v>288</v>
      </c>
    </row>
    <row r="89" spans="17:26">
      <c r="R89" s="7" t="s">
        <v>289</v>
      </c>
    </row>
    <row r="90" spans="17:26">
      <c r="R90" t="s">
        <v>650</v>
      </c>
      <c r="V90" s="8" t="s">
        <v>291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292</v>
      </c>
      <c r="V91" s="8" t="s">
        <v>291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293</v>
      </c>
      <c r="V92" s="8" t="s">
        <v>291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309</v>
      </c>
    </row>
    <row r="95" spans="17:26">
      <c r="R95" t="s">
        <v>310</v>
      </c>
      <c r="V95" s="8" t="s">
        <v>311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656</v>
      </c>
      <c r="V96" s="8" t="s">
        <v>337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658</v>
      </c>
      <c r="V97" s="8" t="s">
        <v>337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659</v>
      </c>
      <c r="S98" s="69"/>
      <c r="T98" s="69"/>
      <c r="U98" s="69"/>
      <c r="V98" s="8" t="s">
        <v>337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277</v>
      </c>
      <c r="R101" s="2"/>
      <c r="S101" s="2" t="s">
        <v>468</v>
      </c>
      <c r="T101" s="2"/>
    </row>
    <row r="102" spans="17:26">
      <c r="Q102" s="2" t="s">
        <v>278</v>
      </c>
      <c r="R102" s="2" t="s">
        <v>313</v>
      </c>
      <c r="S102" s="4" t="s">
        <v>280</v>
      </c>
      <c r="T102" s="5">
        <v>80</v>
      </c>
      <c r="U102" s="4" t="s">
        <v>281</v>
      </c>
      <c r="V102" s="5">
        <f>T102</f>
        <v>80</v>
      </c>
      <c r="W102" s="2" t="s">
        <v>282</v>
      </c>
      <c r="Y102" s="4" t="s">
        <v>144</v>
      </c>
      <c r="Z102" s="6">
        <f>Z106+Z110</f>
        <v>12.11253</v>
      </c>
    </row>
    <row r="103" spans="17:26">
      <c r="Q103" s="2" t="s">
        <v>283</v>
      </c>
      <c r="R103" s="2" t="s">
        <v>284</v>
      </c>
      <c r="V103" s="4" t="s">
        <v>122</v>
      </c>
      <c r="W103" s="4" t="s">
        <v>285</v>
      </c>
      <c r="X103" s="4" t="s">
        <v>286</v>
      </c>
      <c r="Y103" s="4" t="s">
        <v>287</v>
      </c>
      <c r="Z103" s="4" t="s">
        <v>288</v>
      </c>
    </row>
    <row r="104" spans="17:26">
      <c r="R104" s="7" t="s">
        <v>289</v>
      </c>
    </row>
    <row r="105" spans="17:26">
      <c r="R105" t="s">
        <v>293</v>
      </c>
      <c r="V105" s="8" t="s">
        <v>291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309</v>
      </c>
    </row>
    <row r="108" spans="17:26">
      <c r="R108" t="s">
        <v>310</v>
      </c>
      <c r="V108" s="8" t="s">
        <v>311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660</v>
      </c>
      <c r="V109" s="8" t="s">
        <v>337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277</v>
      </c>
      <c r="R112" s="2"/>
      <c r="S112" s="2" t="s">
        <v>470</v>
      </c>
      <c r="T112" s="2"/>
    </row>
    <row r="113" spans="17:26">
      <c r="Q113" s="2" t="s">
        <v>278</v>
      </c>
      <c r="R113" s="2" t="s">
        <v>416</v>
      </c>
      <c r="S113" s="4" t="s">
        <v>280</v>
      </c>
      <c r="T113" s="5">
        <v>187.5</v>
      </c>
      <c r="U113" s="4" t="s">
        <v>281</v>
      </c>
      <c r="V113" s="5">
        <f>T113</f>
        <v>187.5</v>
      </c>
      <c r="W113" s="2" t="s">
        <v>282</v>
      </c>
      <c r="Y113" s="4" t="s">
        <v>203</v>
      </c>
      <c r="Z113" s="6">
        <f>Z118+Z123</f>
        <v>22.910007466666666</v>
      </c>
    </row>
    <row r="114" spans="17:26">
      <c r="Q114" s="2" t="s">
        <v>283</v>
      </c>
      <c r="R114" s="2" t="s">
        <v>284</v>
      </c>
      <c r="V114" s="4" t="s">
        <v>122</v>
      </c>
      <c r="W114" s="4" t="s">
        <v>285</v>
      </c>
      <c r="X114" s="4" t="s">
        <v>286</v>
      </c>
      <c r="Y114" s="4" t="s">
        <v>287</v>
      </c>
      <c r="Z114" s="4" t="s">
        <v>288</v>
      </c>
    </row>
    <row r="115" spans="17:26">
      <c r="R115" s="7" t="s">
        <v>289</v>
      </c>
    </row>
    <row r="116" spans="17:26">
      <c r="R116" t="s">
        <v>292</v>
      </c>
      <c r="V116" s="8" t="s">
        <v>291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293</v>
      </c>
      <c r="V117" s="8" t="s">
        <v>291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309</v>
      </c>
    </row>
    <row r="120" spans="17:26">
      <c r="R120" t="s">
        <v>310</v>
      </c>
      <c r="V120" s="8" t="s">
        <v>311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661</v>
      </c>
      <c r="V121" s="8" t="s">
        <v>337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662</v>
      </c>
      <c r="V122" s="8" t="s">
        <v>337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277</v>
      </c>
      <c r="R125" s="31"/>
      <c r="S125" s="31" t="s">
        <v>483</v>
      </c>
      <c r="T125" s="31"/>
    </row>
    <row r="126" spans="17:26">
      <c r="Q126" s="31" t="s">
        <v>278</v>
      </c>
      <c r="R126" s="31" t="s">
        <v>279</v>
      </c>
      <c r="S126" s="32" t="s">
        <v>280</v>
      </c>
      <c r="T126" s="33">
        <v>50</v>
      </c>
      <c r="U126" s="32" t="s">
        <v>281</v>
      </c>
      <c r="V126" s="33">
        <f>T126</f>
        <v>50</v>
      </c>
      <c r="W126" s="31" t="s">
        <v>282</v>
      </c>
      <c r="Y126" s="32" t="s">
        <v>133</v>
      </c>
      <c r="Z126" s="34">
        <f>Z134+Z141+Z145</f>
        <v>238.34357440000002</v>
      </c>
    </row>
    <row r="127" spans="17:26">
      <c r="Q127" s="31" t="s">
        <v>283</v>
      </c>
      <c r="R127" s="31" t="s">
        <v>284</v>
      </c>
      <c r="V127" s="32" t="s">
        <v>122</v>
      </c>
      <c r="W127" s="32" t="s">
        <v>285</v>
      </c>
      <c r="X127" s="32" t="s">
        <v>286</v>
      </c>
      <c r="Y127" s="32" t="s">
        <v>287</v>
      </c>
      <c r="Z127" s="32" t="s">
        <v>288</v>
      </c>
    </row>
    <row r="128" spans="17:26">
      <c r="R128" s="35" t="s">
        <v>289</v>
      </c>
    </row>
    <row r="129" spans="18:26">
      <c r="R129" t="s">
        <v>650</v>
      </c>
      <c r="V129" s="8" t="s">
        <v>291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290</v>
      </c>
      <c r="V130" s="8" t="s">
        <v>291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292</v>
      </c>
      <c r="V131" s="8" t="s">
        <v>291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293</v>
      </c>
      <c r="V132" s="8" t="s">
        <v>291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652</v>
      </c>
      <c r="V133" s="8" t="s">
        <v>291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653</v>
      </c>
      <c r="V135" s="8"/>
      <c r="W135" s="9"/>
      <c r="X135" s="10"/>
      <c r="Z135" s="12"/>
    </row>
    <row r="136" spans="18:26">
      <c r="R136" t="s">
        <v>306</v>
      </c>
      <c r="V136" s="8" t="s">
        <v>307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655</v>
      </c>
      <c r="V137" s="8" t="s">
        <v>203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665</v>
      </c>
      <c r="V138" s="8" t="s">
        <v>439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302</v>
      </c>
      <c r="V139" s="8" t="s">
        <v>203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666</v>
      </c>
      <c r="V140" s="8" t="s">
        <v>203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309</v>
      </c>
    </row>
    <row r="143" spans="18:26">
      <c r="R143" t="s">
        <v>310</v>
      </c>
      <c r="V143" s="8" t="s">
        <v>311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667</v>
      </c>
      <c r="V144" s="8" t="s">
        <v>337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277</v>
      </c>
      <c r="R151" s="31"/>
      <c r="S151" s="31" t="s">
        <v>668</v>
      </c>
      <c r="T151" s="31"/>
    </row>
    <row r="152" spans="17:26">
      <c r="Q152" s="31" t="s">
        <v>278</v>
      </c>
      <c r="R152" s="31" t="s">
        <v>279</v>
      </c>
      <c r="S152" s="32" t="s">
        <v>280</v>
      </c>
      <c r="T152" s="33">
        <v>110</v>
      </c>
      <c r="U152" s="32" t="s">
        <v>281</v>
      </c>
      <c r="V152" s="33">
        <f>T152</f>
        <v>110</v>
      </c>
      <c r="W152" s="31" t="s">
        <v>282</v>
      </c>
      <c r="Y152" s="32" t="s">
        <v>133</v>
      </c>
      <c r="Z152" s="34">
        <f>Z158+Z164+Z168</f>
        <v>39.620881818181815</v>
      </c>
    </row>
    <row r="153" spans="17:26">
      <c r="Q153" s="31" t="s">
        <v>283</v>
      </c>
      <c r="R153" s="31" t="s">
        <v>284</v>
      </c>
      <c r="V153" s="32" t="s">
        <v>122</v>
      </c>
      <c r="W153" s="32" t="s">
        <v>285</v>
      </c>
      <c r="X153" s="32" t="s">
        <v>286</v>
      </c>
      <c r="Y153" s="32" t="s">
        <v>287</v>
      </c>
      <c r="Z153" s="32" t="s">
        <v>288</v>
      </c>
    </row>
    <row r="154" spans="17:26">
      <c r="R154" s="35" t="s">
        <v>289</v>
      </c>
    </row>
    <row r="155" spans="17:26">
      <c r="R155" t="s">
        <v>290</v>
      </c>
      <c r="V155" s="8" t="s">
        <v>291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292</v>
      </c>
      <c r="V156" s="8" t="s">
        <v>291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293</v>
      </c>
      <c r="V157" s="8" t="s">
        <v>291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653</v>
      </c>
      <c r="V159" s="8"/>
      <c r="W159" s="9"/>
      <c r="X159" s="10"/>
      <c r="Z159" s="12"/>
    </row>
    <row r="160" spans="17:26">
      <c r="R160" t="s">
        <v>306</v>
      </c>
      <c r="V160" s="8" t="s">
        <v>307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655</v>
      </c>
      <c r="V161" s="8" t="s">
        <v>203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302</v>
      </c>
      <c r="V162" s="8" t="s">
        <v>203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669</v>
      </c>
      <c r="V163" s="8" t="s">
        <v>305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309</v>
      </c>
    </row>
    <row r="166" spans="17:26">
      <c r="R166" t="s">
        <v>310</v>
      </c>
      <c r="V166" s="8" t="s">
        <v>311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667</v>
      </c>
      <c r="V167" s="8" t="s">
        <v>337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277</v>
      </c>
      <c r="R170" s="31"/>
      <c r="S170" s="31" t="s">
        <v>670</v>
      </c>
      <c r="T170" s="31"/>
    </row>
    <row r="171" spans="17:26">
      <c r="Q171" s="31" t="s">
        <v>278</v>
      </c>
      <c r="R171" s="31" t="s">
        <v>279</v>
      </c>
      <c r="S171" s="32" t="s">
        <v>280</v>
      </c>
      <c r="T171" s="33">
        <v>120</v>
      </c>
      <c r="U171" s="32" t="s">
        <v>281</v>
      </c>
      <c r="V171" s="33">
        <f>T171</f>
        <v>120</v>
      </c>
      <c r="W171" s="31" t="s">
        <v>282</v>
      </c>
      <c r="Y171" s="32" t="s">
        <v>133</v>
      </c>
      <c r="Z171" s="34">
        <f>Z177+Z183+Z187</f>
        <v>27.126394000000001</v>
      </c>
    </row>
    <row r="172" spans="17:26">
      <c r="Q172" s="31" t="s">
        <v>283</v>
      </c>
      <c r="R172" s="31" t="s">
        <v>284</v>
      </c>
      <c r="V172" s="32" t="s">
        <v>122</v>
      </c>
      <c r="W172" s="32" t="s">
        <v>285</v>
      </c>
      <c r="X172" s="32" t="s">
        <v>286</v>
      </c>
      <c r="Y172" s="32" t="s">
        <v>287</v>
      </c>
      <c r="Z172" s="32" t="s">
        <v>288</v>
      </c>
    </row>
    <row r="173" spans="17:26">
      <c r="R173" s="35" t="s">
        <v>289</v>
      </c>
    </row>
    <row r="174" spans="17:26">
      <c r="R174" t="s">
        <v>290</v>
      </c>
      <c r="V174" s="8" t="s">
        <v>291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292</v>
      </c>
      <c r="V175" s="8" t="s">
        <v>291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293</v>
      </c>
      <c r="V176" s="8" t="s">
        <v>291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653</v>
      </c>
      <c r="V178" s="8"/>
      <c r="W178" s="9"/>
      <c r="X178" s="10"/>
      <c r="Z178" s="12"/>
    </row>
    <row r="179" spans="17:26">
      <c r="R179" t="s">
        <v>306</v>
      </c>
      <c r="V179" s="8" t="s">
        <v>307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655</v>
      </c>
      <c r="V180" s="8" t="s">
        <v>203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665</v>
      </c>
      <c r="V181" s="8" t="s">
        <v>439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302</v>
      </c>
      <c r="V182" s="8" t="s">
        <v>203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309</v>
      </c>
    </row>
    <row r="185" spans="17:26">
      <c r="R185" t="s">
        <v>310</v>
      </c>
      <c r="V185" s="8" t="s">
        <v>311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667</v>
      </c>
      <c r="V186" s="8" t="s">
        <v>337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277</v>
      </c>
      <c r="R189" s="31"/>
      <c r="S189" s="31" t="s">
        <v>496</v>
      </c>
      <c r="T189" s="31"/>
    </row>
    <row r="190" spans="17:26">
      <c r="Q190" s="31" t="s">
        <v>278</v>
      </c>
      <c r="R190" s="31" t="s">
        <v>416</v>
      </c>
      <c r="S190" s="32" t="s">
        <v>280</v>
      </c>
      <c r="T190" s="33">
        <v>25</v>
      </c>
      <c r="U190" s="32" t="s">
        <v>281</v>
      </c>
      <c r="V190" s="33">
        <f>T190</f>
        <v>25</v>
      </c>
      <c r="W190" s="31" t="s">
        <v>282</v>
      </c>
      <c r="Y190" s="32" t="s">
        <v>203</v>
      </c>
      <c r="Z190" s="34">
        <f>Z196+Z204+Z209</f>
        <v>426.39754399999998</v>
      </c>
    </row>
    <row r="191" spans="17:26">
      <c r="Q191" s="31" t="s">
        <v>283</v>
      </c>
      <c r="R191" s="31" t="s">
        <v>284</v>
      </c>
      <c r="V191" s="32" t="s">
        <v>122</v>
      </c>
      <c r="W191" s="32" t="s">
        <v>285</v>
      </c>
      <c r="X191" s="32" t="s">
        <v>286</v>
      </c>
      <c r="Y191" s="32" t="s">
        <v>287</v>
      </c>
      <c r="Z191" s="32" t="s">
        <v>288</v>
      </c>
    </row>
    <row r="192" spans="17:26">
      <c r="R192" s="35" t="s">
        <v>289</v>
      </c>
    </row>
    <row r="193" spans="18:26">
      <c r="R193" t="s">
        <v>290</v>
      </c>
      <c r="V193" s="8" t="s">
        <v>291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292</v>
      </c>
      <c r="V194" s="8" t="s">
        <v>291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293</v>
      </c>
      <c r="V195" s="8" t="s">
        <v>291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653</v>
      </c>
      <c r="V197" s="8"/>
      <c r="W197" s="9"/>
      <c r="X197" s="10"/>
      <c r="Z197" s="12"/>
    </row>
    <row r="198" spans="18:26">
      <c r="R198" t="s">
        <v>672</v>
      </c>
      <c r="V198" s="8" t="s">
        <v>203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673</v>
      </c>
      <c r="V199" s="8" t="s">
        <v>203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306</v>
      </c>
      <c r="V200" s="8" t="s">
        <v>307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655</v>
      </c>
      <c r="V201" s="8" t="s">
        <v>203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665</v>
      </c>
      <c r="V202" s="8" t="s">
        <v>439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674</v>
      </c>
      <c r="V203" s="8" t="s">
        <v>439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309</v>
      </c>
    </row>
    <row r="206" spans="18:26">
      <c r="R206" t="s">
        <v>310</v>
      </c>
      <c r="V206" s="8" t="s">
        <v>311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667</v>
      </c>
      <c r="V207" s="8" t="s">
        <v>337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675</v>
      </c>
      <c r="V208" s="8" t="s">
        <v>337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277</v>
      </c>
      <c r="R211" s="31"/>
      <c r="S211" s="31" t="s">
        <v>676</v>
      </c>
      <c r="T211" s="31"/>
    </row>
    <row r="212" spans="17:26">
      <c r="Q212" s="31" t="s">
        <v>278</v>
      </c>
      <c r="R212" s="31" t="s">
        <v>279</v>
      </c>
      <c r="S212" s="32" t="s">
        <v>280</v>
      </c>
      <c r="T212" s="33">
        <v>8</v>
      </c>
      <c r="U212" s="32" t="s">
        <v>281</v>
      </c>
      <c r="V212" s="33">
        <f>T212</f>
        <v>8</v>
      </c>
      <c r="W212" s="31" t="s">
        <v>282</v>
      </c>
      <c r="Y212" s="32" t="s">
        <v>133</v>
      </c>
      <c r="Z212" s="34">
        <f>Z217+Z222+Z225</f>
        <v>75.114200000000011</v>
      </c>
    </row>
    <row r="213" spans="17:26">
      <c r="Q213" s="31" t="s">
        <v>283</v>
      </c>
      <c r="R213" s="31" t="s">
        <v>284</v>
      </c>
      <c r="V213" s="32" t="s">
        <v>122</v>
      </c>
      <c r="W213" s="32" t="s">
        <v>285</v>
      </c>
      <c r="X213" s="32" t="s">
        <v>286</v>
      </c>
      <c r="Y213" s="32" t="s">
        <v>287</v>
      </c>
      <c r="Z213" s="32" t="s">
        <v>288</v>
      </c>
    </row>
    <row r="214" spans="17:26">
      <c r="R214" s="35" t="s">
        <v>289</v>
      </c>
    </row>
    <row r="215" spans="17:26">
      <c r="R215" t="s">
        <v>290</v>
      </c>
      <c r="V215" s="8" t="s">
        <v>291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292</v>
      </c>
      <c r="V216" s="8" t="s">
        <v>291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653</v>
      </c>
      <c r="V218" s="8"/>
      <c r="W218" s="9"/>
      <c r="X218" s="10"/>
      <c r="Z218" s="12"/>
    </row>
    <row r="219" spans="17:26">
      <c r="R219" t="s">
        <v>677</v>
      </c>
      <c r="V219" s="8" t="s">
        <v>296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301</v>
      </c>
      <c r="V220" s="8" t="s">
        <v>296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669</v>
      </c>
      <c r="V221" s="8" t="s">
        <v>305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309</v>
      </c>
    </row>
    <row r="224" spans="17:26">
      <c r="R224" t="s">
        <v>310</v>
      </c>
      <c r="V224" s="8" t="s">
        <v>311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277</v>
      </c>
      <c r="R228" s="31"/>
      <c r="S228" s="31" t="s">
        <v>498</v>
      </c>
      <c r="T228" s="31"/>
    </row>
    <row r="229" spans="17:26">
      <c r="Q229" s="31" t="s">
        <v>278</v>
      </c>
      <c r="R229" s="31" t="s">
        <v>678</v>
      </c>
      <c r="S229" s="32" t="s">
        <v>280</v>
      </c>
      <c r="T229" s="33">
        <v>250</v>
      </c>
      <c r="U229" s="32" t="s">
        <v>281</v>
      </c>
      <c r="V229" s="33">
        <f>T229</f>
        <v>250</v>
      </c>
      <c r="W229" s="31" t="s">
        <v>282</v>
      </c>
      <c r="Y229" s="32" t="s">
        <v>296</v>
      </c>
      <c r="Z229" s="34">
        <f>Z234+Z238+Z242</f>
        <v>5.5639628445000007</v>
      </c>
    </row>
    <row r="230" spans="17:26">
      <c r="Q230" s="31" t="s">
        <v>283</v>
      </c>
      <c r="R230" s="31" t="s">
        <v>284</v>
      </c>
      <c r="V230" s="32" t="s">
        <v>122</v>
      </c>
      <c r="W230" s="32" t="s">
        <v>285</v>
      </c>
      <c r="X230" s="32" t="s">
        <v>286</v>
      </c>
      <c r="Y230" s="32" t="s">
        <v>287</v>
      </c>
      <c r="Z230" s="32" t="s">
        <v>288</v>
      </c>
    </row>
    <row r="231" spans="17:26">
      <c r="R231" s="35" t="s">
        <v>289</v>
      </c>
      <c r="W231" s="9"/>
    </row>
    <row r="232" spans="17:26">
      <c r="R232" t="s">
        <v>290</v>
      </c>
      <c r="V232" s="8" t="s">
        <v>291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679</v>
      </c>
      <c r="V233" s="8" t="s">
        <v>291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294</v>
      </c>
      <c r="V235" s="8"/>
      <c r="W235" s="9"/>
      <c r="X235" s="18"/>
    </row>
    <row r="236" spans="17:26">
      <c r="R236" t="s">
        <v>295</v>
      </c>
      <c r="V236" s="8" t="s">
        <v>296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680</v>
      </c>
      <c r="V237" s="8" t="s">
        <v>296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317</v>
      </c>
      <c r="V239" s="8"/>
      <c r="W239" s="9"/>
    </row>
    <row r="240" spans="17:26">
      <c r="R240" t="s">
        <v>310</v>
      </c>
      <c r="V240" s="8" t="s">
        <v>311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681</v>
      </c>
      <c r="V241" s="8" t="s">
        <v>291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277</v>
      </c>
      <c r="R244" s="31"/>
      <c r="S244" s="31" t="s">
        <v>510</v>
      </c>
      <c r="T244" s="31"/>
    </row>
    <row r="245" spans="17:26">
      <c r="Q245" s="31" t="s">
        <v>278</v>
      </c>
      <c r="R245" s="31" t="s">
        <v>416</v>
      </c>
      <c r="S245" s="32" t="s">
        <v>280</v>
      </c>
      <c r="T245" s="33">
        <v>20</v>
      </c>
      <c r="U245" s="32" t="s">
        <v>281</v>
      </c>
      <c r="V245" s="33">
        <f>T245</f>
        <v>20</v>
      </c>
      <c r="W245" s="31" t="s">
        <v>282</v>
      </c>
      <c r="Y245" s="32" t="s">
        <v>203</v>
      </c>
      <c r="Z245" s="34">
        <f>Z251+Z259+Z264</f>
        <v>438.22651999999994</v>
      </c>
    </row>
    <row r="246" spans="17:26">
      <c r="Q246" s="31" t="s">
        <v>283</v>
      </c>
      <c r="R246" s="31" t="s">
        <v>284</v>
      </c>
      <c r="V246" s="32" t="s">
        <v>122</v>
      </c>
      <c r="W246" s="32" t="s">
        <v>285</v>
      </c>
      <c r="X246" s="32" t="s">
        <v>286</v>
      </c>
      <c r="Y246" s="32" t="s">
        <v>287</v>
      </c>
      <c r="Z246" s="32" t="s">
        <v>288</v>
      </c>
    </row>
    <row r="247" spans="17:26">
      <c r="R247" s="35" t="s">
        <v>289</v>
      </c>
    </row>
    <row r="248" spans="17:26">
      <c r="R248" t="s">
        <v>290</v>
      </c>
      <c r="V248" s="8" t="s">
        <v>291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292</v>
      </c>
      <c r="V249" s="8" t="s">
        <v>291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293</v>
      </c>
      <c r="V250" s="8" t="s">
        <v>291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653</v>
      </c>
      <c r="V252" s="8"/>
      <c r="W252" s="9"/>
      <c r="X252" s="10"/>
      <c r="Z252" s="12"/>
    </row>
    <row r="253" spans="17:26">
      <c r="R253" t="s">
        <v>672</v>
      </c>
      <c r="V253" s="8" t="s">
        <v>203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673</v>
      </c>
      <c r="V254" s="8" t="s">
        <v>203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306</v>
      </c>
      <c r="V255" s="8" t="s">
        <v>307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655</v>
      </c>
      <c r="V256" s="8" t="s">
        <v>203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665</v>
      </c>
      <c r="V257" s="8" t="s">
        <v>439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674</v>
      </c>
      <c r="V258" s="8" t="s">
        <v>439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309</v>
      </c>
    </row>
    <row r="261" spans="17:29">
      <c r="R261" t="s">
        <v>310</v>
      </c>
      <c r="V261" s="8" t="s">
        <v>311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667</v>
      </c>
      <c r="V262" s="8" t="s">
        <v>337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675</v>
      </c>
      <c r="V263" s="8" t="s">
        <v>337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277</v>
      </c>
      <c r="R266" s="31"/>
      <c r="S266" s="31" t="s">
        <v>512</v>
      </c>
      <c r="T266" s="31"/>
    </row>
    <row r="267" spans="17:29">
      <c r="Q267" s="31" t="s">
        <v>278</v>
      </c>
      <c r="R267" s="31" t="s">
        <v>279</v>
      </c>
      <c r="S267" s="32" t="s">
        <v>280</v>
      </c>
      <c r="T267" s="33">
        <v>20</v>
      </c>
      <c r="U267" s="32" t="s">
        <v>281</v>
      </c>
      <c r="V267" s="33">
        <f>T267</f>
        <v>20</v>
      </c>
      <c r="W267" s="31" t="s">
        <v>282</v>
      </c>
      <c r="Y267" s="32" t="s">
        <v>133</v>
      </c>
      <c r="Z267" s="34">
        <f>Z272+Z277+Z280</f>
        <v>64.026960000000003</v>
      </c>
    </row>
    <row r="268" spans="17:29">
      <c r="Q268" s="31" t="s">
        <v>283</v>
      </c>
      <c r="R268" s="31" t="s">
        <v>284</v>
      </c>
      <c r="V268" s="32" t="s">
        <v>122</v>
      </c>
      <c r="W268" s="32" t="s">
        <v>285</v>
      </c>
      <c r="X268" s="32" t="s">
        <v>286</v>
      </c>
      <c r="Y268" s="32" t="s">
        <v>287</v>
      </c>
      <c r="Z268" s="32" t="s">
        <v>288</v>
      </c>
    </row>
    <row r="269" spans="17:29">
      <c r="R269" s="35" t="s">
        <v>289</v>
      </c>
      <c r="AC269" s="12"/>
    </row>
    <row r="270" spans="17:29">
      <c r="R270" t="s">
        <v>290</v>
      </c>
      <c r="V270" s="8" t="s">
        <v>291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292</v>
      </c>
      <c r="V271" s="8" t="s">
        <v>291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653</v>
      </c>
      <c r="V273" s="8"/>
      <c r="W273" s="9"/>
      <c r="X273" s="10"/>
      <c r="Z273" s="12"/>
    </row>
    <row r="274" spans="17:26">
      <c r="R274" t="s">
        <v>677</v>
      </c>
      <c r="V274" s="8" t="s">
        <v>296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301</v>
      </c>
      <c r="V275" s="8" t="s">
        <v>296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669</v>
      </c>
      <c r="V276" s="8" t="s">
        <v>305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309</v>
      </c>
    </row>
    <row r="279" spans="17:26">
      <c r="R279" t="s">
        <v>310</v>
      </c>
      <c r="V279" s="8" t="s">
        <v>311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277</v>
      </c>
      <c r="R282" s="31"/>
      <c r="S282" s="31" t="s">
        <v>684</v>
      </c>
      <c r="T282" s="31"/>
    </row>
    <row r="283" spans="17:26">
      <c r="Q283" s="31" t="s">
        <v>278</v>
      </c>
      <c r="R283" s="31" t="s">
        <v>678</v>
      </c>
      <c r="S283" s="32" t="s">
        <v>280</v>
      </c>
      <c r="T283" s="33">
        <v>250</v>
      </c>
      <c r="U283" s="32" t="s">
        <v>281</v>
      </c>
      <c r="V283" s="33">
        <f>T283</f>
        <v>250</v>
      </c>
      <c r="W283" s="31" t="s">
        <v>282</v>
      </c>
      <c r="Y283" s="32" t="s">
        <v>296</v>
      </c>
      <c r="Z283" s="34">
        <f>Z289+Z293+Z297</f>
        <v>5.5639628445000007</v>
      </c>
    </row>
    <row r="284" spans="17:26">
      <c r="Q284" s="31" t="s">
        <v>283</v>
      </c>
      <c r="R284" s="31" t="s">
        <v>284</v>
      </c>
      <c r="V284" s="32" t="s">
        <v>122</v>
      </c>
      <c r="W284" s="32" t="s">
        <v>285</v>
      </c>
      <c r="X284" s="32" t="s">
        <v>286</v>
      </c>
      <c r="Y284" s="32" t="s">
        <v>287</v>
      </c>
      <c r="Z284" s="32" t="s">
        <v>288</v>
      </c>
    </row>
    <row r="285" spans="17:26">
      <c r="R285" s="35" t="s">
        <v>289</v>
      </c>
      <c r="W285" s="9"/>
    </row>
    <row r="286" spans="17:26">
      <c r="R286" t="s">
        <v>290</v>
      </c>
      <c r="V286" s="8" t="s">
        <v>291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679</v>
      </c>
      <c r="V287" s="8" t="s">
        <v>291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294</v>
      </c>
      <c r="V290" s="8"/>
      <c r="W290" s="9"/>
      <c r="X290" s="18"/>
    </row>
    <row r="291" spans="17:26">
      <c r="R291" t="s">
        <v>295</v>
      </c>
      <c r="V291" s="8" t="s">
        <v>296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680</v>
      </c>
      <c r="V292" s="8" t="s">
        <v>296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317</v>
      </c>
      <c r="V294" s="8"/>
      <c r="W294" s="9"/>
    </row>
    <row r="295" spans="17:26">
      <c r="R295" t="s">
        <v>310</v>
      </c>
      <c r="V295" s="8" t="s">
        <v>311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681</v>
      </c>
      <c r="V296" s="8" t="s">
        <v>291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277</v>
      </c>
      <c r="R300" s="31"/>
      <c r="S300" s="31" t="s">
        <v>685</v>
      </c>
      <c r="T300" s="31"/>
    </row>
    <row r="301" spans="17:26">
      <c r="Q301" s="31" t="s">
        <v>278</v>
      </c>
      <c r="R301" s="31" t="s">
        <v>416</v>
      </c>
      <c r="S301" s="32" t="s">
        <v>280</v>
      </c>
      <c r="T301" s="33">
        <v>15</v>
      </c>
      <c r="U301" s="32" t="s">
        <v>281</v>
      </c>
      <c r="V301" s="33">
        <f>T301</f>
        <v>15</v>
      </c>
      <c r="W301" s="31" t="s">
        <v>282</v>
      </c>
      <c r="Y301" s="32" t="s">
        <v>203</v>
      </c>
      <c r="Z301" s="34">
        <f>Z307+Z314+Z319</f>
        <v>424.92179999999996</v>
      </c>
    </row>
    <row r="302" spans="17:26">
      <c r="Q302" s="31" t="s">
        <v>283</v>
      </c>
      <c r="R302" s="31" t="s">
        <v>284</v>
      </c>
      <c r="V302" s="32" t="s">
        <v>122</v>
      </c>
      <c r="W302" s="32" t="s">
        <v>285</v>
      </c>
      <c r="X302" s="32" t="s">
        <v>286</v>
      </c>
      <c r="Y302" s="32" t="s">
        <v>287</v>
      </c>
      <c r="Z302" s="32" t="s">
        <v>288</v>
      </c>
    </row>
    <row r="303" spans="17:26">
      <c r="R303" s="35" t="s">
        <v>289</v>
      </c>
    </row>
    <row r="304" spans="17:26">
      <c r="R304" t="s">
        <v>290</v>
      </c>
      <c r="V304" s="8" t="s">
        <v>291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292</v>
      </c>
      <c r="V305" s="8" t="s">
        <v>291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293</v>
      </c>
      <c r="V306" s="8" t="s">
        <v>291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653</v>
      </c>
      <c r="V308" s="8"/>
      <c r="W308" s="9"/>
      <c r="X308" s="10"/>
      <c r="Z308" s="12"/>
    </row>
    <row r="309" spans="17:26">
      <c r="R309" t="s">
        <v>672</v>
      </c>
      <c r="V309" s="8" t="s">
        <v>203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673</v>
      </c>
      <c r="V310" s="8" t="s">
        <v>203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306</v>
      </c>
      <c r="V311" s="8" t="s">
        <v>307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655</v>
      </c>
      <c r="V312" s="8" t="s">
        <v>203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665</v>
      </c>
      <c r="V313" s="8" t="s">
        <v>439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309</v>
      </c>
    </row>
    <row r="316" spans="17:26">
      <c r="R316" t="s">
        <v>310</v>
      </c>
      <c r="V316" s="8" t="s">
        <v>311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667</v>
      </c>
      <c r="V317" s="8" t="s">
        <v>337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675</v>
      </c>
      <c r="V318" s="8" t="s">
        <v>337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277</v>
      </c>
      <c r="R321" s="31"/>
      <c r="S321" s="31" t="s">
        <v>686</v>
      </c>
      <c r="T321" s="31"/>
    </row>
    <row r="322" spans="17:26">
      <c r="Q322" s="31" t="s">
        <v>278</v>
      </c>
      <c r="R322" s="31" t="s">
        <v>279</v>
      </c>
      <c r="S322" s="32" t="s">
        <v>280</v>
      </c>
      <c r="T322" s="33">
        <v>20</v>
      </c>
      <c r="U322" s="32" t="s">
        <v>281</v>
      </c>
      <c r="V322" s="33">
        <f>T322</f>
        <v>20</v>
      </c>
      <c r="W322" s="31" t="s">
        <v>282</v>
      </c>
      <c r="Y322" s="32" t="s">
        <v>133</v>
      </c>
      <c r="Z322" s="34">
        <f>Z327+Z332+Z335</f>
        <v>42.644480000000001</v>
      </c>
    </row>
    <row r="323" spans="17:26">
      <c r="Q323" s="31" t="s">
        <v>283</v>
      </c>
      <c r="R323" s="31" t="s">
        <v>284</v>
      </c>
      <c r="V323" s="32" t="s">
        <v>122</v>
      </c>
      <c r="W323" s="32" t="s">
        <v>285</v>
      </c>
      <c r="X323" s="32" t="s">
        <v>286</v>
      </c>
      <c r="Y323" s="32" t="s">
        <v>287</v>
      </c>
      <c r="Z323" s="32" t="s">
        <v>288</v>
      </c>
    </row>
    <row r="324" spans="17:26">
      <c r="R324" s="35" t="s">
        <v>289</v>
      </c>
    </row>
    <row r="325" spans="17:26">
      <c r="R325" t="s">
        <v>290</v>
      </c>
      <c r="V325" s="8" t="s">
        <v>291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292</v>
      </c>
      <c r="V326" s="8" t="s">
        <v>291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653</v>
      </c>
      <c r="V328" s="8"/>
      <c r="W328" s="9"/>
      <c r="X328" s="10"/>
      <c r="Z328" s="12"/>
    </row>
    <row r="329" spans="17:26">
      <c r="R329" t="s">
        <v>677</v>
      </c>
      <c r="V329" s="8" t="s">
        <v>296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301</v>
      </c>
      <c r="V330" s="8" t="s">
        <v>296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669</v>
      </c>
      <c r="V331" s="8" t="s">
        <v>305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309</v>
      </c>
    </row>
    <row r="334" spans="17:26">
      <c r="R334" t="s">
        <v>310</v>
      </c>
      <c r="V334" s="8" t="s">
        <v>311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277</v>
      </c>
      <c r="R337" s="31"/>
      <c r="S337" s="31" t="s">
        <v>687</v>
      </c>
      <c r="T337" s="31"/>
    </row>
    <row r="338" spans="17:26">
      <c r="Q338" s="31" t="s">
        <v>278</v>
      </c>
      <c r="R338" s="31" t="s">
        <v>678</v>
      </c>
      <c r="S338" s="32" t="s">
        <v>280</v>
      </c>
      <c r="T338" s="33">
        <v>250</v>
      </c>
      <c r="U338" s="32" t="s">
        <v>281</v>
      </c>
      <c r="V338" s="33">
        <f>T338</f>
        <v>250</v>
      </c>
      <c r="W338" s="31" t="s">
        <v>282</v>
      </c>
      <c r="Y338" s="32" t="s">
        <v>296</v>
      </c>
      <c r="Z338" s="34">
        <f>Z343+Z347+Z351</f>
        <v>5.5639628445000007</v>
      </c>
    </row>
    <row r="339" spans="17:26">
      <c r="Q339" s="31" t="s">
        <v>283</v>
      </c>
      <c r="R339" s="31" t="s">
        <v>284</v>
      </c>
      <c r="V339" s="32" t="s">
        <v>122</v>
      </c>
      <c r="W339" s="32" t="s">
        <v>285</v>
      </c>
      <c r="X339" s="32" t="s">
        <v>286</v>
      </c>
      <c r="Y339" s="32" t="s">
        <v>287</v>
      </c>
      <c r="Z339" s="32" t="s">
        <v>288</v>
      </c>
    </row>
    <row r="340" spans="17:26">
      <c r="R340" s="35" t="s">
        <v>289</v>
      </c>
      <c r="W340" s="9"/>
    </row>
    <row r="341" spans="17:26">
      <c r="R341" t="s">
        <v>290</v>
      </c>
      <c r="V341" s="8" t="s">
        <v>291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679</v>
      </c>
      <c r="V342" s="8" t="s">
        <v>291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294</v>
      </c>
      <c r="V344" s="8"/>
      <c r="W344" s="9"/>
      <c r="X344" s="18"/>
    </row>
    <row r="345" spans="17:26">
      <c r="R345" t="s">
        <v>295</v>
      </c>
      <c r="V345" s="8" t="s">
        <v>296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680</v>
      </c>
      <c r="V346" s="8" t="s">
        <v>296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317</v>
      </c>
      <c r="V348" s="8"/>
      <c r="W348" s="9"/>
    </row>
    <row r="349" spans="17:26">
      <c r="R349" t="s">
        <v>310</v>
      </c>
      <c r="V349" s="8" t="s">
        <v>311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681</v>
      </c>
      <c r="V350" s="8" t="s">
        <v>291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06F6E-B909-476D-B8AC-2E1F9C1104D2}">
  <sheetPr>
    <tabColor rgb="FFFFC000"/>
  </sheetPr>
  <dimension ref="A2:AL355"/>
  <sheetViews>
    <sheetView workbookViewId="0">
      <selection activeCell="E3" sqref="E3:K3"/>
    </sheetView>
  </sheetViews>
  <sheetFormatPr defaultRowHeight="15"/>
  <cols>
    <col min="10" max="10" width="13.140625" customWidth="1"/>
    <col min="12" max="12" width="9.28515625" bestFit="1" customWidth="1"/>
    <col min="20" max="20" width="9.28515625" bestFit="1" customWidth="1"/>
  </cols>
  <sheetData>
    <row r="2" spans="1:26">
      <c r="M2" s="25" t="s">
        <v>1377</v>
      </c>
      <c r="N2" s="25">
        <f>'Datos iniciales '!B7</f>
        <v>10</v>
      </c>
    </row>
    <row r="3" spans="1:26">
      <c r="E3" s="4" t="s">
        <v>1221</v>
      </c>
      <c r="F3" s="4" t="s">
        <v>1222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/>
      <c r="N3" s="25"/>
    </row>
    <row r="4" spans="1:26">
      <c r="G4" s="23"/>
      <c r="H4" s="21"/>
      <c r="I4" s="12"/>
      <c r="K4">
        <f>SUM(J4:J37)</f>
        <v>10838.461163927825</v>
      </c>
      <c r="M4" s="25" t="s">
        <v>1368</v>
      </c>
      <c r="N4" s="25">
        <f>K4/N2</f>
        <v>1083.8461163927825</v>
      </c>
    </row>
    <row r="6" spans="1:26">
      <c r="A6" s="28"/>
      <c r="B6" s="2"/>
      <c r="G6" s="2"/>
      <c r="Q6" s="2" t="s">
        <v>277</v>
      </c>
      <c r="R6" s="2"/>
      <c r="S6" s="2" t="s">
        <v>1371</v>
      </c>
      <c r="T6" s="2"/>
    </row>
    <row r="7" spans="1:26">
      <c r="E7" s="71"/>
      <c r="F7" s="12"/>
      <c r="I7" s="12"/>
      <c r="J7" s="12"/>
      <c r="Q7" s="2" t="s">
        <v>278</v>
      </c>
      <c r="R7" s="2" t="s">
        <v>279</v>
      </c>
      <c r="S7" s="4" t="s">
        <v>280</v>
      </c>
      <c r="T7" s="5">
        <v>500</v>
      </c>
      <c r="U7" s="4" t="s">
        <v>281</v>
      </c>
      <c r="V7" s="5">
        <f>T7</f>
        <v>500</v>
      </c>
      <c r="W7" s="2" t="s">
        <v>282</v>
      </c>
      <c r="Y7" s="4" t="s">
        <v>133</v>
      </c>
      <c r="Z7" s="6">
        <f>Z13+Z18+Z23</f>
        <v>2.8992706400000006</v>
      </c>
    </row>
    <row r="8" spans="1:26">
      <c r="A8" s="28" t="s">
        <v>456</v>
      </c>
      <c r="B8" s="2"/>
      <c r="E8" s="71"/>
      <c r="F8" s="12"/>
      <c r="J8" s="12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s="51" t="s">
        <v>458</v>
      </c>
      <c r="E9" s="266">
        <v>1</v>
      </c>
      <c r="F9" s="12">
        <v>4.3697592997811823</v>
      </c>
      <c r="G9" t="s">
        <v>203</v>
      </c>
      <c r="H9">
        <f>E9*F9*$N$2</f>
        <v>43.697592997811824</v>
      </c>
      <c r="I9" s="12">
        <f>Z26</f>
        <v>8.4582044799999991</v>
      </c>
      <c r="J9" s="12">
        <f t="shared" ref="J9:J17" si="0">H9*I9</f>
        <v>369.60317685930858</v>
      </c>
      <c r="M9" s="12"/>
      <c r="R9" s="7" t="s">
        <v>289</v>
      </c>
    </row>
    <row r="10" spans="1:26">
      <c r="A10" s="51" t="s">
        <v>460</v>
      </c>
      <c r="E10" s="266">
        <v>1</v>
      </c>
      <c r="F10" s="12">
        <v>5.8818380743982497E-2</v>
      </c>
      <c r="G10" t="s">
        <v>203</v>
      </c>
      <c r="H10">
        <f>E10*F10*$N$2</f>
        <v>0.58818380743982501</v>
      </c>
      <c r="I10" s="12">
        <f>Z42</f>
        <v>49.404980000000002</v>
      </c>
      <c r="J10" s="12">
        <f t="shared" si="0"/>
        <v>29.059209242888407</v>
      </c>
      <c r="R10" t="s">
        <v>1373</v>
      </c>
      <c r="V10" s="8" t="s">
        <v>291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462</v>
      </c>
      <c r="E11" s="266">
        <v>1</v>
      </c>
      <c r="F11" s="12">
        <v>0.26954048140043763</v>
      </c>
      <c r="G11" t="s">
        <v>203</v>
      </c>
      <c r="H11">
        <f t="shared" ref="H11:H21" si="1">E11*F11*$N$2</f>
        <v>2.6954048140043763</v>
      </c>
      <c r="I11" s="12">
        <f>Z53</f>
        <v>66.234217333333333</v>
      </c>
      <c r="J11" s="12">
        <f t="shared" si="0"/>
        <v>178.52802825207877</v>
      </c>
      <c r="R11" t="s">
        <v>293</v>
      </c>
      <c r="V11" s="8" t="s">
        <v>291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464</v>
      </c>
      <c r="E12" s="266">
        <v>1</v>
      </c>
      <c r="F12" s="12">
        <v>2.5797301239970829</v>
      </c>
      <c r="G12" t="s">
        <v>203</v>
      </c>
      <c r="H12">
        <f t="shared" si="1"/>
        <v>25.797301239970828</v>
      </c>
      <c r="I12" s="12">
        <f>Z70</f>
        <v>19.299630000000001</v>
      </c>
      <c r="J12" s="12">
        <f t="shared" si="0"/>
        <v>497.87836892997819</v>
      </c>
      <c r="K12" s="23"/>
      <c r="R12" t="s">
        <v>650</v>
      </c>
      <c r="V12" s="8" t="s">
        <v>291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1378</v>
      </c>
      <c r="E13" s="266">
        <v>1</v>
      </c>
      <c r="F13" s="12">
        <v>2.0536834427425243</v>
      </c>
      <c r="G13" t="s">
        <v>133</v>
      </c>
      <c r="H13">
        <f t="shared" si="1"/>
        <v>20.536834427425244</v>
      </c>
      <c r="I13" s="12">
        <f>Z87</f>
        <v>7.9303440000000007</v>
      </c>
      <c r="J13" s="12">
        <f t="shared" si="0"/>
        <v>162.86416168052523</v>
      </c>
      <c r="Z13" s="6">
        <f>SUM(Z10:Z12)</f>
        <v>1.5030880000000002</v>
      </c>
    </row>
    <row r="14" spans="1:26">
      <c r="A14" s="51" t="s">
        <v>468</v>
      </c>
      <c r="E14" s="266">
        <v>1</v>
      </c>
      <c r="F14" s="12">
        <v>2.3110594456601019</v>
      </c>
      <c r="G14" t="s">
        <v>133</v>
      </c>
      <c r="H14">
        <f t="shared" si="1"/>
        <v>23.110594456601021</v>
      </c>
      <c r="I14" s="12">
        <f>Z102</f>
        <v>12.11253</v>
      </c>
      <c r="J14" s="12">
        <f t="shared" si="0"/>
        <v>279.92776867341354</v>
      </c>
      <c r="K14" s="24"/>
      <c r="R14" s="7" t="s">
        <v>653</v>
      </c>
    </row>
    <row r="15" spans="1:26">
      <c r="A15" s="51" t="s">
        <v>470</v>
      </c>
      <c r="E15" s="266">
        <v>1</v>
      </c>
      <c r="F15" s="12">
        <v>2.3110594456601019</v>
      </c>
      <c r="G15" t="s">
        <v>203</v>
      </c>
      <c r="H15">
        <f t="shared" si="1"/>
        <v>23.110594456601021</v>
      </c>
      <c r="I15" s="12">
        <f>Z113</f>
        <v>22.910007466666666</v>
      </c>
      <c r="J15" s="12">
        <f t="shared" si="0"/>
        <v>529.46389155983468</v>
      </c>
      <c r="R15" t="s">
        <v>301</v>
      </c>
      <c r="V15" s="8" t="s">
        <v>296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475</v>
      </c>
      <c r="E16" s="71"/>
      <c r="F16" s="12"/>
      <c r="R16" t="s">
        <v>1374</v>
      </c>
      <c r="S16" s="68"/>
      <c r="T16" s="68"/>
      <c r="U16" s="68"/>
      <c r="V16" s="8" t="s">
        <v>307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483</v>
      </c>
      <c r="E17" s="71">
        <v>0.96</v>
      </c>
      <c r="F17" s="12">
        <v>1</v>
      </c>
      <c r="H17">
        <f t="shared" si="1"/>
        <v>9.6</v>
      </c>
      <c r="I17" s="12">
        <f>Z126</f>
        <v>238.34357440000002</v>
      </c>
      <c r="J17" s="12">
        <f t="shared" si="0"/>
        <v>2288.09831424</v>
      </c>
      <c r="R17" t="s">
        <v>308</v>
      </c>
      <c r="V17" s="8" t="s">
        <v>305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485</v>
      </c>
      <c r="E18" s="71"/>
      <c r="F18" s="12"/>
      <c r="Z18" s="6">
        <f>SUM(Z15:Z17)</f>
        <v>1.11605</v>
      </c>
    </row>
    <row r="19" spans="1:38">
      <c r="A19" s="51" t="s">
        <v>487</v>
      </c>
      <c r="B19" s="51"/>
      <c r="C19" s="51"/>
      <c r="D19" s="51"/>
      <c r="E19" s="71">
        <v>0.99</v>
      </c>
      <c r="F19" s="12">
        <v>0.88460977388767326</v>
      </c>
      <c r="G19" t="s">
        <v>133</v>
      </c>
      <c r="H19">
        <f t="shared" si="1"/>
        <v>8.757636761487964</v>
      </c>
      <c r="I19" s="62">
        <f>Z152</f>
        <v>39.620881818181815</v>
      </c>
      <c r="J19" s="59">
        <f>H19*I19</f>
        <v>346.98529113347917</v>
      </c>
      <c r="R19" s="7" t="s">
        <v>309</v>
      </c>
    </row>
    <row r="20" spans="1:38">
      <c r="A20" s="1" t="s">
        <v>489</v>
      </c>
      <c r="E20" s="71"/>
      <c r="F20" s="12"/>
      <c r="I20" s="23"/>
      <c r="J20" s="12"/>
      <c r="K20" s="23"/>
      <c r="R20" t="s">
        <v>310</v>
      </c>
      <c r="V20" s="8" t="s">
        <v>311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491</v>
      </c>
      <c r="E21" s="71">
        <v>0.98</v>
      </c>
      <c r="F21" s="12">
        <v>5.1057622173595919E-2</v>
      </c>
      <c r="G21" t="s">
        <v>133</v>
      </c>
      <c r="H21">
        <f t="shared" si="1"/>
        <v>0.50036469730124</v>
      </c>
      <c r="I21" s="27">
        <f>Z171</f>
        <v>27.126394000000001</v>
      </c>
      <c r="J21" s="12">
        <f>H21*I21</f>
        <v>13.573089922684174</v>
      </c>
      <c r="K21" s="24"/>
      <c r="R21" t="s">
        <v>1375</v>
      </c>
      <c r="V21" s="8" t="s">
        <v>337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1372</v>
      </c>
      <c r="E22" s="71"/>
      <c r="F22" s="12"/>
      <c r="I22" s="23"/>
      <c r="J22" s="12"/>
      <c r="K22" s="24"/>
      <c r="R22" t="s">
        <v>1376</v>
      </c>
      <c r="V22" s="8" t="s">
        <v>144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494</v>
      </c>
      <c r="E23" s="71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496</v>
      </c>
      <c r="E24" s="71">
        <v>0.97</v>
      </c>
      <c r="F24" s="12">
        <v>0.63231218088986141</v>
      </c>
      <c r="G24" t="s">
        <v>203</v>
      </c>
      <c r="H24">
        <f>E24*F24*$N$2</f>
        <v>6.1334281546316562</v>
      </c>
      <c r="I24" s="27">
        <f>Z190</f>
        <v>426.39754399999998</v>
      </c>
      <c r="J24" s="12">
        <f>H24*I24</f>
        <v>2615.2787014353903</v>
      </c>
    </row>
    <row r="25" spans="1:38">
      <c r="A25" t="s">
        <v>498</v>
      </c>
      <c r="E25" s="71">
        <v>0.91</v>
      </c>
      <c r="F25" s="12"/>
      <c r="G25" s="23" t="s">
        <v>296</v>
      </c>
      <c r="H25" s="199">
        <f>'Cimentación 4 pisos'!H25*'Cimentación 3 pisos'!E25</f>
        <v>230.16163384390956</v>
      </c>
      <c r="I25" s="27">
        <f>Z229</f>
        <v>5.5639628445000007</v>
      </c>
      <c r="J25" s="12">
        <f>H25*I25</f>
        <v>1280.6107789369266</v>
      </c>
      <c r="Q25" s="2" t="s">
        <v>277</v>
      </c>
      <c r="R25" s="2"/>
      <c r="S25" s="2" t="s">
        <v>458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508</v>
      </c>
      <c r="E26" s="71"/>
      <c r="F26" s="12"/>
      <c r="G26" s="23"/>
      <c r="I26" s="23"/>
      <c r="J26" s="12"/>
      <c r="K26" s="23"/>
      <c r="Q26" s="2" t="s">
        <v>278</v>
      </c>
      <c r="R26" s="2" t="s">
        <v>416</v>
      </c>
      <c r="S26" s="4" t="s">
        <v>280</v>
      </c>
      <c r="T26" s="5">
        <v>250</v>
      </c>
      <c r="U26" s="4" t="s">
        <v>281</v>
      </c>
      <c r="V26" s="5">
        <f>T26</f>
        <v>250</v>
      </c>
      <c r="W26" s="2" t="s">
        <v>282</v>
      </c>
      <c r="Y26" s="4" t="s">
        <v>203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510</v>
      </c>
      <c r="E27" s="71">
        <v>0.98</v>
      </c>
      <c r="F27" s="12">
        <v>0.12020423048869439</v>
      </c>
      <c r="G27" s="23" t="s">
        <v>203</v>
      </c>
      <c r="H27">
        <f>E27*F27*$N$2</f>
        <v>1.1780014587892049</v>
      </c>
      <c r="I27" s="27">
        <f>Z245</f>
        <v>438.22651999999994</v>
      </c>
      <c r="J27" s="12">
        <f>H27*I27</f>
        <v>516.23147984011666</v>
      </c>
      <c r="Q27" s="2" t="s">
        <v>283</v>
      </c>
      <c r="R27" s="2" t="s">
        <v>284</v>
      </c>
      <c r="V27" s="4" t="s">
        <v>122</v>
      </c>
      <c r="W27" s="4" t="s">
        <v>285</v>
      </c>
      <c r="X27" s="4" t="s">
        <v>286</v>
      </c>
      <c r="Y27" s="4" t="s">
        <v>287</v>
      </c>
      <c r="Z27" s="4" t="s">
        <v>288</v>
      </c>
      <c r="AC27" s="2"/>
      <c r="AD27" s="2"/>
      <c r="AH27" s="4"/>
      <c r="AI27" s="4"/>
      <c r="AJ27" s="4"/>
      <c r="AK27" s="4"/>
      <c r="AL27" s="4"/>
    </row>
    <row r="28" spans="1:38">
      <c r="A28" t="s">
        <v>512</v>
      </c>
      <c r="E28" s="71">
        <v>0.99</v>
      </c>
      <c r="F28" s="12">
        <v>0.64908825674690007</v>
      </c>
      <c r="G28" s="23" t="s">
        <v>133</v>
      </c>
      <c r="H28">
        <f>E28*F28*$N$2</f>
        <v>6.4259737417943104</v>
      </c>
      <c r="I28" s="27">
        <f>Z267</f>
        <v>64.026960000000003</v>
      </c>
      <c r="J28" s="12">
        <f>H28*I28</f>
        <v>411.43556372691467</v>
      </c>
      <c r="R28" s="7" t="s">
        <v>289</v>
      </c>
      <c r="AD28" s="7"/>
    </row>
    <row r="29" spans="1:38">
      <c r="A29" t="s">
        <v>514</v>
      </c>
      <c r="E29" s="71">
        <v>0.93</v>
      </c>
      <c r="F29" s="12"/>
      <c r="G29" s="23" t="s">
        <v>296</v>
      </c>
      <c r="H29" s="199">
        <f>'Cimentación 4 pisos'!H29*'Cimentación 3 pisos'!E29</f>
        <v>55.89496717724289</v>
      </c>
      <c r="I29" s="27">
        <f>Z283</f>
        <v>5.5639628445000007</v>
      </c>
      <c r="J29" s="12">
        <f>H29*I29</f>
        <v>310.99752056872654</v>
      </c>
      <c r="R29" t="s">
        <v>650</v>
      </c>
      <c r="V29" s="8" t="s">
        <v>291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516</v>
      </c>
      <c r="B30" s="2"/>
      <c r="E30" s="71"/>
      <c r="F30" s="12"/>
      <c r="I30" s="23"/>
      <c r="J30" s="12"/>
      <c r="R30" t="s">
        <v>290</v>
      </c>
      <c r="V30" s="8" t="s">
        <v>291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518</v>
      </c>
      <c r="E31" s="71">
        <v>0.96</v>
      </c>
      <c r="F31" s="12">
        <v>8.3369803063457329E-2</v>
      </c>
      <c r="G31" t="s">
        <v>203</v>
      </c>
      <c r="H31">
        <f>E31*F31*$N$2</f>
        <v>0.80035010940919027</v>
      </c>
      <c r="I31" s="12">
        <f>Z301</f>
        <v>424.92179999999996</v>
      </c>
      <c r="J31" s="12">
        <f>H31*I31</f>
        <v>340.08620912035002</v>
      </c>
      <c r="R31" t="s">
        <v>293</v>
      </c>
      <c r="V31" s="8" t="s">
        <v>291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520</v>
      </c>
      <c r="E32" s="71">
        <v>0.97</v>
      </c>
      <c r="F32" s="12">
        <v>0.41684901531728669</v>
      </c>
      <c r="G32" t="s">
        <v>133</v>
      </c>
      <c r="H32">
        <f>E32*F32*$N$2</f>
        <v>4.0434354485776804</v>
      </c>
      <c r="I32" s="12">
        <f>Z322</f>
        <v>42.644480000000001</v>
      </c>
      <c r="J32" s="12">
        <f>H32*I32</f>
        <v>172.43020211816193</v>
      </c>
      <c r="Z32" s="6">
        <f>SUM(Z29:Z31)</f>
        <v>2.6196159999999997</v>
      </c>
      <c r="AD32" s="7"/>
    </row>
    <row r="33" spans="1:38">
      <c r="A33" t="s">
        <v>522</v>
      </c>
      <c r="E33" s="71">
        <v>0.89</v>
      </c>
      <c r="F33" s="12"/>
      <c r="G33" t="s">
        <v>296</v>
      </c>
      <c r="H33" s="199">
        <f>'Cimentación 4 pisos'!H33*'Cimentación 3 pisos'!E33</f>
        <v>89.038949671772414</v>
      </c>
      <c r="I33" s="12">
        <f>Z338</f>
        <v>5.5639628445000007</v>
      </c>
      <c r="J33" s="12">
        <f>H33*I33</f>
        <v>495.40940768704723</v>
      </c>
      <c r="R33" s="7" t="s">
        <v>309</v>
      </c>
      <c r="AH33" s="8"/>
      <c r="AJ33" s="10"/>
      <c r="AK33" s="12"/>
      <c r="AL33" s="12"/>
    </row>
    <row r="34" spans="1:38">
      <c r="R34" t="s">
        <v>310</v>
      </c>
      <c r="V34" s="8" t="s">
        <v>311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651</v>
      </c>
      <c r="V35" s="8" t="s">
        <v>337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277</v>
      </c>
      <c r="R41" s="2"/>
      <c r="S41" s="2" t="s">
        <v>460</v>
      </c>
      <c r="T41" s="2"/>
    </row>
    <row r="42" spans="1:38">
      <c r="Q42" s="2" t="s">
        <v>278</v>
      </c>
      <c r="R42" s="2" t="s">
        <v>416</v>
      </c>
      <c r="S42" s="4" t="s">
        <v>280</v>
      </c>
      <c r="T42" s="5">
        <v>4</v>
      </c>
      <c r="U42" s="4" t="s">
        <v>281</v>
      </c>
      <c r="V42" s="5">
        <f>T42</f>
        <v>4</v>
      </c>
      <c r="W42" s="2" t="s">
        <v>282</v>
      </c>
      <c r="Y42" s="4" t="s">
        <v>203</v>
      </c>
      <c r="Z42" s="6">
        <f>Z47+Z50</f>
        <v>49.404980000000002</v>
      </c>
    </row>
    <row r="43" spans="1:38">
      <c r="Q43" s="2" t="s">
        <v>283</v>
      </c>
      <c r="R43" s="2" t="s">
        <v>284</v>
      </c>
      <c r="V43" s="4" t="s">
        <v>122</v>
      </c>
      <c r="W43" s="4" t="s">
        <v>285</v>
      </c>
      <c r="X43" s="4" t="s">
        <v>286</v>
      </c>
      <c r="Y43" s="4" t="s">
        <v>287</v>
      </c>
      <c r="Z43" s="4" t="s">
        <v>288</v>
      </c>
    </row>
    <row r="44" spans="1:38">
      <c r="R44" s="7" t="s">
        <v>289</v>
      </c>
    </row>
    <row r="45" spans="1:38">
      <c r="R45" t="s">
        <v>650</v>
      </c>
      <c r="V45" s="8" t="s">
        <v>291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293</v>
      </c>
      <c r="V46" s="8" t="s">
        <v>291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309</v>
      </c>
    </row>
    <row r="49" spans="17:26">
      <c r="R49" t="s">
        <v>310</v>
      </c>
      <c r="V49" s="8" t="s">
        <v>311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277</v>
      </c>
      <c r="R52" s="2"/>
      <c r="S52" s="2" t="s">
        <v>462</v>
      </c>
      <c r="T52" s="2"/>
    </row>
    <row r="53" spans="17:26">
      <c r="Q53" s="2" t="s">
        <v>278</v>
      </c>
      <c r="R53" s="2" t="s">
        <v>416</v>
      </c>
      <c r="S53" s="4" t="s">
        <v>280</v>
      </c>
      <c r="T53" s="5">
        <v>30</v>
      </c>
      <c r="U53" s="4" t="s">
        <v>281</v>
      </c>
      <c r="V53" s="5">
        <f>T53</f>
        <v>30</v>
      </c>
      <c r="W53" s="2" t="s">
        <v>282</v>
      </c>
      <c r="Y53" s="4" t="s">
        <v>203</v>
      </c>
      <c r="Z53" s="6">
        <f>Z59+Z63+Z67</f>
        <v>66.234217333333333</v>
      </c>
    </row>
    <row r="54" spans="17:26">
      <c r="Q54" s="2" t="s">
        <v>283</v>
      </c>
      <c r="R54" s="2" t="s">
        <v>284</v>
      </c>
      <c r="V54" s="4" t="s">
        <v>122</v>
      </c>
      <c r="W54" s="4" t="s">
        <v>285</v>
      </c>
      <c r="X54" s="4" t="s">
        <v>286</v>
      </c>
      <c r="Y54" s="4" t="s">
        <v>287</v>
      </c>
      <c r="Z54" s="4" t="s">
        <v>288</v>
      </c>
    </row>
    <row r="55" spans="17:26">
      <c r="R55" s="7" t="s">
        <v>289</v>
      </c>
    </row>
    <row r="56" spans="17:26">
      <c r="R56" t="s">
        <v>650</v>
      </c>
      <c r="V56" s="8" t="s">
        <v>291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293</v>
      </c>
      <c r="V57" s="8" t="s">
        <v>291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652</v>
      </c>
      <c r="V58" s="8" t="s">
        <v>291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653</v>
      </c>
      <c r="V60" s="8"/>
      <c r="W60" s="9"/>
      <c r="X60" s="10"/>
      <c r="Z60" s="12"/>
    </row>
    <row r="61" spans="17:26">
      <c r="R61" t="s">
        <v>654</v>
      </c>
      <c r="V61" s="8" t="s">
        <v>203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655</v>
      </c>
      <c r="V62" s="8" t="s">
        <v>203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309</v>
      </c>
    </row>
    <row r="65" spans="17:26">
      <c r="R65" t="s">
        <v>310</v>
      </c>
      <c r="V65" s="8" t="s">
        <v>311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656</v>
      </c>
      <c r="V66" s="8" t="s">
        <v>337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277</v>
      </c>
      <c r="R69" s="2"/>
      <c r="S69" s="2" t="s">
        <v>464</v>
      </c>
      <c r="T69" s="2"/>
    </row>
    <row r="70" spans="17:26">
      <c r="Q70" s="2" t="s">
        <v>278</v>
      </c>
      <c r="R70" s="2" t="s">
        <v>416</v>
      </c>
      <c r="S70" s="4" t="s">
        <v>280</v>
      </c>
      <c r="T70" s="5">
        <v>40</v>
      </c>
      <c r="U70" s="4" t="s">
        <v>281</v>
      </c>
      <c r="V70" s="5">
        <f>T70</f>
        <v>40</v>
      </c>
      <c r="W70" s="2" t="s">
        <v>282</v>
      </c>
      <c r="Y70" s="4" t="s">
        <v>203</v>
      </c>
      <c r="Z70" s="6">
        <f>Z76+Z84</f>
        <v>19.299630000000001</v>
      </c>
    </row>
    <row r="71" spans="17:26">
      <c r="Q71" s="2" t="s">
        <v>283</v>
      </c>
      <c r="R71" s="2" t="s">
        <v>284</v>
      </c>
      <c r="V71" s="4" t="s">
        <v>122</v>
      </c>
      <c r="W71" s="4" t="s">
        <v>285</v>
      </c>
      <c r="X71" s="4" t="s">
        <v>286</v>
      </c>
      <c r="Y71" s="4" t="s">
        <v>287</v>
      </c>
      <c r="Z71" s="4" t="s">
        <v>288</v>
      </c>
    </row>
    <row r="72" spans="17:26">
      <c r="R72" s="7" t="s">
        <v>289</v>
      </c>
    </row>
    <row r="73" spans="17:26">
      <c r="R73" t="s">
        <v>650</v>
      </c>
      <c r="V73" s="8" t="s">
        <v>291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293</v>
      </c>
      <c r="V74" s="8" t="s">
        <v>291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652</v>
      </c>
      <c r="V75" s="8" t="s">
        <v>291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653</v>
      </c>
      <c r="V77" s="8"/>
      <c r="W77" s="9"/>
      <c r="X77" s="10"/>
      <c r="Z77" s="12"/>
    </row>
    <row r="78" spans="17:26">
      <c r="R78" t="s">
        <v>655</v>
      </c>
      <c r="V78" s="8" t="s">
        <v>203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309</v>
      </c>
    </row>
    <row r="81" spans="17:26">
      <c r="R81" t="s">
        <v>310</v>
      </c>
      <c r="V81" s="8" t="s">
        <v>311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656</v>
      </c>
      <c r="V82" s="8" t="s">
        <v>337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657</v>
      </c>
      <c r="V83" s="8" t="s">
        <v>337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277</v>
      </c>
      <c r="R86" s="2"/>
      <c r="S86" s="2" t="s">
        <v>1345</v>
      </c>
      <c r="T86" s="2"/>
    </row>
    <row r="87" spans="17:26">
      <c r="Q87" s="2" t="s">
        <v>278</v>
      </c>
      <c r="R87" s="2" t="s">
        <v>279</v>
      </c>
      <c r="S87" s="4" t="s">
        <v>280</v>
      </c>
      <c r="T87" s="5">
        <v>500</v>
      </c>
      <c r="U87" s="4" t="s">
        <v>281</v>
      </c>
      <c r="V87" s="5">
        <f>T87</f>
        <v>500</v>
      </c>
      <c r="W87" s="2" t="s">
        <v>282</v>
      </c>
      <c r="Y87" s="4" t="s">
        <v>133</v>
      </c>
      <c r="Z87" s="6">
        <f>Z93+Z99</f>
        <v>7.9303440000000007</v>
      </c>
    </row>
    <row r="88" spans="17:26">
      <c r="Q88" s="2" t="s">
        <v>283</v>
      </c>
      <c r="R88" s="2" t="s">
        <v>284</v>
      </c>
      <c r="V88" s="4" t="s">
        <v>122</v>
      </c>
      <c r="W88" s="4" t="s">
        <v>285</v>
      </c>
      <c r="X88" s="4" t="s">
        <v>286</v>
      </c>
      <c r="Y88" s="4" t="s">
        <v>287</v>
      </c>
      <c r="Z88" s="4" t="s">
        <v>288</v>
      </c>
    </row>
    <row r="89" spans="17:26">
      <c r="R89" s="7" t="s">
        <v>289</v>
      </c>
    </row>
    <row r="90" spans="17:26">
      <c r="R90" t="s">
        <v>650</v>
      </c>
      <c r="V90" s="8" t="s">
        <v>291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292</v>
      </c>
      <c r="V91" s="8" t="s">
        <v>291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293</v>
      </c>
      <c r="V92" s="8" t="s">
        <v>291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309</v>
      </c>
    </row>
    <row r="95" spans="17:26">
      <c r="R95" t="s">
        <v>310</v>
      </c>
      <c r="V95" s="8" t="s">
        <v>311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656</v>
      </c>
      <c r="V96" s="8" t="s">
        <v>337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658</v>
      </c>
      <c r="V97" s="8" t="s">
        <v>337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659</v>
      </c>
      <c r="S98" s="69"/>
      <c r="T98" s="69"/>
      <c r="U98" s="69"/>
      <c r="V98" s="8" t="s">
        <v>337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277</v>
      </c>
      <c r="R101" s="2"/>
      <c r="S101" s="2" t="s">
        <v>468</v>
      </c>
      <c r="T101" s="2"/>
    </row>
    <row r="102" spans="17:26">
      <c r="Q102" s="2" t="s">
        <v>278</v>
      </c>
      <c r="R102" s="2" t="s">
        <v>313</v>
      </c>
      <c r="S102" s="4" t="s">
        <v>280</v>
      </c>
      <c r="T102" s="5">
        <v>80</v>
      </c>
      <c r="U102" s="4" t="s">
        <v>281</v>
      </c>
      <c r="V102" s="5">
        <f>T102</f>
        <v>80</v>
      </c>
      <c r="W102" s="2" t="s">
        <v>282</v>
      </c>
      <c r="Y102" s="4" t="s">
        <v>144</v>
      </c>
      <c r="Z102" s="6">
        <f>Z106+Z110</f>
        <v>12.11253</v>
      </c>
    </row>
    <row r="103" spans="17:26">
      <c r="Q103" s="2" t="s">
        <v>283</v>
      </c>
      <c r="R103" s="2" t="s">
        <v>284</v>
      </c>
      <c r="V103" s="4" t="s">
        <v>122</v>
      </c>
      <c r="W103" s="4" t="s">
        <v>285</v>
      </c>
      <c r="X103" s="4" t="s">
        <v>286</v>
      </c>
      <c r="Y103" s="4" t="s">
        <v>287</v>
      </c>
      <c r="Z103" s="4" t="s">
        <v>288</v>
      </c>
    </row>
    <row r="104" spans="17:26">
      <c r="R104" s="7" t="s">
        <v>289</v>
      </c>
    </row>
    <row r="105" spans="17:26">
      <c r="R105" t="s">
        <v>293</v>
      </c>
      <c r="V105" s="8" t="s">
        <v>291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309</v>
      </c>
    </row>
    <row r="108" spans="17:26">
      <c r="R108" t="s">
        <v>310</v>
      </c>
      <c r="V108" s="8" t="s">
        <v>311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660</v>
      </c>
      <c r="V109" s="8" t="s">
        <v>337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277</v>
      </c>
      <c r="R112" s="2"/>
      <c r="S112" s="2" t="s">
        <v>470</v>
      </c>
      <c r="T112" s="2"/>
    </row>
    <row r="113" spans="17:26">
      <c r="Q113" s="2" t="s">
        <v>278</v>
      </c>
      <c r="R113" s="2" t="s">
        <v>416</v>
      </c>
      <c r="S113" s="4" t="s">
        <v>280</v>
      </c>
      <c r="T113" s="5">
        <v>187.5</v>
      </c>
      <c r="U113" s="4" t="s">
        <v>281</v>
      </c>
      <c r="V113" s="5">
        <f>T113</f>
        <v>187.5</v>
      </c>
      <c r="W113" s="2" t="s">
        <v>282</v>
      </c>
      <c r="Y113" s="4" t="s">
        <v>203</v>
      </c>
      <c r="Z113" s="6">
        <f>Z118+Z123</f>
        <v>22.910007466666666</v>
      </c>
    </row>
    <row r="114" spans="17:26">
      <c r="Q114" s="2" t="s">
        <v>283</v>
      </c>
      <c r="R114" s="2" t="s">
        <v>284</v>
      </c>
      <c r="V114" s="4" t="s">
        <v>122</v>
      </c>
      <c r="W114" s="4" t="s">
        <v>285</v>
      </c>
      <c r="X114" s="4" t="s">
        <v>286</v>
      </c>
      <c r="Y114" s="4" t="s">
        <v>287</v>
      </c>
      <c r="Z114" s="4" t="s">
        <v>288</v>
      </c>
    </row>
    <row r="115" spans="17:26">
      <c r="R115" s="7" t="s">
        <v>289</v>
      </c>
    </row>
    <row r="116" spans="17:26">
      <c r="R116" t="s">
        <v>292</v>
      </c>
      <c r="V116" s="8" t="s">
        <v>291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293</v>
      </c>
      <c r="V117" s="8" t="s">
        <v>291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309</v>
      </c>
    </row>
    <row r="120" spans="17:26">
      <c r="R120" t="s">
        <v>310</v>
      </c>
      <c r="V120" s="8" t="s">
        <v>311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661</v>
      </c>
      <c r="V121" s="8" t="s">
        <v>337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662</v>
      </c>
      <c r="V122" s="8" t="s">
        <v>337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277</v>
      </c>
      <c r="R125" s="31"/>
      <c r="S125" s="31" t="s">
        <v>483</v>
      </c>
      <c r="T125" s="31"/>
    </row>
    <row r="126" spans="17:26">
      <c r="Q126" s="31" t="s">
        <v>278</v>
      </c>
      <c r="R126" s="31" t="s">
        <v>279</v>
      </c>
      <c r="S126" s="32" t="s">
        <v>280</v>
      </c>
      <c r="T126" s="33">
        <v>50</v>
      </c>
      <c r="U126" s="32" t="s">
        <v>281</v>
      </c>
      <c r="V126" s="33">
        <f>T126</f>
        <v>50</v>
      </c>
      <c r="W126" s="31" t="s">
        <v>282</v>
      </c>
      <c r="Y126" s="32" t="s">
        <v>133</v>
      </c>
      <c r="Z126" s="34">
        <f>Z134+Z141+Z145</f>
        <v>238.34357440000002</v>
      </c>
    </row>
    <row r="127" spans="17:26">
      <c r="Q127" s="31" t="s">
        <v>283</v>
      </c>
      <c r="R127" s="31" t="s">
        <v>284</v>
      </c>
      <c r="V127" s="32" t="s">
        <v>122</v>
      </c>
      <c r="W127" s="32" t="s">
        <v>285</v>
      </c>
      <c r="X127" s="32" t="s">
        <v>286</v>
      </c>
      <c r="Y127" s="32" t="s">
        <v>287</v>
      </c>
      <c r="Z127" s="32" t="s">
        <v>288</v>
      </c>
    </row>
    <row r="128" spans="17:26">
      <c r="R128" s="35" t="s">
        <v>289</v>
      </c>
    </row>
    <row r="129" spans="18:26">
      <c r="R129" t="s">
        <v>650</v>
      </c>
      <c r="V129" s="8" t="s">
        <v>291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290</v>
      </c>
      <c r="V130" s="8" t="s">
        <v>291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292</v>
      </c>
      <c r="V131" s="8" t="s">
        <v>291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293</v>
      </c>
      <c r="V132" s="8" t="s">
        <v>291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652</v>
      </c>
      <c r="V133" s="8" t="s">
        <v>291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653</v>
      </c>
      <c r="V135" s="8"/>
      <c r="W135" s="9"/>
      <c r="X135" s="10"/>
      <c r="Z135" s="12"/>
    </row>
    <row r="136" spans="18:26">
      <c r="R136" t="s">
        <v>306</v>
      </c>
      <c r="V136" s="8" t="s">
        <v>307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655</v>
      </c>
      <c r="V137" s="8" t="s">
        <v>203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665</v>
      </c>
      <c r="V138" s="8" t="s">
        <v>439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302</v>
      </c>
      <c r="V139" s="8" t="s">
        <v>203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666</v>
      </c>
      <c r="V140" s="8" t="s">
        <v>203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309</v>
      </c>
    </row>
    <row r="143" spans="18:26">
      <c r="R143" t="s">
        <v>310</v>
      </c>
      <c r="V143" s="8" t="s">
        <v>311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667</v>
      </c>
      <c r="V144" s="8" t="s">
        <v>337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277</v>
      </c>
      <c r="R151" s="31"/>
      <c r="S151" s="31" t="s">
        <v>668</v>
      </c>
      <c r="T151" s="31"/>
    </row>
    <row r="152" spans="17:26">
      <c r="Q152" s="31" t="s">
        <v>278</v>
      </c>
      <c r="R152" s="31" t="s">
        <v>279</v>
      </c>
      <c r="S152" s="32" t="s">
        <v>280</v>
      </c>
      <c r="T152" s="33">
        <v>110</v>
      </c>
      <c r="U152" s="32" t="s">
        <v>281</v>
      </c>
      <c r="V152" s="33">
        <f>T152</f>
        <v>110</v>
      </c>
      <c r="W152" s="31" t="s">
        <v>282</v>
      </c>
      <c r="Y152" s="32" t="s">
        <v>133</v>
      </c>
      <c r="Z152" s="34">
        <f>Z158+Z164+Z168</f>
        <v>39.620881818181815</v>
      </c>
    </row>
    <row r="153" spans="17:26">
      <c r="Q153" s="31" t="s">
        <v>283</v>
      </c>
      <c r="R153" s="31" t="s">
        <v>284</v>
      </c>
      <c r="V153" s="32" t="s">
        <v>122</v>
      </c>
      <c r="W153" s="32" t="s">
        <v>285</v>
      </c>
      <c r="X153" s="32" t="s">
        <v>286</v>
      </c>
      <c r="Y153" s="32" t="s">
        <v>287</v>
      </c>
      <c r="Z153" s="32" t="s">
        <v>288</v>
      </c>
    </row>
    <row r="154" spans="17:26">
      <c r="R154" s="35" t="s">
        <v>289</v>
      </c>
    </row>
    <row r="155" spans="17:26">
      <c r="R155" t="s">
        <v>290</v>
      </c>
      <c r="V155" s="8" t="s">
        <v>291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292</v>
      </c>
      <c r="V156" s="8" t="s">
        <v>291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293</v>
      </c>
      <c r="V157" s="8" t="s">
        <v>291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653</v>
      </c>
      <c r="V159" s="8"/>
      <c r="W159" s="9"/>
      <c r="X159" s="10"/>
      <c r="Z159" s="12"/>
    </row>
    <row r="160" spans="17:26">
      <c r="R160" t="s">
        <v>306</v>
      </c>
      <c r="V160" s="8" t="s">
        <v>307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655</v>
      </c>
      <c r="V161" s="8" t="s">
        <v>203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302</v>
      </c>
      <c r="V162" s="8" t="s">
        <v>203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669</v>
      </c>
      <c r="V163" s="8" t="s">
        <v>305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309</v>
      </c>
    </row>
    <row r="166" spans="17:26">
      <c r="R166" t="s">
        <v>310</v>
      </c>
      <c r="V166" s="8" t="s">
        <v>311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667</v>
      </c>
      <c r="V167" s="8" t="s">
        <v>337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277</v>
      </c>
      <c r="R170" s="31"/>
      <c r="S170" s="31" t="s">
        <v>670</v>
      </c>
      <c r="T170" s="31"/>
    </row>
    <row r="171" spans="17:26">
      <c r="Q171" s="31" t="s">
        <v>278</v>
      </c>
      <c r="R171" s="31" t="s">
        <v>279</v>
      </c>
      <c r="S171" s="32" t="s">
        <v>280</v>
      </c>
      <c r="T171" s="33">
        <v>120</v>
      </c>
      <c r="U171" s="32" t="s">
        <v>281</v>
      </c>
      <c r="V171" s="33">
        <f>T171</f>
        <v>120</v>
      </c>
      <c r="W171" s="31" t="s">
        <v>282</v>
      </c>
      <c r="Y171" s="32" t="s">
        <v>133</v>
      </c>
      <c r="Z171" s="34">
        <f>Z177+Z183+Z187</f>
        <v>27.126394000000001</v>
      </c>
    </row>
    <row r="172" spans="17:26">
      <c r="Q172" s="31" t="s">
        <v>283</v>
      </c>
      <c r="R172" s="31" t="s">
        <v>284</v>
      </c>
      <c r="V172" s="32" t="s">
        <v>122</v>
      </c>
      <c r="W172" s="32" t="s">
        <v>285</v>
      </c>
      <c r="X172" s="32" t="s">
        <v>286</v>
      </c>
      <c r="Y172" s="32" t="s">
        <v>287</v>
      </c>
      <c r="Z172" s="32" t="s">
        <v>288</v>
      </c>
    </row>
    <row r="173" spans="17:26">
      <c r="R173" s="35" t="s">
        <v>289</v>
      </c>
    </row>
    <row r="174" spans="17:26">
      <c r="R174" t="s">
        <v>290</v>
      </c>
      <c r="V174" s="8" t="s">
        <v>291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292</v>
      </c>
      <c r="V175" s="8" t="s">
        <v>291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293</v>
      </c>
      <c r="V176" s="8" t="s">
        <v>291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653</v>
      </c>
      <c r="V178" s="8"/>
      <c r="W178" s="9"/>
      <c r="X178" s="10"/>
      <c r="Z178" s="12"/>
    </row>
    <row r="179" spans="17:26">
      <c r="R179" t="s">
        <v>306</v>
      </c>
      <c r="V179" s="8" t="s">
        <v>307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655</v>
      </c>
      <c r="V180" s="8" t="s">
        <v>203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665</v>
      </c>
      <c r="V181" s="8" t="s">
        <v>439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302</v>
      </c>
      <c r="V182" s="8" t="s">
        <v>203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309</v>
      </c>
    </row>
    <row r="185" spans="17:26">
      <c r="R185" t="s">
        <v>310</v>
      </c>
      <c r="V185" s="8" t="s">
        <v>311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667</v>
      </c>
      <c r="V186" s="8" t="s">
        <v>337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277</v>
      </c>
      <c r="R189" s="31"/>
      <c r="S189" s="31" t="s">
        <v>496</v>
      </c>
      <c r="T189" s="31"/>
    </row>
    <row r="190" spans="17:26">
      <c r="Q190" s="31" t="s">
        <v>278</v>
      </c>
      <c r="R190" s="31" t="s">
        <v>416</v>
      </c>
      <c r="S190" s="32" t="s">
        <v>280</v>
      </c>
      <c r="T190" s="33">
        <v>25</v>
      </c>
      <c r="U190" s="32" t="s">
        <v>281</v>
      </c>
      <c r="V190" s="33">
        <f>T190</f>
        <v>25</v>
      </c>
      <c r="W190" s="31" t="s">
        <v>282</v>
      </c>
      <c r="Y190" s="32" t="s">
        <v>203</v>
      </c>
      <c r="Z190" s="34">
        <f>Z196+Z204+Z209</f>
        <v>426.39754399999998</v>
      </c>
    </row>
    <row r="191" spans="17:26">
      <c r="Q191" s="31" t="s">
        <v>283</v>
      </c>
      <c r="R191" s="31" t="s">
        <v>284</v>
      </c>
      <c r="V191" s="32" t="s">
        <v>122</v>
      </c>
      <c r="W191" s="32" t="s">
        <v>285</v>
      </c>
      <c r="X191" s="32" t="s">
        <v>286</v>
      </c>
      <c r="Y191" s="32" t="s">
        <v>287</v>
      </c>
      <c r="Z191" s="32" t="s">
        <v>288</v>
      </c>
    </row>
    <row r="192" spans="17:26">
      <c r="R192" s="35" t="s">
        <v>289</v>
      </c>
    </row>
    <row r="193" spans="18:26">
      <c r="R193" t="s">
        <v>290</v>
      </c>
      <c r="V193" s="8" t="s">
        <v>291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292</v>
      </c>
      <c r="V194" s="8" t="s">
        <v>291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293</v>
      </c>
      <c r="V195" s="8" t="s">
        <v>291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653</v>
      </c>
      <c r="V197" s="8"/>
      <c r="W197" s="9"/>
      <c r="X197" s="10"/>
      <c r="Z197" s="12"/>
    </row>
    <row r="198" spans="18:26">
      <c r="R198" t="s">
        <v>672</v>
      </c>
      <c r="V198" s="8" t="s">
        <v>203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673</v>
      </c>
      <c r="V199" s="8" t="s">
        <v>203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306</v>
      </c>
      <c r="V200" s="8" t="s">
        <v>307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655</v>
      </c>
      <c r="V201" s="8" t="s">
        <v>203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665</v>
      </c>
      <c r="V202" s="8" t="s">
        <v>439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674</v>
      </c>
      <c r="V203" s="8" t="s">
        <v>439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309</v>
      </c>
    </row>
    <row r="206" spans="18:26">
      <c r="R206" t="s">
        <v>310</v>
      </c>
      <c r="V206" s="8" t="s">
        <v>311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667</v>
      </c>
      <c r="V207" s="8" t="s">
        <v>337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675</v>
      </c>
      <c r="V208" s="8" t="s">
        <v>337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277</v>
      </c>
      <c r="R211" s="31"/>
      <c r="S211" s="31" t="s">
        <v>676</v>
      </c>
      <c r="T211" s="31"/>
    </row>
    <row r="212" spans="17:26">
      <c r="Q212" s="31" t="s">
        <v>278</v>
      </c>
      <c r="R212" s="31" t="s">
        <v>279</v>
      </c>
      <c r="S212" s="32" t="s">
        <v>280</v>
      </c>
      <c r="T212" s="33">
        <v>8</v>
      </c>
      <c r="U212" s="32" t="s">
        <v>281</v>
      </c>
      <c r="V212" s="33">
        <f>T212</f>
        <v>8</v>
      </c>
      <c r="W212" s="31" t="s">
        <v>282</v>
      </c>
      <c r="Y212" s="32" t="s">
        <v>133</v>
      </c>
      <c r="Z212" s="34">
        <f>Z217+Z222+Z225</f>
        <v>75.114200000000011</v>
      </c>
    </row>
    <row r="213" spans="17:26">
      <c r="Q213" s="31" t="s">
        <v>283</v>
      </c>
      <c r="R213" s="31" t="s">
        <v>284</v>
      </c>
      <c r="V213" s="32" t="s">
        <v>122</v>
      </c>
      <c r="W213" s="32" t="s">
        <v>285</v>
      </c>
      <c r="X213" s="32" t="s">
        <v>286</v>
      </c>
      <c r="Y213" s="32" t="s">
        <v>287</v>
      </c>
      <c r="Z213" s="32" t="s">
        <v>288</v>
      </c>
    </row>
    <row r="214" spans="17:26">
      <c r="R214" s="35" t="s">
        <v>289</v>
      </c>
    </row>
    <row r="215" spans="17:26">
      <c r="R215" t="s">
        <v>290</v>
      </c>
      <c r="V215" s="8" t="s">
        <v>291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292</v>
      </c>
      <c r="V216" s="8" t="s">
        <v>291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653</v>
      </c>
      <c r="V218" s="8"/>
      <c r="W218" s="9"/>
      <c r="X218" s="10"/>
      <c r="Z218" s="12"/>
    </row>
    <row r="219" spans="17:26">
      <c r="R219" t="s">
        <v>677</v>
      </c>
      <c r="V219" s="8" t="s">
        <v>296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301</v>
      </c>
      <c r="V220" s="8" t="s">
        <v>296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669</v>
      </c>
      <c r="V221" s="8" t="s">
        <v>305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309</v>
      </c>
    </row>
    <row r="224" spans="17:26">
      <c r="R224" t="s">
        <v>310</v>
      </c>
      <c r="V224" s="8" t="s">
        <v>311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277</v>
      </c>
      <c r="R228" s="31"/>
      <c r="S228" s="31" t="s">
        <v>498</v>
      </c>
      <c r="T228" s="31"/>
    </row>
    <row r="229" spans="17:26">
      <c r="Q229" s="31" t="s">
        <v>278</v>
      </c>
      <c r="R229" s="31" t="s">
        <v>678</v>
      </c>
      <c r="S229" s="32" t="s">
        <v>280</v>
      </c>
      <c r="T229" s="33">
        <v>250</v>
      </c>
      <c r="U229" s="32" t="s">
        <v>281</v>
      </c>
      <c r="V229" s="33">
        <f>T229</f>
        <v>250</v>
      </c>
      <c r="W229" s="31" t="s">
        <v>282</v>
      </c>
      <c r="Y229" s="32" t="s">
        <v>296</v>
      </c>
      <c r="Z229" s="34">
        <f>Z234+Z238+Z242</f>
        <v>5.5639628445000007</v>
      </c>
    </row>
    <row r="230" spans="17:26">
      <c r="Q230" s="31" t="s">
        <v>283</v>
      </c>
      <c r="R230" s="31" t="s">
        <v>284</v>
      </c>
      <c r="V230" s="32" t="s">
        <v>122</v>
      </c>
      <c r="W230" s="32" t="s">
        <v>285</v>
      </c>
      <c r="X230" s="32" t="s">
        <v>286</v>
      </c>
      <c r="Y230" s="32" t="s">
        <v>287</v>
      </c>
      <c r="Z230" s="32" t="s">
        <v>288</v>
      </c>
    </row>
    <row r="231" spans="17:26">
      <c r="R231" s="35" t="s">
        <v>289</v>
      </c>
      <c r="W231" s="9"/>
    </row>
    <row r="232" spans="17:26">
      <c r="R232" t="s">
        <v>290</v>
      </c>
      <c r="V232" s="8" t="s">
        <v>291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679</v>
      </c>
      <c r="V233" s="8" t="s">
        <v>291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294</v>
      </c>
      <c r="V235" s="8"/>
      <c r="W235" s="9"/>
      <c r="X235" s="18"/>
    </row>
    <row r="236" spans="17:26">
      <c r="R236" t="s">
        <v>295</v>
      </c>
      <c r="V236" s="8" t="s">
        <v>296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680</v>
      </c>
      <c r="V237" s="8" t="s">
        <v>296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317</v>
      </c>
      <c r="V239" s="8"/>
      <c r="W239" s="9"/>
    </row>
    <row r="240" spans="17:26">
      <c r="R240" t="s">
        <v>310</v>
      </c>
      <c r="V240" s="8" t="s">
        <v>311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681</v>
      </c>
      <c r="V241" s="8" t="s">
        <v>291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277</v>
      </c>
      <c r="R244" s="31"/>
      <c r="S244" s="31" t="s">
        <v>510</v>
      </c>
      <c r="T244" s="31"/>
    </row>
    <row r="245" spans="17:26">
      <c r="Q245" s="31" t="s">
        <v>278</v>
      </c>
      <c r="R245" s="31" t="s">
        <v>416</v>
      </c>
      <c r="S245" s="32" t="s">
        <v>280</v>
      </c>
      <c r="T245" s="33">
        <v>20</v>
      </c>
      <c r="U245" s="32" t="s">
        <v>281</v>
      </c>
      <c r="V245" s="33">
        <f>T245</f>
        <v>20</v>
      </c>
      <c r="W245" s="31" t="s">
        <v>282</v>
      </c>
      <c r="Y245" s="32" t="s">
        <v>203</v>
      </c>
      <c r="Z245" s="34">
        <f>Z251+Z259+Z264</f>
        <v>438.22651999999994</v>
      </c>
    </row>
    <row r="246" spans="17:26">
      <c r="Q246" s="31" t="s">
        <v>283</v>
      </c>
      <c r="R246" s="31" t="s">
        <v>284</v>
      </c>
      <c r="V246" s="32" t="s">
        <v>122</v>
      </c>
      <c r="W246" s="32" t="s">
        <v>285</v>
      </c>
      <c r="X246" s="32" t="s">
        <v>286</v>
      </c>
      <c r="Y246" s="32" t="s">
        <v>287</v>
      </c>
      <c r="Z246" s="32" t="s">
        <v>288</v>
      </c>
    </row>
    <row r="247" spans="17:26">
      <c r="R247" s="35" t="s">
        <v>289</v>
      </c>
    </row>
    <row r="248" spans="17:26">
      <c r="R248" t="s">
        <v>290</v>
      </c>
      <c r="V248" s="8" t="s">
        <v>291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292</v>
      </c>
      <c r="V249" s="8" t="s">
        <v>291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293</v>
      </c>
      <c r="V250" s="8" t="s">
        <v>291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653</v>
      </c>
      <c r="V252" s="8"/>
      <c r="W252" s="9"/>
      <c r="X252" s="10"/>
      <c r="Z252" s="12"/>
    </row>
    <row r="253" spans="17:26">
      <c r="R253" t="s">
        <v>672</v>
      </c>
      <c r="V253" s="8" t="s">
        <v>203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673</v>
      </c>
      <c r="V254" s="8" t="s">
        <v>203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306</v>
      </c>
      <c r="V255" s="8" t="s">
        <v>307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655</v>
      </c>
      <c r="V256" s="8" t="s">
        <v>203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665</v>
      </c>
      <c r="V257" s="8" t="s">
        <v>439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674</v>
      </c>
      <c r="V258" s="8" t="s">
        <v>439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309</v>
      </c>
    </row>
    <row r="261" spans="17:29">
      <c r="R261" t="s">
        <v>310</v>
      </c>
      <c r="V261" s="8" t="s">
        <v>311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667</v>
      </c>
      <c r="V262" s="8" t="s">
        <v>337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675</v>
      </c>
      <c r="V263" s="8" t="s">
        <v>337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277</v>
      </c>
      <c r="R266" s="31"/>
      <c r="S266" s="31" t="s">
        <v>512</v>
      </c>
      <c r="T266" s="31"/>
    </row>
    <row r="267" spans="17:29">
      <c r="Q267" s="31" t="s">
        <v>278</v>
      </c>
      <c r="R267" s="31" t="s">
        <v>279</v>
      </c>
      <c r="S267" s="32" t="s">
        <v>280</v>
      </c>
      <c r="T267" s="33">
        <v>20</v>
      </c>
      <c r="U267" s="32" t="s">
        <v>281</v>
      </c>
      <c r="V267" s="33">
        <f>T267</f>
        <v>20</v>
      </c>
      <c r="W267" s="31" t="s">
        <v>282</v>
      </c>
      <c r="Y267" s="32" t="s">
        <v>133</v>
      </c>
      <c r="Z267" s="34">
        <f>Z272+Z277+Z280</f>
        <v>64.026960000000003</v>
      </c>
    </row>
    <row r="268" spans="17:29">
      <c r="Q268" s="31" t="s">
        <v>283</v>
      </c>
      <c r="R268" s="31" t="s">
        <v>284</v>
      </c>
      <c r="V268" s="32" t="s">
        <v>122</v>
      </c>
      <c r="W268" s="32" t="s">
        <v>285</v>
      </c>
      <c r="X268" s="32" t="s">
        <v>286</v>
      </c>
      <c r="Y268" s="32" t="s">
        <v>287</v>
      </c>
      <c r="Z268" s="32" t="s">
        <v>288</v>
      </c>
    </row>
    <row r="269" spans="17:29">
      <c r="R269" s="35" t="s">
        <v>289</v>
      </c>
      <c r="AC269" s="12"/>
    </row>
    <row r="270" spans="17:29">
      <c r="R270" t="s">
        <v>290</v>
      </c>
      <c r="V270" s="8" t="s">
        <v>291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292</v>
      </c>
      <c r="V271" s="8" t="s">
        <v>291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653</v>
      </c>
      <c r="V273" s="8"/>
      <c r="W273" s="9"/>
      <c r="X273" s="10"/>
      <c r="Z273" s="12"/>
    </row>
    <row r="274" spans="17:26">
      <c r="R274" t="s">
        <v>677</v>
      </c>
      <c r="V274" s="8" t="s">
        <v>296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301</v>
      </c>
      <c r="V275" s="8" t="s">
        <v>296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669</v>
      </c>
      <c r="V276" s="8" t="s">
        <v>305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309</v>
      </c>
    </row>
    <row r="279" spans="17:26">
      <c r="R279" t="s">
        <v>310</v>
      </c>
      <c r="V279" s="8" t="s">
        <v>311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277</v>
      </c>
      <c r="R282" s="31"/>
      <c r="S282" s="31" t="s">
        <v>684</v>
      </c>
      <c r="T282" s="31"/>
    </row>
    <row r="283" spans="17:26">
      <c r="Q283" s="31" t="s">
        <v>278</v>
      </c>
      <c r="R283" s="31" t="s">
        <v>678</v>
      </c>
      <c r="S283" s="32" t="s">
        <v>280</v>
      </c>
      <c r="T283" s="33">
        <v>250</v>
      </c>
      <c r="U283" s="32" t="s">
        <v>281</v>
      </c>
      <c r="V283" s="33">
        <f>T283</f>
        <v>250</v>
      </c>
      <c r="W283" s="31" t="s">
        <v>282</v>
      </c>
      <c r="Y283" s="32" t="s">
        <v>296</v>
      </c>
      <c r="Z283" s="34">
        <f>Z289+Z293+Z297</f>
        <v>5.5639628445000007</v>
      </c>
    </row>
    <row r="284" spans="17:26">
      <c r="Q284" s="31" t="s">
        <v>283</v>
      </c>
      <c r="R284" s="31" t="s">
        <v>284</v>
      </c>
      <c r="V284" s="32" t="s">
        <v>122</v>
      </c>
      <c r="W284" s="32" t="s">
        <v>285</v>
      </c>
      <c r="X284" s="32" t="s">
        <v>286</v>
      </c>
      <c r="Y284" s="32" t="s">
        <v>287</v>
      </c>
      <c r="Z284" s="32" t="s">
        <v>288</v>
      </c>
    </row>
    <row r="285" spans="17:26">
      <c r="R285" s="35" t="s">
        <v>289</v>
      </c>
      <c r="W285" s="9"/>
    </row>
    <row r="286" spans="17:26">
      <c r="R286" t="s">
        <v>290</v>
      </c>
      <c r="V286" s="8" t="s">
        <v>291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679</v>
      </c>
      <c r="V287" s="8" t="s">
        <v>291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294</v>
      </c>
      <c r="V290" s="8"/>
      <c r="W290" s="9"/>
      <c r="X290" s="18"/>
    </row>
    <row r="291" spans="17:26">
      <c r="R291" t="s">
        <v>295</v>
      </c>
      <c r="V291" s="8" t="s">
        <v>296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680</v>
      </c>
      <c r="V292" s="8" t="s">
        <v>296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317</v>
      </c>
      <c r="V294" s="8"/>
      <c r="W294" s="9"/>
    </row>
    <row r="295" spans="17:26">
      <c r="R295" t="s">
        <v>310</v>
      </c>
      <c r="V295" s="8" t="s">
        <v>311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681</v>
      </c>
      <c r="V296" s="8" t="s">
        <v>291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277</v>
      </c>
      <c r="R300" s="31"/>
      <c r="S300" s="31" t="s">
        <v>685</v>
      </c>
      <c r="T300" s="31"/>
    </row>
    <row r="301" spans="17:26">
      <c r="Q301" s="31" t="s">
        <v>278</v>
      </c>
      <c r="R301" s="31" t="s">
        <v>416</v>
      </c>
      <c r="S301" s="32" t="s">
        <v>280</v>
      </c>
      <c r="T301" s="33">
        <v>15</v>
      </c>
      <c r="U301" s="32" t="s">
        <v>281</v>
      </c>
      <c r="V301" s="33">
        <f>T301</f>
        <v>15</v>
      </c>
      <c r="W301" s="31" t="s">
        <v>282</v>
      </c>
      <c r="Y301" s="32" t="s">
        <v>203</v>
      </c>
      <c r="Z301" s="34">
        <f>Z307+Z314+Z319</f>
        <v>424.92179999999996</v>
      </c>
    </row>
    <row r="302" spans="17:26">
      <c r="Q302" s="31" t="s">
        <v>283</v>
      </c>
      <c r="R302" s="31" t="s">
        <v>284</v>
      </c>
      <c r="V302" s="32" t="s">
        <v>122</v>
      </c>
      <c r="W302" s="32" t="s">
        <v>285</v>
      </c>
      <c r="X302" s="32" t="s">
        <v>286</v>
      </c>
      <c r="Y302" s="32" t="s">
        <v>287</v>
      </c>
      <c r="Z302" s="32" t="s">
        <v>288</v>
      </c>
    </row>
    <row r="303" spans="17:26">
      <c r="R303" s="35" t="s">
        <v>289</v>
      </c>
    </row>
    <row r="304" spans="17:26">
      <c r="R304" t="s">
        <v>290</v>
      </c>
      <c r="V304" s="8" t="s">
        <v>291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292</v>
      </c>
      <c r="V305" s="8" t="s">
        <v>291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293</v>
      </c>
      <c r="V306" s="8" t="s">
        <v>291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653</v>
      </c>
      <c r="V308" s="8"/>
      <c r="W308" s="9"/>
      <c r="X308" s="10"/>
      <c r="Z308" s="12"/>
    </row>
    <row r="309" spans="17:26">
      <c r="R309" t="s">
        <v>672</v>
      </c>
      <c r="V309" s="8" t="s">
        <v>203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673</v>
      </c>
      <c r="V310" s="8" t="s">
        <v>203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306</v>
      </c>
      <c r="V311" s="8" t="s">
        <v>307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655</v>
      </c>
      <c r="V312" s="8" t="s">
        <v>203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665</v>
      </c>
      <c r="V313" s="8" t="s">
        <v>439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309</v>
      </c>
    </row>
    <row r="316" spans="17:26">
      <c r="R316" t="s">
        <v>310</v>
      </c>
      <c r="V316" s="8" t="s">
        <v>311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667</v>
      </c>
      <c r="V317" s="8" t="s">
        <v>337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675</v>
      </c>
      <c r="V318" s="8" t="s">
        <v>337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277</v>
      </c>
      <c r="R321" s="31"/>
      <c r="S321" s="31" t="s">
        <v>686</v>
      </c>
      <c r="T321" s="31"/>
    </row>
    <row r="322" spans="17:26">
      <c r="Q322" s="31" t="s">
        <v>278</v>
      </c>
      <c r="R322" s="31" t="s">
        <v>279</v>
      </c>
      <c r="S322" s="32" t="s">
        <v>280</v>
      </c>
      <c r="T322" s="33">
        <v>20</v>
      </c>
      <c r="U322" s="32" t="s">
        <v>281</v>
      </c>
      <c r="V322" s="33">
        <f>T322</f>
        <v>20</v>
      </c>
      <c r="W322" s="31" t="s">
        <v>282</v>
      </c>
      <c r="Y322" s="32" t="s">
        <v>133</v>
      </c>
      <c r="Z322" s="34">
        <f>Z327+Z332+Z335</f>
        <v>42.644480000000001</v>
      </c>
    </row>
    <row r="323" spans="17:26">
      <c r="Q323" s="31" t="s">
        <v>283</v>
      </c>
      <c r="R323" s="31" t="s">
        <v>284</v>
      </c>
      <c r="V323" s="32" t="s">
        <v>122</v>
      </c>
      <c r="W323" s="32" t="s">
        <v>285</v>
      </c>
      <c r="X323" s="32" t="s">
        <v>286</v>
      </c>
      <c r="Y323" s="32" t="s">
        <v>287</v>
      </c>
      <c r="Z323" s="32" t="s">
        <v>288</v>
      </c>
    </row>
    <row r="324" spans="17:26">
      <c r="R324" s="35" t="s">
        <v>289</v>
      </c>
    </row>
    <row r="325" spans="17:26">
      <c r="R325" t="s">
        <v>290</v>
      </c>
      <c r="V325" s="8" t="s">
        <v>291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292</v>
      </c>
      <c r="V326" s="8" t="s">
        <v>291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653</v>
      </c>
      <c r="V328" s="8"/>
      <c r="W328" s="9"/>
      <c r="X328" s="10"/>
      <c r="Z328" s="12"/>
    </row>
    <row r="329" spans="17:26">
      <c r="R329" t="s">
        <v>677</v>
      </c>
      <c r="V329" s="8" t="s">
        <v>296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301</v>
      </c>
      <c r="V330" s="8" t="s">
        <v>296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669</v>
      </c>
      <c r="V331" s="8" t="s">
        <v>305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309</v>
      </c>
    </row>
    <row r="334" spans="17:26">
      <c r="R334" t="s">
        <v>310</v>
      </c>
      <c r="V334" s="8" t="s">
        <v>311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277</v>
      </c>
      <c r="R337" s="31"/>
      <c r="S337" s="31" t="s">
        <v>687</v>
      </c>
      <c r="T337" s="31"/>
    </row>
    <row r="338" spans="17:26">
      <c r="Q338" s="31" t="s">
        <v>278</v>
      </c>
      <c r="R338" s="31" t="s">
        <v>678</v>
      </c>
      <c r="S338" s="32" t="s">
        <v>280</v>
      </c>
      <c r="T338" s="33">
        <v>250</v>
      </c>
      <c r="U338" s="32" t="s">
        <v>281</v>
      </c>
      <c r="V338" s="33">
        <f>T338</f>
        <v>250</v>
      </c>
      <c r="W338" s="31" t="s">
        <v>282</v>
      </c>
      <c r="Y338" s="32" t="s">
        <v>296</v>
      </c>
      <c r="Z338" s="34">
        <f>Z343+Z347+Z351</f>
        <v>5.5639628445000007</v>
      </c>
    </row>
    <row r="339" spans="17:26">
      <c r="Q339" s="31" t="s">
        <v>283</v>
      </c>
      <c r="R339" s="31" t="s">
        <v>284</v>
      </c>
      <c r="V339" s="32" t="s">
        <v>122</v>
      </c>
      <c r="W339" s="32" t="s">
        <v>285</v>
      </c>
      <c r="X339" s="32" t="s">
        <v>286</v>
      </c>
      <c r="Y339" s="32" t="s">
        <v>287</v>
      </c>
      <c r="Z339" s="32" t="s">
        <v>288</v>
      </c>
    </row>
    <row r="340" spans="17:26">
      <c r="R340" s="35" t="s">
        <v>289</v>
      </c>
      <c r="W340" s="9"/>
    </row>
    <row r="341" spans="17:26">
      <c r="R341" t="s">
        <v>290</v>
      </c>
      <c r="V341" s="8" t="s">
        <v>291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679</v>
      </c>
      <c r="V342" s="8" t="s">
        <v>291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294</v>
      </c>
      <c r="V344" s="8"/>
      <c r="W344" s="9"/>
      <c r="X344" s="18"/>
    </row>
    <row r="345" spans="17:26">
      <c r="R345" t="s">
        <v>295</v>
      </c>
      <c r="V345" s="8" t="s">
        <v>296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680</v>
      </c>
      <c r="V346" s="8" t="s">
        <v>296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317</v>
      </c>
      <c r="V348" s="8"/>
      <c r="W348" s="9"/>
    </row>
    <row r="349" spans="17:26">
      <c r="R349" t="s">
        <v>310</v>
      </c>
      <c r="V349" s="8" t="s">
        <v>311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681</v>
      </c>
      <c r="V350" s="8" t="s">
        <v>291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23139-EB72-4101-A763-4FF5D04B8A1A}">
  <sheetPr>
    <tabColor rgb="FFFFC000"/>
  </sheetPr>
  <dimension ref="A2:AL355"/>
  <sheetViews>
    <sheetView workbookViewId="0">
      <selection activeCell="E3" sqref="E3:K3"/>
    </sheetView>
  </sheetViews>
  <sheetFormatPr defaultRowHeight="15"/>
  <cols>
    <col min="12" max="12" width="9.28515625" bestFit="1" customWidth="1"/>
    <col min="20" max="20" width="9.28515625" bestFit="1" customWidth="1"/>
  </cols>
  <sheetData>
    <row r="2" spans="1:26">
      <c r="M2" s="25" t="s">
        <v>1377</v>
      </c>
      <c r="N2" s="25">
        <f>'Datos iniciales '!B8</f>
        <v>10</v>
      </c>
    </row>
    <row r="3" spans="1:26">
      <c r="E3" s="4" t="s">
        <v>1221</v>
      </c>
      <c r="F3" s="4" t="s">
        <v>1222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M3" s="25"/>
      <c r="N3" s="25"/>
    </row>
    <row r="4" spans="1:26">
      <c r="G4" s="23"/>
      <c r="H4" s="21"/>
      <c r="I4" s="12"/>
      <c r="K4">
        <f>SUM(J4:J37)</f>
        <v>11263.952413475306</v>
      </c>
      <c r="M4" s="25" t="s">
        <v>1368</v>
      </c>
      <c r="N4" s="25">
        <f>K4/N2</f>
        <v>1126.3952413475306</v>
      </c>
    </row>
    <row r="6" spans="1:26">
      <c r="A6" s="28"/>
      <c r="B6" s="2"/>
      <c r="G6" s="2"/>
      <c r="Q6" s="2" t="s">
        <v>277</v>
      </c>
      <c r="R6" s="2"/>
      <c r="S6" s="2" t="s">
        <v>1371</v>
      </c>
      <c r="T6" s="2"/>
    </row>
    <row r="7" spans="1:26">
      <c r="F7" s="12"/>
      <c r="I7" s="12"/>
      <c r="K7" s="12"/>
      <c r="Q7" s="2" t="s">
        <v>278</v>
      </c>
      <c r="R7" s="2" t="s">
        <v>279</v>
      </c>
      <c r="S7" s="4" t="s">
        <v>280</v>
      </c>
      <c r="T7" s="5">
        <v>500</v>
      </c>
      <c r="U7" s="4" t="s">
        <v>281</v>
      </c>
      <c r="V7" s="5">
        <f>T7</f>
        <v>500</v>
      </c>
      <c r="W7" s="2" t="s">
        <v>282</v>
      </c>
      <c r="Y7" s="4" t="s">
        <v>133</v>
      </c>
      <c r="Z7" s="6">
        <f>Z13+Z18+Z23</f>
        <v>2.8992706400000006</v>
      </c>
    </row>
    <row r="8" spans="1:26">
      <c r="A8" s="28" t="s">
        <v>456</v>
      </c>
      <c r="B8" s="2"/>
      <c r="F8" s="12"/>
      <c r="J8" s="12"/>
      <c r="Q8" s="2" t="s">
        <v>283</v>
      </c>
      <c r="R8" s="2" t="s">
        <v>284</v>
      </c>
      <c r="V8" s="4" t="s">
        <v>122</v>
      </c>
      <c r="W8" s="4" t="s">
        <v>285</v>
      </c>
      <c r="X8" s="4" t="s">
        <v>286</v>
      </c>
      <c r="Y8" s="4" t="s">
        <v>287</v>
      </c>
      <c r="Z8" s="4" t="s">
        <v>288</v>
      </c>
    </row>
    <row r="9" spans="1:26">
      <c r="A9" s="51" t="s">
        <v>458</v>
      </c>
      <c r="E9">
        <v>1</v>
      </c>
      <c r="F9" s="12">
        <v>4.3697592997811823</v>
      </c>
      <c r="G9" t="s">
        <v>203</v>
      </c>
      <c r="H9">
        <f t="shared" ref="H9:H21" si="0">E9*F9*$N$2</f>
        <v>43.697592997811824</v>
      </c>
      <c r="I9" s="12">
        <f>Z26</f>
        <v>8.4582044799999991</v>
      </c>
      <c r="J9" s="12">
        <f t="shared" ref="J9:J17" si="1">H9*I9</f>
        <v>369.60317685930858</v>
      </c>
      <c r="M9" s="12"/>
      <c r="R9" s="7" t="s">
        <v>289</v>
      </c>
    </row>
    <row r="10" spans="1:26">
      <c r="A10" s="51" t="s">
        <v>460</v>
      </c>
      <c r="E10">
        <v>1</v>
      </c>
      <c r="F10" s="12">
        <v>5.8818380743982497E-2</v>
      </c>
      <c r="G10" t="s">
        <v>203</v>
      </c>
      <c r="H10">
        <f t="shared" si="0"/>
        <v>0.58818380743982501</v>
      </c>
      <c r="I10" s="12">
        <f>Z42</f>
        <v>49.404980000000002</v>
      </c>
      <c r="J10" s="12">
        <f t="shared" si="1"/>
        <v>29.059209242888407</v>
      </c>
      <c r="R10" t="s">
        <v>1373</v>
      </c>
      <c r="V10" s="8" t="s">
        <v>291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462</v>
      </c>
      <c r="E11">
        <v>1</v>
      </c>
      <c r="F11" s="12">
        <v>0.26954048140043763</v>
      </c>
      <c r="G11" t="s">
        <v>203</v>
      </c>
      <c r="H11">
        <f t="shared" si="0"/>
        <v>2.6954048140043763</v>
      </c>
      <c r="I11" s="12">
        <f>Z53</f>
        <v>66.234217333333333</v>
      </c>
      <c r="J11" s="12">
        <f t="shared" si="1"/>
        <v>178.52802825207877</v>
      </c>
      <c r="R11" t="s">
        <v>293</v>
      </c>
      <c r="V11" s="8" t="s">
        <v>291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464</v>
      </c>
      <c r="E12">
        <v>1</v>
      </c>
      <c r="F12" s="12">
        <v>2.5797301239970829</v>
      </c>
      <c r="G12" t="s">
        <v>203</v>
      </c>
      <c r="H12">
        <f t="shared" si="0"/>
        <v>25.797301239970828</v>
      </c>
      <c r="I12" s="12">
        <f>Z70</f>
        <v>19.299630000000001</v>
      </c>
      <c r="J12" s="12">
        <f t="shared" si="1"/>
        <v>497.87836892997819</v>
      </c>
      <c r="K12" s="23"/>
      <c r="R12" t="s">
        <v>650</v>
      </c>
      <c r="V12" s="8" t="s">
        <v>291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1378</v>
      </c>
      <c r="E13">
        <v>1</v>
      </c>
      <c r="F13" s="12">
        <v>2.0536834427425243</v>
      </c>
      <c r="G13" t="s">
        <v>133</v>
      </c>
      <c r="H13">
        <f t="shared" si="0"/>
        <v>20.536834427425244</v>
      </c>
      <c r="I13" s="12">
        <f>Z87</f>
        <v>7.9303440000000007</v>
      </c>
      <c r="J13" s="12">
        <f t="shared" si="1"/>
        <v>162.86416168052523</v>
      </c>
      <c r="Z13" s="6">
        <f>SUM(Z10:Z12)</f>
        <v>1.5030880000000002</v>
      </c>
    </row>
    <row r="14" spans="1:26">
      <c r="A14" s="51" t="s">
        <v>468</v>
      </c>
      <c r="E14">
        <v>1</v>
      </c>
      <c r="F14" s="12">
        <v>2.3110594456601019</v>
      </c>
      <c r="G14" t="s">
        <v>133</v>
      </c>
      <c r="H14">
        <f t="shared" si="0"/>
        <v>23.110594456601021</v>
      </c>
      <c r="I14" s="12">
        <f>Z102</f>
        <v>12.11253</v>
      </c>
      <c r="J14" s="12">
        <f t="shared" si="1"/>
        <v>279.92776867341354</v>
      </c>
      <c r="K14" s="24"/>
      <c r="R14" s="7" t="s">
        <v>653</v>
      </c>
    </row>
    <row r="15" spans="1:26">
      <c r="A15" s="51" t="s">
        <v>470</v>
      </c>
      <c r="E15">
        <v>1</v>
      </c>
      <c r="F15" s="12">
        <v>2.3110594456601019</v>
      </c>
      <c r="G15" t="s">
        <v>203</v>
      </c>
      <c r="H15">
        <f t="shared" si="0"/>
        <v>23.110594456601021</v>
      </c>
      <c r="I15" s="12">
        <f>Z113</f>
        <v>22.910007466666666</v>
      </c>
      <c r="J15" s="12">
        <f t="shared" si="1"/>
        <v>529.46389155983468</v>
      </c>
      <c r="R15" t="s">
        <v>301</v>
      </c>
      <c r="V15" s="8" t="s">
        <v>296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475</v>
      </c>
      <c r="F16" s="12"/>
      <c r="R16" t="s">
        <v>1374</v>
      </c>
      <c r="S16" s="68"/>
      <c r="T16" s="68"/>
      <c r="U16" s="68"/>
      <c r="V16" s="8" t="s">
        <v>307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483</v>
      </c>
      <c r="E17">
        <v>1</v>
      </c>
      <c r="F17" s="12">
        <v>1</v>
      </c>
      <c r="G17" t="s">
        <v>203</v>
      </c>
      <c r="H17">
        <f t="shared" si="0"/>
        <v>10</v>
      </c>
      <c r="I17" s="12">
        <f>Z126</f>
        <v>238.34357440000002</v>
      </c>
      <c r="J17" s="12">
        <f t="shared" si="1"/>
        <v>2383.4357440000003</v>
      </c>
      <c r="R17" t="s">
        <v>308</v>
      </c>
      <c r="V17" s="8" t="s">
        <v>305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485</v>
      </c>
      <c r="F18" s="12"/>
      <c r="Z18" s="6">
        <f>SUM(Z15:Z17)</f>
        <v>1.11605</v>
      </c>
    </row>
    <row r="19" spans="1:38">
      <c r="A19" s="51" t="s">
        <v>487</v>
      </c>
      <c r="B19" s="51"/>
      <c r="C19" s="51"/>
      <c r="D19" s="51"/>
      <c r="E19" s="51">
        <v>1</v>
      </c>
      <c r="F19" s="12">
        <v>0.88460977388767326</v>
      </c>
      <c r="G19" t="s">
        <v>133</v>
      </c>
      <c r="H19">
        <f t="shared" si="0"/>
        <v>8.8460977388767326</v>
      </c>
      <c r="I19" s="62">
        <f>Z152</f>
        <v>39.620881818181815</v>
      </c>
      <c r="J19" s="59">
        <f>H19*I19</f>
        <v>350.49019306412038</v>
      </c>
      <c r="R19" s="7" t="s">
        <v>309</v>
      </c>
    </row>
    <row r="20" spans="1:38">
      <c r="A20" s="1" t="s">
        <v>489</v>
      </c>
      <c r="F20" s="12"/>
      <c r="I20" s="23"/>
      <c r="J20" s="12"/>
      <c r="K20" s="23"/>
      <c r="R20" t="s">
        <v>310</v>
      </c>
      <c r="V20" s="8" t="s">
        <v>311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491</v>
      </c>
      <c r="E21">
        <v>1</v>
      </c>
      <c r="F21" s="12">
        <v>5.1057622173595919E-2</v>
      </c>
      <c r="G21" t="s">
        <v>133</v>
      </c>
      <c r="H21">
        <f t="shared" si="0"/>
        <v>0.51057622173595918</v>
      </c>
      <c r="I21" s="27">
        <f>Z171</f>
        <v>27.126394000000001</v>
      </c>
      <c r="J21" s="12">
        <f>H21*I21</f>
        <v>13.850091757840993</v>
      </c>
      <c r="K21" s="24"/>
      <c r="R21" t="s">
        <v>1375</v>
      </c>
      <c r="V21" s="8" t="s">
        <v>337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1372</v>
      </c>
      <c r="F22" s="12"/>
      <c r="I22" s="23"/>
      <c r="J22" s="12"/>
      <c r="K22" s="24"/>
      <c r="R22" t="s">
        <v>1376</v>
      </c>
      <c r="V22" s="8" t="s">
        <v>144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494</v>
      </c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496</v>
      </c>
      <c r="E24">
        <v>1</v>
      </c>
      <c r="F24" s="12">
        <v>0.63231218088986141</v>
      </c>
      <c r="G24" t="s">
        <v>203</v>
      </c>
      <c r="H24">
        <f>E24*F24*$N$2</f>
        <v>6.3231218088986143</v>
      </c>
      <c r="I24" s="27">
        <f>Z190</f>
        <v>426.39754399999998</v>
      </c>
      <c r="J24" s="12">
        <f>H24*I24</f>
        <v>2696.1636097272062</v>
      </c>
    </row>
    <row r="25" spans="1:38">
      <c r="A25" t="s">
        <v>498</v>
      </c>
      <c r="E25">
        <v>1</v>
      </c>
      <c r="F25" s="12"/>
      <c r="G25" s="23" t="s">
        <v>296</v>
      </c>
      <c r="H25" s="199">
        <f>H24*40</f>
        <v>252.92487235594456</v>
      </c>
      <c r="I25" s="27">
        <f>Z229</f>
        <v>5.5639628445000007</v>
      </c>
      <c r="J25" s="12">
        <f>H25*I25</f>
        <v>1407.2645922383808</v>
      </c>
      <c r="K25" s="23">
        <f>H25/H24</f>
        <v>40</v>
      </c>
      <c r="Q25" s="2" t="s">
        <v>277</v>
      </c>
      <c r="R25" s="2"/>
      <c r="S25" s="2" t="s">
        <v>458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508</v>
      </c>
      <c r="F26" s="12"/>
      <c r="G26" s="23"/>
      <c r="I26" s="23"/>
      <c r="J26" s="12"/>
      <c r="Q26" s="2" t="s">
        <v>278</v>
      </c>
      <c r="R26" s="2" t="s">
        <v>416</v>
      </c>
      <c r="S26" s="4" t="s">
        <v>280</v>
      </c>
      <c r="T26" s="5">
        <v>250</v>
      </c>
      <c r="U26" s="4" t="s">
        <v>281</v>
      </c>
      <c r="V26" s="5">
        <f>T26</f>
        <v>250</v>
      </c>
      <c r="W26" s="2" t="s">
        <v>282</v>
      </c>
      <c r="Y26" s="4" t="s">
        <v>203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510</v>
      </c>
      <c r="E27">
        <v>1</v>
      </c>
      <c r="F27" s="12">
        <v>0.12020423048869439</v>
      </c>
      <c r="G27" s="23" t="s">
        <v>203</v>
      </c>
      <c r="H27">
        <f>E27*F27*$N$2</f>
        <v>1.2020423048869437</v>
      </c>
      <c r="I27" s="27">
        <f>Z245</f>
        <v>438.22651999999994</v>
      </c>
      <c r="J27" s="12">
        <f>H27*I27</f>
        <v>526.76681616338431</v>
      </c>
      <c r="Q27" s="2" t="s">
        <v>283</v>
      </c>
      <c r="R27" s="2" t="s">
        <v>284</v>
      </c>
      <c r="V27" s="4" t="s">
        <v>122</v>
      </c>
      <c r="W27" s="4" t="s">
        <v>285</v>
      </c>
      <c r="X27" s="4" t="s">
        <v>286</v>
      </c>
      <c r="Y27" s="4" t="s">
        <v>287</v>
      </c>
      <c r="Z27" s="4" t="s">
        <v>288</v>
      </c>
      <c r="AC27" s="2"/>
      <c r="AD27" s="2"/>
      <c r="AH27" s="4"/>
      <c r="AI27" s="4"/>
      <c r="AJ27" s="4"/>
      <c r="AK27" s="4"/>
      <c r="AL27" s="4"/>
    </row>
    <row r="28" spans="1:38">
      <c r="A28" t="s">
        <v>512</v>
      </c>
      <c r="E28">
        <v>1</v>
      </c>
      <c r="F28" s="12">
        <v>0.64908825674690007</v>
      </c>
      <c r="G28" s="23" t="s">
        <v>133</v>
      </c>
      <c r="H28">
        <f>E28*F28*$N$2</f>
        <v>6.4908825674690007</v>
      </c>
      <c r="I28" s="27">
        <f>Z267</f>
        <v>64.026960000000003</v>
      </c>
      <c r="J28" s="12">
        <f>H28*I28</f>
        <v>415.59147851203505</v>
      </c>
      <c r="R28" s="7" t="s">
        <v>289</v>
      </c>
      <c r="AD28" s="7"/>
    </row>
    <row r="29" spans="1:38">
      <c r="A29" t="s">
        <v>514</v>
      </c>
      <c r="E29">
        <v>1</v>
      </c>
      <c r="F29" s="12"/>
      <c r="G29" s="23" t="s">
        <v>296</v>
      </c>
      <c r="H29" s="199">
        <f>H27*50</f>
        <v>60.102115244347189</v>
      </c>
      <c r="I29" s="27">
        <f>Z283</f>
        <v>5.5639628445000007</v>
      </c>
      <c r="J29" s="12">
        <f>H29*I29</f>
        <v>334.40593609540485</v>
      </c>
      <c r="K29" s="23">
        <f>H29/H27</f>
        <v>50</v>
      </c>
      <c r="R29" t="s">
        <v>650</v>
      </c>
      <c r="V29" s="8" t="s">
        <v>291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516</v>
      </c>
      <c r="B30" s="2"/>
      <c r="F30" s="12"/>
      <c r="I30" s="23"/>
      <c r="J30" s="12"/>
      <c r="R30" t="s">
        <v>290</v>
      </c>
      <c r="V30" s="8" t="s">
        <v>291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518</v>
      </c>
      <c r="E31">
        <v>1</v>
      </c>
      <c r="F31" s="12">
        <v>8.3369803063457329E-2</v>
      </c>
      <c r="G31" t="s">
        <v>203</v>
      </c>
      <c r="H31">
        <f>E31*F31*$N$2</f>
        <v>0.83369803063457326</v>
      </c>
      <c r="I31" s="12">
        <f>Z301</f>
        <v>424.92179999999996</v>
      </c>
      <c r="J31" s="12">
        <f>H31*I31</f>
        <v>354.25646783369797</v>
      </c>
      <c r="R31" t="s">
        <v>293</v>
      </c>
      <c r="V31" s="8" t="s">
        <v>291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520</v>
      </c>
      <c r="E32">
        <v>1</v>
      </c>
      <c r="F32" s="12">
        <v>0.41684901531728669</v>
      </c>
      <c r="G32" t="s">
        <v>133</v>
      </c>
      <c r="H32">
        <f>E32*F32*$N$2</f>
        <v>4.1684901531728666</v>
      </c>
      <c r="I32" s="12">
        <f>Z322</f>
        <v>42.644480000000001</v>
      </c>
      <c r="J32" s="12">
        <f>H32*I32</f>
        <v>177.76309496717727</v>
      </c>
      <c r="Z32" s="6">
        <f>SUM(Z29:Z31)</f>
        <v>2.6196159999999997</v>
      </c>
      <c r="AD32" s="7"/>
    </row>
    <row r="33" spans="1:38">
      <c r="A33" t="s">
        <v>522</v>
      </c>
      <c r="E33">
        <v>1</v>
      </c>
      <c r="F33" s="12"/>
      <c r="G33" t="s">
        <v>296</v>
      </c>
      <c r="H33" s="199">
        <f>H31*120</f>
        <v>100.04376367614879</v>
      </c>
      <c r="I33" s="12">
        <f>Z338</f>
        <v>5.5639628445000007</v>
      </c>
      <c r="J33" s="12">
        <f>H33*I33</f>
        <v>556.63978391803062</v>
      </c>
      <c r="K33" s="23">
        <f>H33/H31</f>
        <v>119.99999999999999</v>
      </c>
      <c r="R33" s="7" t="s">
        <v>309</v>
      </c>
      <c r="AH33" s="8"/>
      <c r="AJ33" s="10"/>
      <c r="AK33" s="12"/>
      <c r="AL33" s="12"/>
    </row>
    <row r="34" spans="1:38">
      <c r="R34" t="s">
        <v>310</v>
      </c>
      <c r="V34" s="8" t="s">
        <v>311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651</v>
      </c>
      <c r="V35" s="8" t="s">
        <v>337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277</v>
      </c>
      <c r="R41" s="2"/>
      <c r="S41" s="2" t="s">
        <v>460</v>
      </c>
      <c r="T41" s="2"/>
    </row>
    <row r="42" spans="1:38">
      <c r="Q42" s="2" t="s">
        <v>278</v>
      </c>
      <c r="R42" s="2" t="s">
        <v>416</v>
      </c>
      <c r="S42" s="4" t="s">
        <v>280</v>
      </c>
      <c r="T42" s="5">
        <v>4</v>
      </c>
      <c r="U42" s="4" t="s">
        <v>281</v>
      </c>
      <c r="V42" s="5">
        <f>T42</f>
        <v>4</v>
      </c>
      <c r="W42" s="2" t="s">
        <v>282</v>
      </c>
      <c r="Y42" s="4" t="s">
        <v>203</v>
      </c>
      <c r="Z42" s="6">
        <f>Z47+Z50</f>
        <v>49.404980000000002</v>
      </c>
    </row>
    <row r="43" spans="1:38">
      <c r="Q43" s="2" t="s">
        <v>283</v>
      </c>
      <c r="R43" s="2" t="s">
        <v>284</v>
      </c>
      <c r="V43" s="4" t="s">
        <v>122</v>
      </c>
      <c r="W43" s="4" t="s">
        <v>285</v>
      </c>
      <c r="X43" s="4" t="s">
        <v>286</v>
      </c>
      <c r="Y43" s="4" t="s">
        <v>287</v>
      </c>
      <c r="Z43" s="4" t="s">
        <v>288</v>
      </c>
    </row>
    <row r="44" spans="1:38">
      <c r="R44" s="7" t="s">
        <v>289</v>
      </c>
    </row>
    <row r="45" spans="1:38">
      <c r="R45" t="s">
        <v>650</v>
      </c>
      <c r="V45" s="8" t="s">
        <v>291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293</v>
      </c>
      <c r="V46" s="8" t="s">
        <v>291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309</v>
      </c>
    </row>
    <row r="49" spans="17:26">
      <c r="R49" t="s">
        <v>310</v>
      </c>
      <c r="V49" s="8" t="s">
        <v>311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277</v>
      </c>
      <c r="R52" s="2"/>
      <c r="S52" s="2" t="s">
        <v>462</v>
      </c>
      <c r="T52" s="2"/>
    </row>
    <row r="53" spans="17:26">
      <c r="Q53" s="2" t="s">
        <v>278</v>
      </c>
      <c r="R53" s="2" t="s">
        <v>416</v>
      </c>
      <c r="S53" s="4" t="s">
        <v>280</v>
      </c>
      <c r="T53" s="5">
        <v>30</v>
      </c>
      <c r="U53" s="4" t="s">
        <v>281</v>
      </c>
      <c r="V53" s="5">
        <f>T53</f>
        <v>30</v>
      </c>
      <c r="W53" s="2" t="s">
        <v>282</v>
      </c>
      <c r="Y53" s="4" t="s">
        <v>203</v>
      </c>
      <c r="Z53" s="6">
        <f>Z59+Z63+Z67</f>
        <v>66.234217333333333</v>
      </c>
    </row>
    <row r="54" spans="17:26">
      <c r="Q54" s="2" t="s">
        <v>283</v>
      </c>
      <c r="R54" s="2" t="s">
        <v>284</v>
      </c>
      <c r="V54" s="4" t="s">
        <v>122</v>
      </c>
      <c r="W54" s="4" t="s">
        <v>285</v>
      </c>
      <c r="X54" s="4" t="s">
        <v>286</v>
      </c>
      <c r="Y54" s="4" t="s">
        <v>287</v>
      </c>
      <c r="Z54" s="4" t="s">
        <v>288</v>
      </c>
    </row>
    <row r="55" spans="17:26">
      <c r="R55" s="7" t="s">
        <v>289</v>
      </c>
    </row>
    <row r="56" spans="17:26">
      <c r="R56" t="s">
        <v>650</v>
      </c>
      <c r="V56" s="8" t="s">
        <v>291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293</v>
      </c>
      <c r="V57" s="8" t="s">
        <v>291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652</v>
      </c>
      <c r="V58" s="8" t="s">
        <v>291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653</v>
      </c>
      <c r="V60" s="8"/>
      <c r="W60" s="9"/>
      <c r="X60" s="10"/>
      <c r="Z60" s="12"/>
    </row>
    <row r="61" spans="17:26">
      <c r="R61" t="s">
        <v>654</v>
      </c>
      <c r="V61" s="8" t="s">
        <v>203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655</v>
      </c>
      <c r="V62" s="8" t="s">
        <v>203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309</v>
      </c>
    </row>
    <row r="65" spans="17:26">
      <c r="R65" t="s">
        <v>310</v>
      </c>
      <c r="V65" s="8" t="s">
        <v>311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656</v>
      </c>
      <c r="V66" s="8" t="s">
        <v>337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277</v>
      </c>
      <c r="R69" s="2"/>
      <c r="S69" s="2" t="s">
        <v>464</v>
      </c>
      <c r="T69" s="2"/>
    </row>
    <row r="70" spans="17:26">
      <c r="Q70" s="2" t="s">
        <v>278</v>
      </c>
      <c r="R70" s="2" t="s">
        <v>416</v>
      </c>
      <c r="S70" s="4" t="s">
        <v>280</v>
      </c>
      <c r="T70" s="5">
        <v>40</v>
      </c>
      <c r="U70" s="4" t="s">
        <v>281</v>
      </c>
      <c r="V70" s="5">
        <f>T70</f>
        <v>40</v>
      </c>
      <c r="W70" s="2" t="s">
        <v>282</v>
      </c>
      <c r="Y70" s="4" t="s">
        <v>203</v>
      </c>
      <c r="Z70" s="6">
        <f>Z76+Z84</f>
        <v>19.299630000000001</v>
      </c>
    </row>
    <row r="71" spans="17:26">
      <c r="Q71" s="2" t="s">
        <v>283</v>
      </c>
      <c r="R71" s="2" t="s">
        <v>284</v>
      </c>
      <c r="V71" s="4" t="s">
        <v>122</v>
      </c>
      <c r="W71" s="4" t="s">
        <v>285</v>
      </c>
      <c r="X71" s="4" t="s">
        <v>286</v>
      </c>
      <c r="Y71" s="4" t="s">
        <v>287</v>
      </c>
      <c r="Z71" s="4" t="s">
        <v>288</v>
      </c>
    </row>
    <row r="72" spans="17:26">
      <c r="R72" s="7" t="s">
        <v>289</v>
      </c>
    </row>
    <row r="73" spans="17:26">
      <c r="R73" t="s">
        <v>650</v>
      </c>
      <c r="V73" s="8" t="s">
        <v>291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293</v>
      </c>
      <c r="V74" s="8" t="s">
        <v>291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652</v>
      </c>
      <c r="V75" s="8" t="s">
        <v>291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653</v>
      </c>
      <c r="V77" s="8"/>
      <c r="W77" s="9"/>
      <c r="X77" s="10"/>
      <c r="Z77" s="12"/>
    </row>
    <row r="78" spans="17:26">
      <c r="R78" t="s">
        <v>655</v>
      </c>
      <c r="V78" s="8" t="s">
        <v>203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309</v>
      </c>
    </row>
    <row r="81" spans="17:26">
      <c r="R81" t="s">
        <v>310</v>
      </c>
      <c r="V81" s="8" t="s">
        <v>311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656</v>
      </c>
      <c r="V82" s="8" t="s">
        <v>337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657</v>
      </c>
      <c r="V83" s="8" t="s">
        <v>337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277</v>
      </c>
      <c r="R86" s="2"/>
      <c r="S86" s="2" t="s">
        <v>1345</v>
      </c>
      <c r="T86" s="2"/>
    </row>
    <row r="87" spans="17:26">
      <c r="Q87" s="2" t="s">
        <v>278</v>
      </c>
      <c r="R87" s="2" t="s">
        <v>279</v>
      </c>
      <c r="S87" s="4" t="s">
        <v>280</v>
      </c>
      <c r="T87" s="5">
        <v>500</v>
      </c>
      <c r="U87" s="4" t="s">
        <v>281</v>
      </c>
      <c r="V87" s="5">
        <f>T87</f>
        <v>500</v>
      </c>
      <c r="W87" s="2" t="s">
        <v>282</v>
      </c>
      <c r="Y87" s="4" t="s">
        <v>133</v>
      </c>
      <c r="Z87" s="6">
        <f>Z93+Z99</f>
        <v>7.9303440000000007</v>
      </c>
    </row>
    <row r="88" spans="17:26">
      <c r="Q88" s="2" t="s">
        <v>283</v>
      </c>
      <c r="R88" s="2" t="s">
        <v>284</v>
      </c>
      <c r="V88" s="4" t="s">
        <v>122</v>
      </c>
      <c r="W88" s="4" t="s">
        <v>285</v>
      </c>
      <c r="X88" s="4" t="s">
        <v>286</v>
      </c>
      <c r="Y88" s="4" t="s">
        <v>287</v>
      </c>
      <c r="Z88" s="4" t="s">
        <v>288</v>
      </c>
    </row>
    <row r="89" spans="17:26">
      <c r="R89" s="7" t="s">
        <v>289</v>
      </c>
    </row>
    <row r="90" spans="17:26">
      <c r="R90" t="s">
        <v>650</v>
      </c>
      <c r="V90" s="8" t="s">
        <v>291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292</v>
      </c>
      <c r="V91" s="8" t="s">
        <v>291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293</v>
      </c>
      <c r="V92" s="8" t="s">
        <v>291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309</v>
      </c>
    </row>
    <row r="95" spans="17:26">
      <c r="R95" t="s">
        <v>310</v>
      </c>
      <c r="V95" s="8" t="s">
        <v>311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656</v>
      </c>
      <c r="V96" s="8" t="s">
        <v>337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658</v>
      </c>
      <c r="V97" s="8" t="s">
        <v>337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659</v>
      </c>
      <c r="S98" s="69"/>
      <c r="T98" s="69"/>
      <c r="U98" s="69"/>
      <c r="V98" s="8" t="s">
        <v>337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277</v>
      </c>
      <c r="R101" s="2"/>
      <c r="S101" s="2" t="s">
        <v>468</v>
      </c>
      <c r="T101" s="2"/>
    </row>
    <row r="102" spans="17:26">
      <c r="Q102" s="2" t="s">
        <v>278</v>
      </c>
      <c r="R102" s="2" t="s">
        <v>313</v>
      </c>
      <c r="S102" s="4" t="s">
        <v>280</v>
      </c>
      <c r="T102" s="5">
        <v>80</v>
      </c>
      <c r="U102" s="4" t="s">
        <v>281</v>
      </c>
      <c r="V102" s="5">
        <f>T102</f>
        <v>80</v>
      </c>
      <c r="W102" s="2" t="s">
        <v>282</v>
      </c>
      <c r="Y102" s="4" t="s">
        <v>144</v>
      </c>
      <c r="Z102" s="6">
        <f>Z106+Z110</f>
        <v>12.11253</v>
      </c>
    </row>
    <row r="103" spans="17:26">
      <c r="Q103" s="2" t="s">
        <v>283</v>
      </c>
      <c r="R103" s="2" t="s">
        <v>284</v>
      </c>
      <c r="V103" s="4" t="s">
        <v>122</v>
      </c>
      <c r="W103" s="4" t="s">
        <v>285</v>
      </c>
      <c r="X103" s="4" t="s">
        <v>286</v>
      </c>
      <c r="Y103" s="4" t="s">
        <v>287</v>
      </c>
      <c r="Z103" s="4" t="s">
        <v>288</v>
      </c>
    </row>
    <row r="104" spans="17:26">
      <c r="R104" s="7" t="s">
        <v>289</v>
      </c>
    </row>
    <row r="105" spans="17:26">
      <c r="R105" t="s">
        <v>293</v>
      </c>
      <c r="V105" s="8" t="s">
        <v>291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309</v>
      </c>
    </row>
    <row r="108" spans="17:26">
      <c r="R108" t="s">
        <v>310</v>
      </c>
      <c r="V108" s="8" t="s">
        <v>311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660</v>
      </c>
      <c r="V109" s="8" t="s">
        <v>337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277</v>
      </c>
      <c r="R112" s="2"/>
      <c r="S112" s="2" t="s">
        <v>470</v>
      </c>
      <c r="T112" s="2"/>
    </row>
    <row r="113" spans="17:26">
      <c r="Q113" s="2" t="s">
        <v>278</v>
      </c>
      <c r="R113" s="2" t="s">
        <v>416</v>
      </c>
      <c r="S113" s="4" t="s">
        <v>280</v>
      </c>
      <c r="T113" s="5">
        <v>187.5</v>
      </c>
      <c r="U113" s="4" t="s">
        <v>281</v>
      </c>
      <c r="V113" s="5">
        <f>T113</f>
        <v>187.5</v>
      </c>
      <c r="W113" s="2" t="s">
        <v>282</v>
      </c>
      <c r="Y113" s="4" t="s">
        <v>203</v>
      </c>
      <c r="Z113" s="6">
        <f>Z118+Z123</f>
        <v>22.910007466666666</v>
      </c>
    </row>
    <row r="114" spans="17:26">
      <c r="Q114" s="2" t="s">
        <v>283</v>
      </c>
      <c r="R114" s="2" t="s">
        <v>284</v>
      </c>
      <c r="V114" s="4" t="s">
        <v>122</v>
      </c>
      <c r="W114" s="4" t="s">
        <v>285</v>
      </c>
      <c r="X114" s="4" t="s">
        <v>286</v>
      </c>
      <c r="Y114" s="4" t="s">
        <v>287</v>
      </c>
      <c r="Z114" s="4" t="s">
        <v>288</v>
      </c>
    </row>
    <row r="115" spans="17:26">
      <c r="R115" s="7" t="s">
        <v>289</v>
      </c>
    </row>
    <row r="116" spans="17:26">
      <c r="R116" t="s">
        <v>292</v>
      </c>
      <c r="V116" s="8" t="s">
        <v>291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293</v>
      </c>
      <c r="V117" s="8" t="s">
        <v>291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309</v>
      </c>
    </row>
    <row r="120" spans="17:26">
      <c r="R120" t="s">
        <v>310</v>
      </c>
      <c r="V120" s="8" t="s">
        <v>311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661</v>
      </c>
      <c r="V121" s="8" t="s">
        <v>337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662</v>
      </c>
      <c r="V122" s="8" t="s">
        <v>337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277</v>
      </c>
      <c r="R125" s="31"/>
      <c r="S125" s="31" t="s">
        <v>483</v>
      </c>
      <c r="T125" s="31"/>
    </row>
    <row r="126" spans="17:26">
      <c r="Q126" s="31" t="s">
        <v>278</v>
      </c>
      <c r="R126" s="31" t="s">
        <v>279</v>
      </c>
      <c r="S126" s="32" t="s">
        <v>280</v>
      </c>
      <c r="T126" s="33">
        <v>50</v>
      </c>
      <c r="U126" s="32" t="s">
        <v>281</v>
      </c>
      <c r="V126" s="33">
        <f>T126</f>
        <v>50</v>
      </c>
      <c r="W126" s="31" t="s">
        <v>282</v>
      </c>
      <c r="Y126" s="32" t="s">
        <v>133</v>
      </c>
      <c r="Z126" s="34">
        <f>Z134+Z141+Z145</f>
        <v>238.34357440000002</v>
      </c>
    </row>
    <row r="127" spans="17:26">
      <c r="Q127" s="31" t="s">
        <v>283</v>
      </c>
      <c r="R127" s="31" t="s">
        <v>284</v>
      </c>
      <c r="V127" s="32" t="s">
        <v>122</v>
      </c>
      <c r="W127" s="32" t="s">
        <v>285</v>
      </c>
      <c r="X127" s="32" t="s">
        <v>286</v>
      </c>
      <c r="Y127" s="32" t="s">
        <v>287</v>
      </c>
      <c r="Z127" s="32" t="s">
        <v>288</v>
      </c>
    </row>
    <row r="128" spans="17:26">
      <c r="R128" s="35" t="s">
        <v>289</v>
      </c>
    </row>
    <row r="129" spans="18:26">
      <c r="R129" t="s">
        <v>650</v>
      </c>
      <c r="V129" s="8" t="s">
        <v>291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290</v>
      </c>
      <c r="V130" s="8" t="s">
        <v>291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292</v>
      </c>
      <c r="V131" s="8" t="s">
        <v>291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293</v>
      </c>
      <c r="V132" s="8" t="s">
        <v>291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652</v>
      </c>
      <c r="V133" s="8" t="s">
        <v>291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653</v>
      </c>
      <c r="V135" s="8"/>
      <c r="W135" s="9"/>
      <c r="X135" s="10"/>
      <c r="Z135" s="12"/>
    </row>
    <row r="136" spans="18:26">
      <c r="R136" t="s">
        <v>306</v>
      </c>
      <c r="V136" s="8" t="s">
        <v>307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655</v>
      </c>
      <c r="V137" s="8" t="s">
        <v>203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665</v>
      </c>
      <c r="V138" s="8" t="s">
        <v>439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302</v>
      </c>
      <c r="V139" s="8" t="s">
        <v>203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666</v>
      </c>
      <c r="V140" s="8" t="s">
        <v>203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309</v>
      </c>
    </row>
    <row r="143" spans="18:26">
      <c r="R143" t="s">
        <v>310</v>
      </c>
      <c r="V143" s="8" t="s">
        <v>311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667</v>
      </c>
      <c r="V144" s="8" t="s">
        <v>337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277</v>
      </c>
      <c r="R151" s="31"/>
      <c r="S151" s="31" t="s">
        <v>668</v>
      </c>
      <c r="T151" s="31"/>
    </row>
    <row r="152" spans="17:26">
      <c r="Q152" s="31" t="s">
        <v>278</v>
      </c>
      <c r="R152" s="31" t="s">
        <v>279</v>
      </c>
      <c r="S152" s="32" t="s">
        <v>280</v>
      </c>
      <c r="T152" s="33">
        <v>110</v>
      </c>
      <c r="U152" s="32" t="s">
        <v>281</v>
      </c>
      <c r="V152" s="33">
        <f>T152</f>
        <v>110</v>
      </c>
      <c r="W152" s="31" t="s">
        <v>282</v>
      </c>
      <c r="Y152" s="32" t="s">
        <v>133</v>
      </c>
      <c r="Z152" s="34">
        <f>Z158+Z164+Z168</f>
        <v>39.620881818181815</v>
      </c>
    </row>
    <row r="153" spans="17:26">
      <c r="Q153" s="31" t="s">
        <v>283</v>
      </c>
      <c r="R153" s="31" t="s">
        <v>284</v>
      </c>
      <c r="V153" s="32" t="s">
        <v>122</v>
      </c>
      <c r="W153" s="32" t="s">
        <v>285</v>
      </c>
      <c r="X153" s="32" t="s">
        <v>286</v>
      </c>
      <c r="Y153" s="32" t="s">
        <v>287</v>
      </c>
      <c r="Z153" s="32" t="s">
        <v>288</v>
      </c>
    </row>
    <row r="154" spans="17:26">
      <c r="R154" s="35" t="s">
        <v>289</v>
      </c>
    </row>
    <row r="155" spans="17:26">
      <c r="R155" t="s">
        <v>290</v>
      </c>
      <c r="V155" s="8" t="s">
        <v>291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292</v>
      </c>
      <c r="V156" s="8" t="s">
        <v>291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293</v>
      </c>
      <c r="V157" s="8" t="s">
        <v>291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653</v>
      </c>
      <c r="V159" s="8"/>
      <c r="W159" s="9"/>
      <c r="X159" s="10"/>
      <c r="Z159" s="12"/>
    </row>
    <row r="160" spans="17:26">
      <c r="R160" t="s">
        <v>306</v>
      </c>
      <c r="V160" s="8" t="s">
        <v>307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655</v>
      </c>
      <c r="V161" s="8" t="s">
        <v>203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302</v>
      </c>
      <c r="V162" s="8" t="s">
        <v>203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669</v>
      </c>
      <c r="V163" s="8" t="s">
        <v>305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309</v>
      </c>
    </row>
    <row r="166" spans="17:26">
      <c r="R166" t="s">
        <v>310</v>
      </c>
      <c r="V166" s="8" t="s">
        <v>311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667</v>
      </c>
      <c r="V167" s="8" t="s">
        <v>337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277</v>
      </c>
      <c r="R170" s="31"/>
      <c r="S170" s="31" t="s">
        <v>670</v>
      </c>
      <c r="T170" s="31"/>
    </row>
    <row r="171" spans="17:26">
      <c r="Q171" s="31" t="s">
        <v>278</v>
      </c>
      <c r="R171" s="31" t="s">
        <v>279</v>
      </c>
      <c r="S171" s="32" t="s">
        <v>280</v>
      </c>
      <c r="T171" s="33">
        <v>120</v>
      </c>
      <c r="U171" s="32" t="s">
        <v>281</v>
      </c>
      <c r="V171" s="33">
        <f>T171</f>
        <v>120</v>
      </c>
      <c r="W171" s="31" t="s">
        <v>282</v>
      </c>
      <c r="Y171" s="32" t="s">
        <v>133</v>
      </c>
      <c r="Z171" s="34">
        <f>Z177+Z183+Z187</f>
        <v>27.126394000000001</v>
      </c>
    </row>
    <row r="172" spans="17:26">
      <c r="Q172" s="31" t="s">
        <v>283</v>
      </c>
      <c r="R172" s="31" t="s">
        <v>284</v>
      </c>
      <c r="V172" s="32" t="s">
        <v>122</v>
      </c>
      <c r="W172" s="32" t="s">
        <v>285</v>
      </c>
      <c r="X172" s="32" t="s">
        <v>286</v>
      </c>
      <c r="Y172" s="32" t="s">
        <v>287</v>
      </c>
      <c r="Z172" s="32" t="s">
        <v>288</v>
      </c>
    </row>
    <row r="173" spans="17:26">
      <c r="R173" s="35" t="s">
        <v>289</v>
      </c>
    </row>
    <row r="174" spans="17:26">
      <c r="R174" t="s">
        <v>290</v>
      </c>
      <c r="V174" s="8" t="s">
        <v>291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292</v>
      </c>
      <c r="V175" s="8" t="s">
        <v>291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293</v>
      </c>
      <c r="V176" s="8" t="s">
        <v>291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653</v>
      </c>
      <c r="V178" s="8"/>
      <c r="W178" s="9"/>
      <c r="X178" s="10"/>
      <c r="Z178" s="12"/>
    </row>
    <row r="179" spans="17:26">
      <c r="R179" t="s">
        <v>306</v>
      </c>
      <c r="V179" s="8" t="s">
        <v>307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655</v>
      </c>
      <c r="V180" s="8" t="s">
        <v>203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665</v>
      </c>
      <c r="V181" s="8" t="s">
        <v>439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302</v>
      </c>
      <c r="V182" s="8" t="s">
        <v>203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309</v>
      </c>
    </row>
    <row r="185" spans="17:26">
      <c r="R185" t="s">
        <v>310</v>
      </c>
      <c r="V185" s="8" t="s">
        <v>311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667</v>
      </c>
      <c r="V186" s="8" t="s">
        <v>337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277</v>
      </c>
      <c r="R189" s="31"/>
      <c r="S189" s="31" t="s">
        <v>496</v>
      </c>
      <c r="T189" s="31"/>
    </row>
    <row r="190" spans="17:26">
      <c r="Q190" s="31" t="s">
        <v>278</v>
      </c>
      <c r="R190" s="31" t="s">
        <v>416</v>
      </c>
      <c r="S190" s="32" t="s">
        <v>280</v>
      </c>
      <c r="T190" s="33">
        <v>25</v>
      </c>
      <c r="U190" s="32" t="s">
        <v>281</v>
      </c>
      <c r="V190" s="33">
        <f>T190</f>
        <v>25</v>
      </c>
      <c r="W190" s="31" t="s">
        <v>282</v>
      </c>
      <c r="Y190" s="32" t="s">
        <v>203</v>
      </c>
      <c r="Z190" s="34">
        <f>Z196+Z204+Z209</f>
        <v>426.39754399999998</v>
      </c>
    </row>
    <row r="191" spans="17:26">
      <c r="Q191" s="31" t="s">
        <v>283</v>
      </c>
      <c r="R191" s="31" t="s">
        <v>284</v>
      </c>
      <c r="V191" s="32" t="s">
        <v>122</v>
      </c>
      <c r="W191" s="32" t="s">
        <v>285</v>
      </c>
      <c r="X191" s="32" t="s">
        <v>286</v>
      </c>
      <c r="Y191" s="32" t="s">
        <v>287</v>
      </c>
      <c r="Z191" s="32" t="s">
        <v>288</v>
      </c>
    </row>
    <row r="192" spans="17:26">
      <c r="R192" s="35" t="s">
        <v>289</v>
      </c>
    </row>
    <row r="193" spans="18:26">
      <c r="R193" t="s">
        <v>290</v>
      </c>
      <c r="V193" s="8" t="s">
        <v>291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292</v>
      </c>
      <c r="V194" s="8" t="s">
        <v>291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293</v>
      </c>
      <c r="V195" s="8" t="s">
        <v>291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653</v>
      </c>
      <c r="V197" s="8"/>
      <c r="W197" s="9"/>
      <c r="X197" s="10"/>
      <c r="Z197" s="12"/>
    </row>
    <row r="198" spans="18:26">
      <c r="R198" t="s">
        <v>672</v>
      </c>
      <c r="V198" s="8" t="s">
        <v>203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673</v>
      </c>
      <c r="V199" s="8" t="s">
        <v>203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306</v>
      </c>
      <c r="V200" s="8" t="s">
        <v>307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655</v>
      </c>
      <c r="V201" s="8" t="s">
        <v>203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665</v>
      </c>
      <c r="V202" s="8" t="s">
        <v>439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674</v>
      </c>
      <c r="V203" s="8" t="s">
        <v>439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309</v>
      </c>
    </row>
    <row r="206" spans="18:26">
      <c r="R206" t="s">
        <v>310</v>
      </c>
      <c r="V206" s="8" t="s">
        <v>311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667</v>
      </c>
      <c r="V207" s="8" t="s">
        <v>337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675</v>
      </c>
      <c r="V208" s="8" t="s">
        <v>337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277</v>
      </c>
      <c r="R211" s="31"/>
      <c r="S211" s="31" t="s">
        <v>676</v>
      </c>
      <c r="T211" s="31"/>
    </row>
    <row r="212" spans="17:26">
      <c r="Q212" s="31" t="s">
        <v>278</v>
      </c>
      <c r="R212" s="31" t="s">
        <v>279</v>
      </c>
      <c r="S212" s="32" t="s">
        <v>280</v>
      </c>
      <c r="T212" s="33">
        <v>8</v>
      </c>
      <c r="U212" s="32" t="s">
        <v>281</v>
      </c>
      <c r="V212" s="33">
        <f>T212</f>
        <v>8</v>
      </c>
      <c r="W212" s="31" t="s">
        <v>282</v>
      </c>
      <c r="Y212" s="32" t="s">
        <v>133</v>
      </c>
      <c r="Z212" s="34">
        <f>Z217+Z222+Z225</f>
        <v>75.114200000000011</v>
      </c>
    </row>
    <row r="213" spans="17:26">
      <c r="Q213" s="31" t="s">
        <v>283</v>
      </c>
      <c r="R213" s="31" t="s">
        <v>284</v>
      </c>
      <c r="V213" s="32" t="s">
        <v>122</v>
      </c>
      <c r="W213" s="32" t="s">
        <v>285</v>
      </c>
      <c r="X213" s="32" t="s">
        <v>286</v>
      </c>
      <c r="Y213" s="32" t="s">
        <v>287</v>
      </c>
      <c r="Z213" s="32" t="s">
        <v>288</v>
      </c>
    </row>
    <row r="214" spans="17:26">
      <c r="R214" s="35" t="s">
        <v>289</v>
      </c>
    </row>
    <row r="215" spans="17:26">
      <c r="R215" t="s">
        <v>290</v>
      </c>
      <c r="V215" s="8" t="s">
        <v>291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292</v>
      </c>
      <c r="V216" s="8" t="s">
        <v>291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653</v>
      </c>
      <c r="V218" s="8"/>
      <c r="W218" s="9"/>
      <c r="X218" s="10"/>
      <c r="Z218" s="12"/>
    </row>
    <row r="219" spans="17:26">
      <c r="R219" t="s">
        <v>677</v>
      </c>
      <c r="V219" s="8" t="s">
        <v>296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301</v>
      </c>
      <c r="V220" s="8" t="s">
        <v>296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669</v>
      </c>
      <c r="V221" s="8" t="s">
        <v>305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309</v>
      </c>
    </row>
    <row r="224" spans="17:26">
      <c r="R224" t="s">
        <v>310</v>
      </c>
      <c r="V224" s="8" t="s">
        <v>311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277</v>
      </c>
      <c r="R228" s="31"/>
      <c r="S228" s="31" t="s">
        <v>498</v>
      </c>
      <c r="T228" s="31"/>
    </row>
    <row r="229" spans="17:26">
      <c r="Q229" s="31" t="s">
        <v>278</v>
      </c>
      <c r="R229" s="31" t="s">
        <v>678</v>
      </c>
      <c r="S229" s="32" t="s">
        <v>280</v>
      </c>
      <c r="T229" s="33">
        <v>250</v>
      </c>
      <c r="U229" s="32" t="s">
        <v>281</v>
      </c>
      <c r="V229" s="33">
        <f>T229</f>
        <v>250</v>
      </c>
      <c r="W229" s="31" t="s">
        <v>282</v>
      </c>
      <c r="Y229" s="32" t="s">
        <v>296</v>
      </c>
      <c r="Z229" s="34">
        <f>Z234+Z238+Z242</f>
        <v>5.5639628445000007</v>
      </c>
    </row>
    <row r="230" spans="17:26">
      <c r="Q230" s="31" t="s">
        <v>283</v>
      </c>
      <c r="R230" s="31" t="s">
        <v>284</v>
      </c>
      <c r="V230" s="32" t="s">
        <v>122</v>
      </c>
      <c r="W230" s="32" t="s">
        <v>285</v>
      </c>
      <c r="X230" s="32" t="s">
        <v>286</v>
      </c>
      <c r="Y230" s="32" t="s">
        <v>287</v>
      </c>
      <c r="Z230" s="32" t="s">
        <v>288</v>
      </c>
    </row>
    <row r="231" spans="17:26">
      <c r="R231" s="35" t="s">
        <v>289</v>
      </c>
      <c r="W231" s="9"/>
    </row>
    <row r="232" spans="17:26">
      <c r="R232" t="s">
        <v>290</v>
      </c>
      <c r="V232" s="8" t="s">
        <v>291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679</v>
      </c>
      <c r="V233" s="8" t="s">
        <v>291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294</v>
      </c>
      <c r="V235" s="8"/>
      <c r="W235" s="9"/>
      <c r="X235" s="18"/>
    </row>
    <row r="236" spans="17:26">
      <c r="R236" t="s">
        <v>295</v>
      </c>
      <c r="V236" s="8" t="s">
        <v>296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680</v>
      </c>
      <c r="V237" s="8" t="s">
        <v>296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317</v>
      </c>
      <c r="V239" s="8"/>
      <c r="W239" s="9"/>
    </row>
    <row r="240" spans="17:26">
      <c r="R240" t="s">
        <v>310</v>
      </c>
      <c r="V240" s="8" t="s">
        <v>311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681</v>
      </c>
      <c r="V241" s="8" t="s">
        <v>291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277</v>
      </c>
      <c r="R244" s="31"/>
      <c r="S244" s="31" t="s">
        <v>510</v>
      </c>
      <c r="T244" s="31"/>
    </row>
    <row r="245" spans="17:26">
      <c r="Q245" s="31" t="s">
        <v>278</v>
      </c>
      <c r="R245" s="31" t="s">
        <v>416</v>
      </c>
      <c r="S245" s="32" t="s">
        <v>280</v>
      </c>
      <c r="T245" s="33">
        <v>20</v>
      </c>
      <c r="U245" s="32" t="s">
        <v>281</v>
      </c>
      <c r="V245" s="33">
        <f>T245</f>
        <v>20</v>
      </c>
      <c r="W245" s="31" t="s">
        <v>282</v>
      </c>
      <c r="Y245" s="32" t="s">
        <v>203</v>
      </c>
      <c r="Z245" s="34">
        <f>Z251+Z259+Z264</f>
        <v>438.22651999999994</v>
      </c>
    </row>
    <row r="246" spans="17:26">
      <c r="Q246" s="31" t="s">
        <v>283</v>
      </c>
      <c r="R246" s="31" t="s">
        <v>284</v>
      </c>
      <c r="V246" s="32" t="s">
        <v>122</v>
      </c>
      <c r="W246" s="32" t="s">
        <v>285</v>
      </c>
      <c r="X246" s="32" t="s">
        <v>286</v>
      </c>
      <c r="Y246" s="32" t="s">
        <v>287</v>
      </c>
      <c r="Z246" s="32" t="s">
        <v>288</v>
      </c>
    </row>
    <row r="247" spans="17:26">
      <c r="R247" s="35" t="s">
        <v>289</v>
      </c>
    </row>
    <row r="248" spans="17:26">
      <c r="R248" t="s">
        <v>290</v>
      </c>
      <c r="V248" s="8" t="s">
        <v>291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292</v>
      </c>
      <c r="V249" s="8" t="s">
        <v>291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293</v>
      </c>
      <c r="V250" s="8" t="s">
        <v>291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653</v>
      </c>
      <c r="V252" s="8"/>
      <c r="W252" s="9"/>
      <c r="X252" s="10"/>
      <c r="Z252" s="12"/>
    </row>
    <row r="253" spans="17:26">
      <c r="R253" t="s">
        <v>672</v>
      </c>
      <c r="V253" s="8" t="s">
        <v>203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673</v>
      </c>
      <c r="V254" s="8" t="s">
        <v>203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306</v>
      </c>
      <c r="V255" s="8" t="s">
        <v>307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655</v>
      </c>
      <c r="V256" s="8" t="s">
        <v>203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665</v>
      </c>
      <c r="V257" s="8" t="s">
        <v>439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674</v>
      </c>
      <c r="V258" s="8" t="s">
        <v>439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309</v>
      </c>
    </row>
    <row r="261" spans="17:29">
      <c r="R261" t="s">
        <v>310</v>
      </c>
      <c r="V261" s="8" t="s">
        <v>311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667</v>
      </c>
      <c r="V262" s="8" t="s">
        <v>337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675</v>
      </c>
      <c r="V263" s="8" t="s">
        <v>337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277</v>
      </c>
      <c r="R266" s="31"/>
      <c r="S266" s="31" t="s">
        <v>512</v>
      </c>
      <c r="T266" s="31"/>
    </row>
    <row r="267" spans="17:29">
      <c r="Q267" s="31" t="s">
        <v>278</v>
      </c>
      <c r="R267" s="31" t="s">
        <v>279</v>
      </c>
      <c r="S267" s="32" t="s">
        <v>280</v>
      </c>
      <c r="T267" s="33">
        <v>20</v>
      </c>
      <c r="U267" s="32" t="s">
        <v>281</v>
      </c>
      <c r="V267" s="33">
        <f>T267</f>
        <v>20</v>
      </c>
      <c r="W267" s="31" t="s">
        <v>282</v>
      </c>
      <c r="Y267" s="32" t="s">
        <v>133</v>
      </c>
      <c r="Z267" s="34">
        <f>Z272+Z277+Z280</f>
        <v>64.026960000000003</v>
      </c>
    </row>
    <row r="268" spans="17:29">
      <c r="Q268" s="31" t="s">
        <v>283</v>
      </c>
      <c r="R268" s="31" t="s">
        <v>284</v>
      </c>
      <c r="V268" s="32" t="s">
        <v>122</v>
      </c>
      <c r="W268" s="32" t="s">
        <v>285</v>
      </c>
      <c r="X268" s="32" t="s">
        <v>286</v>
      </c>
      <c r="Y268" s="32" t="s">
        <v>287</v>
      </c>
      <c r="Z268" s="32" t="s">
        <v>288</v>
      </c>
    </row>
    <row r="269" spans="17:29">
      <c r="R269" s="35" t="s">
        <v>289</v>
      </c>
      <c r="AC269" s="12"/>
    </row>
    <row r="270" spans="17:29">
      <c r="R270" t="s">
        <v>290</v>
      </c>
      <c r="V270" s="8" t="s">
        <v>291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292</v>
      </c>
      <c r="V271" s="8" t="s">
        <v>291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653</v>
      </c>
      <c r="V273" s="8"/>
      <c r="W273" s="9"/>
      <c r="X273" s="10"/>
      <c r="Z273" s="12"/>
    </row>
    <row r="274" spans="17:26">
      <c r="R274" t="s">
        <v>677</v>
      </c>
      <c r="V274" s="8" t="s">
        <v>296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301</v>
      </c>
      <c r="V275" s="8" t="s">
        <v>296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669</v>
      </c>
      <c r="V276" s="8" t="s">
        <v>305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309</v>
      </c>
    </row>
    <row r="279" spans="17:26">
      <c r="R279" t="s">
        <v>310</v>
      </c>
      <c r="V279" s="8" t="s">
        <v>311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277</v>
      </c>
      <c r="R282" s="31"/>
      <c r="S282" s="31" t="s">
        <v>684</v>
      </c>
      <c r="T282" s="31"/>
    </row>
    <row r="283" spans="17:26">
      <c r="Q283" s="31" t="s">
        <v>278</v>
      </c>
      <c r="R283" s="31" t="s">
        <v>678</v>
      </c>
      <c r="S283" s="32" t="s">
        <v>280</v>
      </c>
      <c r="T283" s="33">
        <v>250</v>
      </c>
      <c r="U283" s="32" t="s">
        <v>281</v>
      </c>
      <c r="V283" s="33">
        <f>T283</f>
        <v>250</v>
      </c>
      <c r="W283" s="31" t="s">
        <v>282</v>
      </c>
      <c r="Y283" s="32" t="s">
        <v>296</v>
      </c>
      <c r="Z283" s="34">
        <f>Z289+Z293+Z297</f>
        <v>5.5639628445000007</v>
      </c>
    </row>
    <row r="284" spans="17:26">
      <c r="Q284" s="31" t="s">
        <v>283</v>
      </c>
      <c r="R284" s="31" t="s">
        <v>284</v>
      </c>
      <c r="V284" s="32" t="s">
        <v>122</v>
      </c>
      <c r="W284" s="32" t="s">
        <v>285</v>
      </c>
      <c r="X284" s="32" t="s">
        <v>286</v>
      </c>
      <c r="Y284" s="32" t="s">
        <v>287</v>
      </c>
      <c r="Z284" s="32" t="s">
        <v>288</v>
      </c>
    </row>
    <row r="285" spans="17:26">
      <c r="R285" s="35" t="s">
        <v>289</v>
      </c>
      <c r="W285" s="9"/>
    </row>
    <row r="286" spans="17:26">
      <c r="R286" t="s">
        <v>290</v>
      </c>
      <c r="V286" s="8" t="s">
        <v>291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679</v>
      </c>
      <c r="V287" s="8" t="s">
        <v>291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294</v>
      </c>
      <c r="V290" s="8"/>
      <c r="W290" s="9"/>
      <c r="X290" s="18"/>
    </row>
    <row r="291" spans="17:26">
      <c r="R291" t="s">
        <v>295</v>
      </c>
      <c r="V291" s="8" t="s">
        <v>296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680</v>
      </c>
      <c r="V292" s="8" t="s">
        <v>296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317</v>
      </c>
      <c r="V294" s="8"/>
      <c r="W294" s="9"/>
    </row>
    <row r="295" spans="17:26">
      <c r="R295" t="s">
        <v>310</v>
      </c>
      <c r="V295" s="8" t="s">
        <v>311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681</v>
      </c>
      <c r="V296" s="8" t="s">
        <v>291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277</v>
      </c>
      <c r="R300" s="31"/>
      <c r="S300" s="31" t="s">
        <v>685</v>
      </c>
      <c r="T300" s="31"/>
    </row>
    <row r="301" spans="17:26">
      <c r="Q301" s="31" t="s">
        <v>278</v>
      </c>
      <c r="R301" s="31" t="s">
        <v>416</v>
      </c>
      <c r="S301" s="32" t="s">
        <v>280</v>
      </c>
      <c r="T301" s="33">
        <v>15</v>
      </c>
      <c r="U301" s="32" t="s">
        <v>281</v>
      </c>
      <c r="V301" s="33">
        <f>T301</f>
        <v>15</v>
      </c>
      <c r="W301" s="31" t="s">
        <v>282</v>
      </c>
      <c r="Y301" s="32" t="s">
        <v>203</v>
      </c>
      <c r="Z301" s="34">
        <f>Z307+Z314+Z319</f>
        <v>424.92179999999996</v>
      </c>
    </row>
    <row r="302" spans="17:26">
      <c r="Q302" s="31" t="s">
        <v>283</v>
      </c>
      <c r="R302" s="31" t="s">
        <v>284</v>
      </c>
      <c r="V302" s="32" t="s">
        <v>122</v>
      </c>
      <c r="W302" s="32" t="s">
        <v>285</v>
      </c>
      <c r="X302" s="32" t="s">
        <v>286</v>
      </c>
      <c r="Y302" s="32" t="s">
        <v>287</v>
      </c>
      <c r="Z302" s="32" t="s">
        <v>288</v>
      </c>
    </row>
    <row r="303" spans="17:26">
      <c r="R303" s="35" t="s">
        <v>289</v>
      </c>
    </row>
    <row r="304" spans="17:26">
      <c r="R304" t="s">
        <v>290</v>
      </c>
      <c r="V304" s="8" t="s">
        <v>291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292</v>
      </c>
      <c r="V305" s="8" t="s">
        <v>291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293</v>
      </c>
      <c r="V306" s="8" t="s">
        <v>291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653</v>
      </c>
      <c r="V308" s="8"/>
      <c r="W308" s="9"/>
      <c r="X308" s="10"/>
      <c r="Z308" s="12"/>
    </row>
    <row r="309" spans="17:26">
      <c r="R309" t="s">
        <v>672</v>
      </c>
      <c r="V309" s="8" t="s">
        <v>203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673</v>
      </c>
      <c r="V310" s="8" t="s">
        <v>203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306</v>
      </c>
      <c r="V311" s="8" t="s">
        <v>307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655</v>
      </c>
      <c r="V312" s="8" t="s">
        <v>203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665</v>
      </c>
      <c r="V313" s="8" t="s">
        <v>439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309</v>
      </c>
    </row>
    <row r="316" spans="17:26">
      <c r="R316" t="s">
        <v>310</v>
      </c>
      <c r="V316" s="8" t="s">
        <v>311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667</v>
      </c>
      <c r="V317" s="8" t="s">
        <v>337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675</v>
      </c>
      <c r="V318" s="8" t="s">
        <v>337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277</v>
      </c>
      <c r="R321" s="31"/>
      <c r="S321" s="31" t="s">
        <v>686</v>
      </c>
      <c r="T321" s="31"/>
    </row>
    <row r="322" spans="17:26">
      <c r="Q322" s="31" t="s">
        <v>278</v>
      </c>
      <c r="R322" s="31" t="s">
        <v>279</v>
      </c>
      <c r="S322" s="32" t="s">
        <v>280</v>
      </c>
      <c r="T322" s="33">
        <v>20</v>
      </c>
      <c r="U322" s="32" t="s">
        <v>281</v>
      </c>
      <c r="V322" s="33">
        <f>T322</f>
        <v>20</v>
      </c>
      <c r="W322" s="31" t="s">
        <v>282</v>
      </c>
      <c r="Y322" s="32" t="s">
        <v>133</v>
      </c>
      <c r="Z322" s="34">
        <f>Z327+Z332+Z335</f>
        <v>42.644480000000001</v>
      </c>
    </row>
    <row r="323" spans="17:26">
      <c r="Q323" s="31" t="s">
        <v>283</v>
      </c>
      <c r="R323" s="31" t="s">
        <v>284</v>
      </c>
      <c r="V323" s="32" t="s">
        <v>122</v>
      </c>
      <c r="W323" s="32" t="s">
        <v>285</v>
      </c>
      <c r="X323" s="32" t="s">
        <v>286</v>
      </c>
      <c r="Y323" s="32" t="s">
        <v>287</v>
      </c>
      <c r="Z323" s="32" t="s">
        <v>288</v>
      </c>
    </row>
    <row r="324" spans="17:26">
      <c r="R324" s="35" t="s">
        <v>289</v>
      </c>
    </row>
    <row r="325" spans="17:26">
      <c r="R325" t="s">
        <v>290</v>
      </c>
      <c r="V325" s="8" t="s">
        <v>291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292</v>
      </c>
      <c r="V326" s="8" t="s">
        <v>291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653</v>
      </c>
      <c r="V328" s="8"/>
      <c r="W328" s="9"/>
      <c r="X328" s="10"/>
      <c r="Z328" s="12"/>
    </row>
    <row r="329" spans="17:26">
      <c r="R329" t="s">
        <v>677</v>
      </c>
      <c r="V329" s="8" t="s">
        <v>296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301</v>
      </c>
      <c r="V330" s="8" t="s">
        <v>296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669</v>
      </c>
      <c r="V331" s="8" t="s">
        <v>305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309</v>
      </c>
    </row>
    <row r="334" spans="17:26">
      <c r="R334" t="s">
        <v>310</v>
      </c>
      <c r="V334" s="8" t="s">
        <v>311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277</v>
      </c>
      <c r="R337" s="31"/>
      <c r="S337" s="31" t="s">
        <v>687</v>
      </c>
      <c r="T337" s="31"/>
    </row>
    <row r="338" spans="17:26">
      <c r="Q338" s="31" t="s">
        <v>278</v>
      </c>
      <c r="R338" s="31" t="s">
        <v>678</v>
      </c>
      <c r="S338" s="32" t="s">
        <v>280</v>
      </c>
      <c r="T338" s="33">
        <v>250</v>
      </c>
      <c r="U338" s="32" t="s">
        <v>281</v>
      </c>
      <c r="V338" s="33">
        <f>T338</f>
        <v>250</v>
      </c>
      <c r="W338" s="31" t="s">
        <v>282</v>
      </c>
      <c r="Y338" s="32" t="s">
        <v>296</v>
      </c>
      <c r="Z338" s="34">
        <f>Z343+Z347+Z351</f>
        <v>5.5639628445000007</v>
      </c>
    </row>
    <row r="339" spans="17:26">
      <c r="Q339" s="31" t="s">
        <v>283</v>
      </c>
      <c r="R339" s="31" t="s">
        <v>284</v>
      </c>
      <c r="V339" s="32" t="s">
        <v>122</v>
      </c>
      <c r="W339" s="32" t="s">
        <v>285</v>
      </c>
      <c r="X339" s="32" t="s">
        <v>286</v>
      </c>
      <c r="Y339" s="32" t="s">
        <v>287</v>
      </c>
      <c r="Z339" s="32" t="s">
        <v>288</v>
      </c>
    </row>
    <row r="340" spans="17:26">
      <c r="R340" s="35" t="s">
        <v>289</v>
      </c>
      <c r="W340" s="9"/>
    </row>
    <row r="341" spans="17:26">
      <c r="R341" t="s">
        <v>290</v>
      </c>
      <c r="V341" s="8" t="s">
        <v>291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679</v>
      </c>
      <c r="V342" s="8" t="s">
        <v>291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294</v>
      </c>
      <c r="V344" s="8"/>
      <c r="W344" s="9"/>
      <c r="X344" s="18"/>
    </row>
    <row r="345" spans="17:26">
      <c r="R345" t="s">
        <v>295</v>
      </c>
      <c r="V345" s="8" t="s">
        <v>296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680</v>
      </c>
      <c r="V346" s="8" t="s">
        <v>296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317</v>
      </c>
      <c r="V348" s="8"/>
      <c r="W348" s="9"/>
    </row>
    <row r="349" spans="17:26">
      <c r="R349" t="s">
        <v>310</v>
      </c>
      <c r="V349" s="8" t="s">
        <v>311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681</v>
      </c>
      <c r="V350" s="8" t="s">
        <v>291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75C0-C7A3-4D45-8908-8E7DE735AA5E}">
  <sheetPr>
    <tabColor rgb="FFFFC000"/>
  </sheetPr>
  <dimension ref="A1:AA351"/>
  <sheetViews>
    <sheetView topLeftCell="A16" workbookViewId="0">
      <selection activeCell="H26" sqref="H26"/>
    </sheetView>
  </sheetViews>
  <sheetFormatPr defaultRowHeight="15"/>
  <cols>
    <col min="6" max="6" width="9.28515625" bestFit="1" customWidth="1"/>
    <col min="8" max="8" width="10.42578125" bestFit="1" customWidth="1"/>
    <col min="9" max="9" width="11.42578125" bestFit="1" customWidth="1"/>
    <col min="10" max="10" width="14.85546875" bestFit="1" customWidth="1"/>
    <col min="20" max="20" width="9.28515625" bestFit="1" customWidth="1"/>
    <col min="22" max="22" width="9.28515625" bestFit="1" customWidth="1"/>
    <col min="26" max="26" width="10.42578125" bestFit="1" customWidth="1"/>
  </cols>
  <sheetData>
    <row r="1" spans="1:27">
      <c r="A1" s="200"/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</row>
    <row r="2" spans="1:27">
      <c r="A2" s="200"/>
      <c r="B2" s="200"/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37" t="s">
        <v>1377</v>
      </c>
      <c r="N2" s="238">
        <f>SUMIF('Datos iniciales '!D5:D8,"platea de cimentación",'Datos iniciales '!B5:B8)</f>
        <v>80</v>
      </c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</row>
    <row r="3" spans="1:27">
      <c r="A3" s="200"/>
      <c r="B3" s="200"/>
      <c r="C3" s="200"/>
      <c r="D3" s="200"/>
      <c r="E3" s="4" t="s">
        <v>1221</v>
      </c>
      <c r="F3" s="4" t="s">
        <v>1222</v>
      </c>
      <c r="G3" s="4" t="s">
        <v>122</v>
      </c>
      <c r="H3" s="4" t="s">
        <v>123</v>
      </c>
      <c r="I3" s="4" t="s">
        <v>124</v>
      </c>
      <c r="J3" s="4" t="s">
        <v>453</v>
      </c>
      <c r="K3" s="4" t="s">
        <v>454</v>
      </c>
      <c r="L3" s="200"/>
      <c r="M3" s="239" t="s">
        <v>671</v>
      </c>
      <c r="N3" s="240" t="s">
        <v>671</v>
      </c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</row>
    <row r="4" spans="1:27">
      <c r="A4" s="200"/>
      <c r="B4" s="200"/>
      <c r="C4" s="200"/>
      <c r="D4" s="200"/>
      <c r="E4" s="200"/>
      <c r="F4" s="200"/>
      <c r="G4" s="23"/>
      <c r="H4" s="21"/>
      <c r="I4" s="200"/>
      <c r="J4" s="200"/>
      <c r="K4" s="200">
        <f>SUM(J4:J37)</f>
        <v>133761.84130593727</v>
      </c>
      <c r="L4" s="200"/>
      <c r="M4" s="239" t="s">
        <v>1368</v>
      </c>
      <c r="N4" s="240">
        <f>K4/N2</f>
        <v>1672.0230163242159</v>
      </c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</row>
    <row r="5" spans="1:27">
      <c r="A5" s="200"/>
      <c r="B5" s="200"/>
      <c r="C5" s="200"/>
      <c r="D5" s="200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</row>
    <row r="6" spans="1:27">
      <c r="A6" s="28"/>
      <c r="B6" s="28"/>
      <c r="C6" s="200"/>
      <c r="D6" s="200"/>
      <c r="E6" s="200"/>
      <c r="F6" s="200"/>
      <c r="G6" s="241"/>
      <c r="H6" s="200"/>
      <c r="I6" s="200"/>
      <c r="J6" s="200"/>
      <c r="K6" s="200"/>
      <c r="Q6" s="200"/>
      <c r="R6" s="200"/>
      <c r="S6" s="200"/>
      <c r="T6" s="200"/>
      <c r="U6" s="200"/>
      <c r="V6" s="200"/>
      <c r="W6" s="200"/>
      <c r="X6" s="200"/>
      <c r="Y6" s="241"/>
      <c r="Z6" s="255"/>
      <c r="AA6" s="200"/>
    </row>
    <row r="7" spans="1:27">
      <c r="A7" s="200"/>
      <c r="B7" s="200"/>
      <c r="C7" s="200"/>
      <c r="D7" s="200"/>
      <c r="E7" s="200"/>
      <c r="F7" s="223"/>
      <c r="G7" s="200"/>
      <c r="H7" s="223"/>
      <c r="I7" s="223"/>
      <c r="J7" s="223"/>
      <c r="K7" s="200"/>
      <c r="Q7" s="200"/>
      <c r="R7" s="200"/>
      <c r="S7" s="200"/>
      <c r="T7" s="200"/>
      <c r="U7" s="200"/>
      <c r="V7" s="200"/>
      <c r="W7" s="200"/>
      <c r="X7" s="200"/>
      <c r="Y7" s="200"/>
      <c r="Z7" s="200"/>
      <c r="AA7" s="200"/>
    </row>
    <row r="8" spans="1:27">
      <c r="A8" s="28" t="s">
        <v>456</v>
      </c>
      <c r="B8" s="28"/>
      <c r="C8" s="200"/>
      <c r="D8" s="200"/>
      <c r="E8" s="200"/>
      <c r="F8" s="223"/>
      <c r="G8" s="200"/>
      <c r="H8" s="223"/>
      <c r="I8" s="200"/>
      <c r="J8" s="223"/>
      <c r="K8" s="200"/>
      <c r="L8" s="200"/>
      <c r="M8" s="200"/>
      <c r="Q8" s="241" t="s">
        <v>277</v>
      </c>
      <c r="R8" s="241"/>
      <c r="S8" s="241" t="s">
        <v>458</v>
      </c>
      <c r="T8" s="241"/>
      <c r="U8" s="241"/>
      <c r="V8" s="241"/>
      <c r="W8" s="200"/>
      <c r="X8" s="200"/>
      <c r="Y8" s="200"/>
      <c r="Z8" s="200"/>
      <c r="AA8" s="200"/>
    </row>
    <row r="9" spans="1:27">
      <c r="A9" s="242" t="s">
        <v>458</v>
      </c>
      <c r="B9" s="200"/>
      <c r="C9" s="200"/>
      <c r="D9" s="200"/>
      <c r="E9" s="200"/>
      <c r="F9" s="223">
        <v>3.4</v>
      </c>
      <c r="G9" s="200" t="s">
        <v>203</v>
      </c>
      <c r="H9" s="223">
        <f>F9*$N$2</f>
        <v>272</v>
      </c>
      <c r="I9" s="223">
        <f>Z9</f>
        <v>8.4582044799999991</v>
      </c>
      <c r="J9" s="223">
        <f>H9*I9</f>
        <v>2300.6316185599999</v>
      </c>
      <c r="L9" s="200"/>
      <c r="M9" s="200"/>
      <c r="N9" s="200"/>
      <c r="O9" s="200"/>
      <c r="P9" s="200"/>
      <c r="Q9" s="241" t="s">
        <v>278</v>
      </c>
      <c r="R9" s="241" t="s">
        <v>416</v>
      </c>
      <c r="S9" s="241" t="s">
        <v>280</v>
      </c>
      <c r="T9" s="257">
        <v>250</v>
      </c>
      <c r="U9" s="257" t="s">
        <v>281</v>
      </c>
      <c r="V9" s="257">
        <f>T9</f>
        <v>250</v>
      </c>
      <c r="W9" s="241" t="s">
        <v>282</v>
      </c>
      <c r="X9" s="241"/>
      <c r="Y9" s="241" t="s">
        <v>203</v>
      </c>
      <c r="Z9" s="255">
        <f>Z15+Z19</f>
        <v>8.4582044799999991</v>
      </c>
      <c r="AA9" s="200"/>
    </row>
    <row r="10" spans="1:27">
      <c r="A10" s="242" t="s">
        <v>460</v>
      </c>
      <c r="B10" s="200"/>
      <c r="C10" s="200"/>
      <c r="D10" s="200"/>
      <c r="E10" s="200"/>
      <c r="F10" s="223">
        <v>0.03</v>
      </c>
      <c r="G10" s="200" t="s">
        <v>203</v>
      </c>
      <c r="H10" s="223">
        <f>F10*$N$2</f>
        <v>2.4</v>
      </c>
      <c r="I10" s="223">
        <f>Z25</f>
        <v>49.404980000000002</v>
      </c>
      <c r="J10" s="223">
        <f t="shared" ref="J10:J30" si="0">H10*I10</f>
        <v>118.571952</v>
      </c>
      <c r="K10" s="200"/>
      <c r="L10" s="200"/>
      <c r="M10" s="200"/>
      <c r="N10" s="200"/>
      <c r="O10" s="200"/>
      <c r="P10" s="200"/>
      <c r="Q10" s="241" t="s">
        <v>283</v>
      </c>
      <c r="R10" s="241" t="s">
        <v>284</v>
      </c>
      <c r="S10" s="241"/>
      <c r="T10" s="200"/>
      <c r="U10" s="200"/>
      <c r="V10" s="241" t="s">
        <v>122</v>
      </c>
      <c r="W10" s="241" t="s">
        <v>285</v>
      </c>
      <c r="X10" s="241" t="s">
        <v>286</v>
      </c>
      <c r="Y10" s="241" t="s">
        <v>287</v>
      </c>
      <c r="Z10" s="241" t="s">
        <v>288</v>
      </c>
      <c r="AA10" s="200"/>
    </row>
    <row r="11" spans="1:27">
      <c r="A11" s="242" t="s">
        <v>462</v>
      </c>
      <c r="B11" s="200"/>
      <c r="C11" s="200"/>
      <c r="D11" s="200"/>
      <c r="E11" s="200"/>
      <c r="F11" s="223">
        <v>0.15</v>
      </c>
      <c r="G11" s="200" t="s">
        <v>203</v>
      </c>
      <c r="H11" s="223">
        <f t="shared" ref="H11:H17" si="1">F11*$N$2</f>
        <v>12</v>
      </c>
      <c r="I11" s="200">
        <f>Z36</f>
        <v>66.234217333333333</v>
      </c>
      <c r="J11" s="223">
        <f t="shared" si="0"/>
        <v>794.810608</v>
      </c>
      <c r="K11" s="200"/>
      <c r="L11" s="200"/>
      <c r="M11" s="200"/>
      <c r="N11" s="200"/>
      <c r="O11" s="200"/>
      <c r="P11" s="200"/>
      <c r="Q11" s="200"/>
      <c r="R11" s="243" t="s">
        <v>289</v>
      </c>
      <c r="S11" s="200"/>
      <c r="T11" s="200"/>
      <c r="U11" s="200"/>
      <c r="V11" s="200"/>
      <c r="W11" s="200"/>
      <c r="X11" s="200"/>
      <c r="Y11" s="200"/>
      <c r="Z11" s="200"/>
      <c r="AA11" s="200"/>
    </row>
    <row r="12" spans="1:27">
      <c r="A12" s="242" t="s">
        <v>464</v>
      </c>
      <c r="B12" s="200"/>
      <c r="C12" s="200"/>
      <c r="D12" s="200"/>
      <c r="E12" s="200"/>
      <c r="F12" s="223">
        <v>2.8</v>
      </c>
      <c r="G12" s="200" t="s">
        <v>203</v>
      </c>
      <c r="H12" s="223">
        <f t="shared" si="1"/>
        <v>224</v>
      </c>
      <c r="I12" s="200">
        <f>Z53</f>
        <v>19.79083</v>
      </c>
      <c r="J12" s="223">
        <f t="shared" si="0"/>
        <v>4433.1459199999999</v>
      </c>
      <c r="K12" s="23"/>
      <c r="L12" s="200"/>
      <c r="M12" s="200"/>
      <c r="N12" s="200"/>
      <c r="O12" s="200"/>
      <c r="P12" s="200"/>
      <c r="Q12" s="200"/>
      <c r="R12" s="200" t="s">
        <v>650</v>
      </c>
      <c r="S12" s="200"/>
      <c r="T12" s="200"/>
      <c r="U12" s="200"/>
      <c r="V12" s="200" t="s">
        <v>291</v>
      </c>
      <c r="W12" s="253">
        <v>0.1</v>
      </c>
      <c r="X12" s="254">
        <f>W12*8/$T$9</f>
        <v>3.2000000000000002E-3</v>
      </c>
      <c r="Y12" s="200">
        <v>34.729999999999997</v>
      </c>
      <c r="Z12" s="223">
        <f t="shared" ref="Z12:Z14" si="2">X12*Y12</f>
        <v>0.111136</v>
      </c>
      <c r="AA12" s="200"/>
    </row>
    <row r="13" spans="1:27">
      <c r="A13" s="242" t="s">
        <v>1378</v>
      </c>
      <c r="B13" s="200"/>
      <c r="C13" s="200"/>
      <c r="D13" s="200"/>
      <c r="E13" s="200"/>
      <c r="F13" s="223">
        <v>1</v>
      </c>
      <c r="G13" s="200" t="s">
        <v>133</v>
      </c>
      <c r="H13" s="223">
        <f t="shared" si="1"/>
        <v>80</v>
      </c>
      <c r="I13" s="200">
        <f>Z70</f>
        <v>7.9984480000000007</v>
      </c>
      <c r="J13" s="223">
        <f t="shared" si="0"/>
        <v>639.87584000000004</v>
      </c>
      <c r="K13" s="200"/>
      <c r="L13" s="200"/>
      <c r="M13" s="200"/>
      <c r="N13" s="200"/>
      <c r="O13" s="200"/>
      <c r="P13" s="200"/>
      <c r="Q13" s="200"/>
      <c r="R13" s="200" t="s">
        <v>290</v>
      </c>
      <c r="S13" s="200"/>
      <c r="T13" s="200"/>
      <c r="U13" s="200"/>
      <c r="V13" s="200" t="s">
        <v>291</v>
      </c>
      <c r="W13" s="253">
        <v>2</v>
      </c>
      <c r="X13" s="254">
        <f>W13*8/$T$9</f>
        <v>6.4000000000000001E-2</v>
      </c>
      <c r="Y13" s="200">
        <v>28.94</v>
      </c>
      <c r="Z13" s="223">
        <f t="shared" si="2"/>
        <v>1.85216</v>
      </c>
      <c r="AA13" s="200"/>
    </row>
    <row r="14" spans="1:27">
      <c r="A14" s="242" t="s">
        <v>468</v>
      </c>
      <c r="B14" s="200"/>
      <c r="C14" s="200"/>
      <c r="D14" s="200"/>
      <c r="E14" s="200"/>
      <c r="F14" s="223">
        <v>0.6</v>
      </c>
      <c r="G14" s="200" t="s">
        <v>133</v>
      </c>
      <c r="H14" s="223">
        <f t="shared" si="1"/>
        <v>48</v>
      </c>
      <c r="I14" s="200">
        <f>Z85</f>
        <v>12.11253</v>
      </c>
      <c r="J14" s="223">
        <f t="shared" si="0"/>
        <v>581.40143999999998</v>
      </c>
      <c r="K14" s="23"/>
      <c r="L14" s="200"/>
      <c r="M14" s="200"/>
      <c r="N14" s="200"/>
      <c r="O14" s="200"/>
      <c r="P14" s="200"/>
      <c r="Q14" s="200"/>
      <c r="R14" s="200" t="s">
        <v>293</v>
      </c>
      <c r="S14" s="200"/>
      <c r="T14" s="200"/>
      <c r="U14" s="200"/>
      <c r="V14" s="200" t="s">
        <v>291</v>
      </c>
      <c r="W14" s="253">
        <v>1</v>
      </c>
      <c r="X14" s="254">
        <f>W14*8/$T$9</f>
        <v>3.2000000000000001E-2</v>
      </c>
      <c r="Y14" s="200">
        <v>20.51</v>
      </c>
      <c r="Z14" s="223">
        <f t="shared" si="2"/>
        <v>0.65632000000000001</v>
      </c>
      <c r="AA14" s="200"/>
    </row>
    <row r="15" spans="1:27">
      <c r="A15" s="242" t="s">
        <v>470</v>
      </c>
      <c r="B15" s="200"/>
      <c r="C15" s="200"/>
      <c r="D15" s="200"/>
      <c r="E15" s="200"/>
      <c r="F15" s="223">
        <v>0.6</v>
      </c>
      <c r="G15" s="200" t="s">
        <v>203</v>
      </c>
      <c r="H15" s="223">
        <f t="shared" si="1"/>
        <v>48</v>
      </c>
      <c r="I15" s="200">
        <f>Z96</f>
        <v>22.910007466666666</v>
      </c>
      <c r="J15" s="223">
        <f t="shared" si="0"/>
        <v>1099.6803583999999</v>
      </c>
      <c r="K15" s="200"/>
      <c r="L15" s="200"/>
      <c r="M15" s="200"/>
      <c r="N15" s="200"/>
      <c r="O15" s="200"/>
      <c r="P15" s="200"/>
      <c r="Q15" s="200"/>
      <c r="R15" s="200"/>
      <c r="S15" s="200"/>
      <c r="T15" s="200"/>
      <c r="U15" s="200"/>
      <c r="V15" s="200"/>
      <c r="W15" s="253"/>
      <c r="X15" s="200"/>
      <c r="Y15" s="200"/>
      <c r="Z15" s="255">
        <f>SUM(Z12:Z14)</f>
        <v>2.6196159999999997</v>
      </c>
      <c r="AA15" s="200"/>
    </row>
    <row r="16" spans="1:27">
      <c r="A16" s="28" t="s">
        <v>475</v>
      </c>
      <c r="B16" s="28"/>
      <c r="C16" s="200"/>
      <c r="D16" s="200"/>
      <c r="E16" s="200"/>
      <c r="F16" s="223"/>
      <c r="G16" s="200"/>
      <c r="H16" s="223"/>
      <c r="I16" s="200"/>
      <c r="J16" s="223"/>
      <c r="K16" s="200"/>
      <c r="L16" s="200"/>
      <c r="M16" s="200"/>
      <c r="N16" s="200"/>
      <c r="O16" s="200"/>
      <c r="P16" s="200"/>
      <c r="Q16" s="200"/>
      <c r="R16" s="243" t="s">
        <v>309</v>
      </c>
      <c r="S16" s="200"/>
      <c r="T16" s="200"/>
      <c r="U16" s="200"/>
      <c r="V16" s="200"/>
      <c r="W16" s="253"/>
      <c r="X16" s="200"/>
      <c r="Y16" s="200"/>
      <c r="Z16" s="200"/>
      <c r="AA16" s="200"/>
    </row>
    <row r="17" spans="1:27">
      <c r="A17" s="242" t="s">
        <v>1380</v>
      </c>
      <c r="B17" s="200"/>
      <c r="C17" s="200"/>
      <c r="D17" s="200"/>
      <c r="E17" s="200"/>
      <c r="F17" s="223">
        <v>1</v>
      </c>
      <c r="G17" s="200"/>
      <c r="H17" s="223">
        <f>F17*$N$2</f>
        <v>80</v>
      </c>
      <c r="I17" s="200">
        <f>Z109</f>
        <v>238.34357440000002</v>
      </c>
      <c r="J17" s="223">
        <f t="shared" si="0"/>
        <v>19067.485952000003</v>
      </c>
      <c r="K17" s="200"/>
      <c r="L17" s="200"/>
      <c r="M17" s="200"/>
      <c r="N17" s="200"/>
      <c r="O17" s="200"/>
      <c r="P17" s="200"/>
      <c r="Q17" s="200"/>
      <c r="R17" s="200" t="s">
        <v>310</v>
      </c>
      <c r="S17" s="200"/>
      <c r="T17" s="200"/>
      <c r="U17" s="200"/>
      <c r="V17" s="200" t="s">
        <v>311</v>
      </c>
      <c r="W17" s="253"/>
      <c r="X17" s="254">
        <v>3</v>
      </c>
      <c r="Y17" s="223">
        <f>Z15</f>
        <v>2.6196159999999997</v>
      </c>
      <c r="Z17" s="223">
        <f>X17%*Y17</f>
        <v>7.8588479999999988E-2</v>
      </c>
      <c r="AA17" s="200"/>
    </row>
    <row r="18" spans="1:27">
      <c r="A18" s="202" t="s">
        <v>485</v>
      </c>
      <c r="B18" s="202"/>
      <c r="C18" s="200"/>
      <c r="D18" s="200"/>
      <c r="E18" s="200"/>
      <c r="F18" s="223"/>
      <c r="G18" s="200"/>
      <c r="H18" s="223"/>
      <c r="I18" s="200"/>
      <c r="J18" s="223"/>
      <c r="K18" s="200"/>
      <c r="L18" s="202"/>
      <c r="M18" s="200"/>
      <c r="N18" s="200"/>
      <c r="O18" s="200"/>
      <c r="P18" s="200"/>
      <c r="Q18" s="200"/>
      <c r="R18" s="200" t="s">
        <v>651</v>
      </c>
      <c r="S18" s="200"/>
      <c r="T18" s="200"/>
      <c r="U18" s="200"/>
      <c r="V18" s="200" t="s">
        <v>337</v>
      </c>
      <c r="W18" s="253">
        <v>1</v>
      </c>
      <c r="X18" s="254">
        <f>W18*8/$T$9</f>
        <v>3.2000000000000001E-2</v>
      </c>
      <c r="Y18" s="223">
        <v>180</v>
      </c>
      <c r="Z18" s="223">
        <f t="shared" ref="Z18" si="3">X18*Y18</f>
        <v>5.76</v>
      </c>
      <c r="AA18" s="200"/>
    </row>
    <row r="19" spans="1:27">
      <c r="A19" s="272" t="s">
        <v>487</v>
      </c>
      <c r="B19" s="242"/>
      <c r="C19" s="242"/>
      <c r="D19" s="272" t="s">
        <v>671</v>
      </c>
      <c r="E19" s="272"/>
      <c r="F19" s="223">
        <v>1</v>
      </c>
      <c r="G19" s="200" t="s">
        <v>133</v>
      </c>
      <c r="H19" s="223">
        <f>F19*$N$2</f>
        <v>80</v>
      </c>
      <c r="I19" s="200">
        <f>Z135</f>
        <v>39.620881818181815</v>
      </c>
      <c r="J19" s="223">
        <f t="shared" si="0"/>
        <v>3169.6705454545454</v>
      </c>
      <c r="K19" s="200"/>
      <c r="L19" s="242"/>
      <c r="M19" s="200"/>
      <c r="N19" s="200"/>
      <c r="O19" s="200"/>
      <c r="P19" s="200"/>
      <c r="Q19" s="244" t="s">
        <v>671</v>
      </c>
      <c r="R19" s="244" t="s">
        <v>671</v>
      </c>
      <c r="S19" s="244" t="s">
        <v>671</v>
      </c>
      <c r="T19" s="244" t="s">
        <v>671</v>
      </c>
      <c r="U19" s="244" t="s">
        <v>671</v>
      </c>
      <c r="V19" s="244" t="s">
        <v>671</v>
      </c>
      <c r="W19" s="244" t="s">
        <v>671</v>
      </c>
      <c r="X19" s="244" t="s">
        <v>671</v>
      </c>
      <c r="Y19" s="244" t="s">
        <v>671</v>
      </c>
      <c r="Z19" s="256">
        <f>SUM(Z17:Z18)</f>
        <v>5.8385884799999994</v>
      </c>
      <c r="AA19" s="200"/>
    </row>
    <row r="20" spans="1:27">
      <c r="A20" s="202" t="s">
        <v>489</v>
      </c>
      <c r="B20" s="200"/>
      <c r="C20" s="200"/>
      <c r="D20" s="200"/>
      <c r="E20" s="200"/>
      <c r="F20" s="223"/>
      <c r="G20" s="200"/>
      <c r="H20" s="223"/>
      <c r="I20" s="200"/>
      <c r="J20" s="223"/>
      <c r="K20" s="23"/>
      <c r="L20" s="202"/>
      <c r="M20" s="200"/>
      <c r="N20" s="200"/>
      <c r="O20" s="200" t="s">
        <v>671</v>
      </c>
      <c r="P20" s="200" t="s">
        <v>671</v>
      </c>
      <c r="Q20" s="200"/>
      <c r="R20" s="243"/>
      <c r="S20" s="200"/>
      <c r="T20" s="200"/>
      <c r="U20" s="200"/>
      <c r="V20" s="200"/>
      <c r="W20" s="200"/>
      <c r="X20" s="200"/>
      <c r="Y20" s="200"/>
      <c r="Z20" s="200"/>
      <c r="AA20" s="200"/>
    </row>
    <row r="21" spans="1:27">
      <c r="A21" s="259" t="s">
        <v>1381</v>
      </c>
      <c r="B21" s="200"/>
      <c r="C21" s="200"/>
      <c r="D21" s="200"/>
      <c r="E21" s="200"/>
      <c r="F21" s="223">
        <v>1</v>
      </c>
      <c r="G21" s="200" t="s">
        <v>133</v>
      </c>
      <c r="H21" s="223">
        <f>F21*$N$2</f>
        <v>80</v>
      </c>
      <c r="I21" s="200">
        <f>Z154</f>
        <v>27.126394000000001</v>
      </c>
      <c r="J21" s="223">
        <f t="shared" si="0"/>
        <v>2170.1115199999999</v>
      </c>
      <c r="K21" s="23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</row>
    <row r="22" spans="1:27">
      <c r="A22" s="202" t="s">
        <v>1372</v>
      </c>
      <c r="B22" s="202"/>
      <c r="C22" s="202"/>
      <c r="D22" s="200"/>
      <c r="E22" s="200"/>
      <c r="F22" s="223"/>
      <c r="G22" s="200"/>
      <c r="H22" s="223"/>
      <c r="I22" s="200"/>
      <c r="J22" s="223"/>
      <c r="K22" s="23"/>
      <c r="L22" s="202"/>
      <c r="M22" s="200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41"/>
      <c r="Z22" s="241"/>
      <c r="AA22" s="200"/>
    </row>
    <row r="23" spans="1:27">
      <c r="A23" s="202" t="s">
        <v>1382</v>
      </c>
      <c r="B23" s="200"/>
      <c r="C23" s="200"/>
      <c r="D23" s="200"/>
      <c r="E23" s="200"/>
      <c r="F23" s="223"/>
      <c r="G23" s="200"/>
      <c r="H23" s="223"/>
      <c r="I23" s="200"/>
      <c r="J23" s="223"/>
      <c r="K23" s="200"/>
      <c r="L23" s="202"/>
      <c r="M23" s="202"/>
      <c r="N23" s="202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</row>
    <row r="24" spans="1:27">
      <c r="A24" s="200" t="s">
        <v>1383</v>
      </c>
      <c r="B24" s="200"/>
      <c r="C24" s="200"/>
      <c r="D24" s="200"/>
      <c r="E24" s="200"/>
      <c r="F24" s="223">
        <v>0.6</v>
      </c>
      <c r="G24" s="200" t="s">
        <v>203</v>
      </c>
      <c r="H24" s="223">
        <f>F24*$N$2</f>
        <v>48</v>
      </c>
      <c r="I24" s="200">
        <f>Z173</f>
        <v>426.39754399999998</v>
      </c>
      <c r="J24" s="223">
        <f t="shared" si="0"/>
        <v>20467.082112</v>
      </c>
      <c r="K24" s="200"/>
      <c r="L24" s="200"/>
      <c r="M24" s="202"/>
      <c r="N24" s="202"/>
      <c r="O24" s="200"/>
      <c r="P24" s="200"/>
      <c r="Q24" s="241" t="s">
        <v>277</v>
      </c>
      <c r="R24" s="241"/>
      <c r="S24" s="241" t="s">
        <v>460</v>
      </c>
      <c r="T24" s="241"/>
      <c r="U24" s="200"/>
      <c r="V24" s="200"/>
      <c r="W24" s="200"/>
      <c r="X24" s="200"/>
      <c r="Y24" s="200"/>
      <c r="Z24" s="200"/>
      <c r="AA24" s="200"/>
    </row>
    <row r="25" spans="1:27">
      <c r="A25" s="200" t="s">
        <v>1384</v>
      </c>
      <c r="B25" s="200"/>
      <c r="C25" s="200"/>
      <c r="D25" s="200"/>
      <c r="E25" s="200"/>
      <c r="F25" s="223">
        <v>0.5</v>
      </c>
      <c r="G25" s="200" t="s">
        <v>133</v>
      </c>
      <c r="H25" s="223">
        <f>F25*$N$2</f>
        <v>40</v>
      </c>
      <c r="I25" s="200">
        <f>Z195</f>
        <v>75.114200000000011</v>
      </c>
      <c r="J25" s="223">
        <f t="shared" si="0"/>
        <v>3004.5680000000002</v>
      </c>
      <c r="K25" s="200"/>
      <c r="L25" s="200"/>
      <c r="M25" s="200"/>
      <c r="N25" s="200"/>
      <c r="O25" s="200"/>
      <c r="P25" s="200"/>
      <c r="Q25" s="241" t="s">
        <v>278</v>
      </c>
      <c r="R25" s="241" t="s">
        <v>416</v>
      </c>
      <c r="S25" s="241" t="s">
        <v>280</v>
      </c>
      <c r="T25" s="257">
        <v>4</v>
      </c>
      <c r="U25" s="257" t="s">
        <v>281</v>
      </c>
      <c r="V25" s="257">
        <f>T25</f>
        <v>4</v>
      </c>
      <c r="W25" s="241" t="s">
        <v>282</v>
      </c>
      <c r="X25" s="241"/>
      <c r="Y25" s="241" t="s">
        <v>203</v>
      </c>
      <c r="Z25" s="255">
        <f>Z30+Z33</f>
        <v>49.404980000000002</v>
      </c>
      <c r="AA25" s="200"/>
    </row>
    <row r="26" spans="1:27">
      <c r="A26" s="200" t="s">
        <v>1385</v>
      </c>
      <c r="B26" s="200"/>
      <c r="C26" s="200"/>
      <c r="D26" s="200"/>
      <c r="E26" s="200"/>
      <c r="F26" s="223"/>
      <c r="G26" s="23" t="s">
        <v>296</v>
      </c>
      <c r="H26" s="27">
        <f>H24*240</f>
        <v>11520</v>
      </c>
      <c r="I26" s="200">
        <f>Z212</f>
        <v>5.5639628445000007</v>
      </c>
      <c r="J26" s="223">
        <f t="shared" si="0"/>
        <v>64096.85196864001</v>
      </c>
      <c r="K26" s="23"/>
      <c r="L26" s="200"/>
      <c r="M26" s="200"/>
      <c r="N26" s="200"/>
      <c r="O26" s="200"/>
      <c r="P26" s="200"/>
      <c r="Q26" s="241" t="s">
        <v>283</v>
      </c>
      <c r="R26" s="241" t="s">
        <v>284</v>
      </c>
      <c r="S26" s="241"/>
      <c r="T26" s="200"/>
      <c r="U26" s="200"/>
      <c r="V26" s="241" t="s">
        <v>122</v>
      </c>
      <c r="W26" s="241" t="s">
        <v>285</v>
      </c>
      <c r="X26" s="241" t="s">
        <v>286</v>
      </c>
      <c r="Y26" s="241" t="s">
        <v>287</v>
      </c>
      <c r="Z26" s="241" t="s">
        <v>288</v>
      </c>
      <c r="AA26" s="200"/>
    </row>
    <row r="27" spans="1:27">
      <c r="A27" s="247" t="s">
        <v>508</v>
      </c>
      <c r="B27" s="200"/>
      <c r="C27" s="200"/>
      <c r="D27" s="200"/>
      <c r="E27" s="200"/>
      <c r="F27" s="223"/>
      <c r="G27" s="23"/>
      <c r="H27" s="223"/>
      <c r="I27" s="200"/>
      <c r="J27" s="223"/>
      <c r="K27" s="200"/>
      <c r="L27" s="247"/>
      <c r="M27" s="200"/>
      <c r="N27" s="200"/>
      <c r="O27" s="200"/>
      <c r="P27" s="200"/>
      <c r="Q27" s="200"/>
      <c r="R27" s="243" t="s">
        <v>289</v>
      </c>
      <c r="S27" s="200"/>
      <c r="T27" s="200"/>
      <c r="U27" s="200"/>
      <c r="V27" s="200"/>
      <c r="W27" s="200"/>
      <c r="X27" s="200"/>
      <c r="Y27" s="200"/>
      <c r="Z27" s="200"/>
      <c r="AA27" s="200"/>
    </row>
    <row r="28" spans="1:27">
      <c r="A28" s="200" t="s">
        <v>510</v>
      </c>
      <c r="B28" s="200"/>
      <c r="C28" s="200"/>
      <c r="D28" s="200"/>
      <c r="E28" s="200"/>
      <c r="F28" s="223">
        <v>0.1202</v>
      </c>
      <c r="G28" s="23" t="s">
        <v>203</v>
      </c>
      <c r="H28" s="223">
        <f>F28*$N$2</f>
        <v>9.6159999999999997</v>
      </c>
      <c r="I28" s="200">
        <f>Z228</f>
        <v>438.22651999999994</v>
      </c>
      <c r="J28" s="223">
        <f t="shared" si="0"/>
        <v>4213.9862163199996</v>
      </c>
      <c r="K28" s="200"/>
      <c r="L28" s="200"/>
      <c r="M28" s="200"/>
      <c r="N28" s="200"/>
      <c r="O28" s="200"/>
      <c r="P28" s="200"/>
      <c r="Q28" s="200"/>
      <c r="R28" s="200" t="s">
        <v>650</v>
      </c>
      <c r="S28" s="200"/>
      <c r="T28" s="200"/>
      <c r="U28" s="200"/>
      <c r="V28" s="200" t="s">
        <v>291</v>
      </c>
      <c r="W28" s="253">
        <v>0.1</v>
      </c>
      <c r="X28" s="254">
        <f>W28*8/$T$25</f>
        <v>0.2</v>
      </c>
      <c r="Y28" s="223">
        <v>34.729999999999997</v>
      </c>
      <c r="Z28" s="223">
        <f>X28*Y28</f>
        <v>6.9459999999999997</v>
      </c>
      <c r="AA28" s="200"/>
    </row>
    <row r="29" spans="1:27">
      <c r="A29" s="200" t="s">
        <v>512</v>
      </c>
      <c r="B29" s="200"/>
      <c r="C29" s="200"/>
      <c r="D29" s="200"/>
      <c r="E29" s="200"/>
      <c r="F29" s="223">
        <v>0.64910000000000001</v>
      </c>
      <c r="G29" s="23" t="s">
        <v>133</v>
      </c>
      <c r="H29" s="223">
        <f>F29*$N$2</f>
        <v>51.927999999999997</v>
      </c>
      <c r="I29" s="200">
        <f>Z250</f>
        <v>64.026960000000003</v>
      </c>
      <c r="J29" s="223">
        <f t="shared" si="0"/>
        <v>3324.79197888</v>
      </c>
      <c r="K29" s="200"/>
      <c r="L29" s="200"/>
      <c r="M29" s="200"/>
      <c r="N29" s="200"/>
      <c r="O29" s="200"/>
      <c r="P29" s="200"/>
      <c r="Q29" s="200"/>
      <c r="R29" s="200" t="s">
        <v>293</v>
      </c>
      <c r="S29" s="200"/>
      <c r="T29" s="200"/>
      <c r="U29" s="200"/>
      <c r="V29" s="200" t="s">
        <v>291</v>
      </c>
      <c r="W29" s="253">
        <v>1</v>
      </c>
      <c r="X29" s="254">
        <f>W29*8/$T$25</f>
        <v>2</v>
      </c>
      <c r="Y29" s="223">
        <v>20.51</v>
      </c>
      <c r="Z29" s="223">
        <f>X29*Y29</f>
        <v>41.02</v>
      </c>
      <c r="AA29" s="200"/>
    </row>
    <row r="30" spans="1:27">
      <c r="A30" s="200" t="s">
        <v>514</v>
      </c>
      <c r="B30" s="200"/>
      <c r="C30" s="200"/>
      <c r="D30" s="200"/>
      <c r="E30" s="200"/>
      <c r="F30" s="223"/>
      <c r="G30" s="23" t="s">
        <v>296</v>
      </c>
      <c r="H30" s="223">
        <f>H28*79.98</f>
        <v>769.08767999999998</v>
      </c>
      <c r="I30" s="200">
        <f>Z266</f>
        <v>5.5639628445000007</v>
      </c>
      <c r="J30" s="223">
        <f t="shared" si="0"/>
        <v>4279.1752756827063</v>
      </c>
      <c r="K30" s="200"/>
      <c r="L30" s="200"/>
      <c r="M30" s="200"/>
      <c r="N30" s="200"/>
      <c r="O30" s="200"/>
      <c r="P30" s="200"/>
      <c r="Q30" s="200"/>
      <c r="R30" s="200"/>
      <c r="S30" s="200"/>
      <c r="T30" s="200"/>
      <c r="U30" s="200"/>
      <c r="V30" s="200"/>
      <c r="W30" s="200"/>
      <c r="X30" s="254"/>
      <c r="Y30" s="223"/>
      <c r="Z30" s="255">
        <f>SUM(Z28:Z29)</f>
        <v>47.966000000000001</v>
      </c>
      <c r="AA30" s="200"/>
    </row>
    <row r="31" spans="1:27">
      <c r="A31" s="28"/>
      <c r="B31" s="28"/>
      <c r="C31" s="200"/>
      <c r="D31" s="200"/>
      <c r="E31" s="200"/>
      <c r="F31" s="223"/>
      <c r="G31" s="200"/>
      <c r="H31" s="223"/>
      <c r="I31" s="200"/>
      <c r="J31" s="223"/>
      <c r="K31" s="200"/>
      <c r="M31" s="200"/>
      <c r="N31" s="200"/>
      <c r="O31" s="200"/>
      <c r="P31" s="200"/>
      <c r="Q31" s="200"/>
      <c r="R31" s="243" t="s">
        <v>309</v>
      </c>
      <c r="S31" s="200"/>
      <c r="T31" s="200"/>
      <c r="U31" s="200"/>
      <c r="V31" s="200"/>
      <c r="W31" s="200"/>
      <c r="X31" s="254"/>
      <c r="Y31" s="223"/>
      <c r="Z31" s="223"/>
      <c r="AA31" s="200"/>
    </row>
    <row r="32" spans="1:27">
      <c r="A32" s="200"/>
      <c r="B32" s="200"/>
      <c r="C32" s="200"/>
      <c r="D32" s="200"/>
      <c r="E32" s="200"/>
      <c r="F32" s="223"/>
      <c r="G32" s="200"/>
      <c r="H32" s="223"/>
      <c r="I32" s="200"/>
      <c r="J32" s="223"/>
      <c r="K32" s="200"/>
      <c r="M32" s="200"/>
      <c r="N32" s="200"/>
      <c r="O32" s="200"/>
      <c r="P32" s="200"/>
      <c r="Q32" s="200"/>
      <c r="R32" s="200" t="s">
        <v>310</v>
      </c>
      <c r="S32" s="200"/>
      <c r="T32" s="200"/>
      <c r="U32" s="200"/>
      <c r="V32" s="200" t="s">
        <v>311</v>
      </c>
      <c r="W32" s="200"/>
      <c r="X32" s="254">
        <v>3</v>
      </c>
      <c r="Y32" s="223">
        <f>Z30</f>
        <v>47.966000000000001</v>
      </c>
      <c r="Z32" s="223">
        <f>X32%*Y32</f>
        <v>1.4389799999999999</v>
      </c>
      <c r="AA32" s="200"/>
    </row>
    <row r="33" spans="1:27">
      <c r="A33" s="200"/>
      <c r="B33" s="200"/>
      <c r="C33" s="200"/>
      <c r="D33" s="200"/>
      <c r="E33" s="200"/>
      <c r="F33" s="223"/>
      <c r="G33" s="200"/>
      <c r="H33" s="223"/>
      <c r="I33" s="200"/>
      <c r="J33" s="223"/>
      <c r="K33" s="200"/>
      <c r="M33" s="200"/>
      <c r="N33" s="200"/>
      <c r="O33" s="200"/>
      <c r="P33" s="200"/>
      <c r="Q33" s="244" t="s">
        <v>671</v>
      </c>
      <c r="R33" s="244" t="s">
        <v>671</v>
      </c>
      <c r="S33" s="244" t="s">
        <v>671</v>
      </c>
      <c r="T33" s="244" t="s">
        <v>671</v>
      </c>
      <c r="U33" s="244" t="s">
        <v>671</v>
      </c>
      <c r="V33" s="244" t="s">
        <v>671</v>
      </c>
      <c r="W33" s="244" t="s">
        <v>671</v>
      </c>
      <c r="X33" s="244" t="s">
        <v>671</v>
      </c>
      <c r="Y33" s="245" t="s">
        <v>671</v>
      </c>
      <c r="Z33" s="256">
        <f>SUM(Z32)</f>
        <v>1.4389799999999999</v>
      </c>
      <c r="AA33" s="200"/>
    </row>
    <row r="34" spans="1:27">
      <c r="A34" s="200"/>
      <c r="B34" s="200"/>
      <c r="C34" s="200"/>
      <c r="D34" s="200"/>
      <c r="E34" s="200"/>
      <c r="F34" s="223"/>
      <c r="G34" s="200"/>
      <c r="H34" s="223"/>
      <c r="I34" s="200"/>
      <c r="J34" s="223"/>
      <c r="K34" s="200"/>
      <c r="M34" s="200"/>
      <c r="N34" s="200"/>
      <c r="O34" s="200"/>
      <c r="P34" s="200"/>
      <c r="Q34" s="200"/>
      <c r="R34" s="200"/>
      <c r="S34" s="200"/>
      <c r="T34" s="200"/>
      <c r="U34" s="200"/>
      <c r="V34" s="200"/>
      <c r="W34" s="200"/>
      <c r="X34" s="200"/>
      <c r="Y34" s="200"/>
      <c r="Z34" s="200"/>
      <c r="AA34" s="200"/>
    </row>
    <row r="35" spans="1:27">
      <c r="A35" s="200"/>
      <c r="B35" s="200"/>
      <c r="C35" s="200"/>
      <c r="D35" s="200"/>
      <c r="E35" s="200"/>
      <c r="F35" s="200"/>
      <c r="G35" s="200"/>
      <c r="H35" s="223"/>
      <c r="I35" s="200"/>
      <c r="J35" s="200"/>
      <c r="K35" s="200"/>
      <c r="L35" s="200"/>
      <c r="M35" s="200"/>
      <c r="N35" s="200"/>
      <c r="O35" s="200"/>
      <c r="P35" s="200"/>
      <c r="Q35" s="241" t="s">
        <v>277</v>
      </c>
      <c r="R35" s="241"/>
      <c r="S35" s="241" t="s">
        <v>462</v>
      </c>
      <c r="T35" s="241"/>
      <c r="U35" s="241"/>
      <c r="V35" s="241"/>
      <c r="W35" s="241"/>
      <c r="X35" s="241"/>
      <c r="Y35" s="241"/>
      <c r="Z35" s="241"/>
      <c r="AA35" s="200"/>
    </row>
    <row r="36" spans="1:27">
      <c r="A36" s="200"/>
      <c r="B36" s="200"/>
      <c r="C36" s="200"/>
      <c r="D36" s="200"/>
      <c r="E36" s="200"/>
      <c r="F36" s="200"/>
      <c r="G36" s="200"/>
      <c r="H36" s="200"/>
      <c r="I36" s="200"/>
      <c r="J36" s="200"/>
      <c r="K36" s="200"/>
      <c r="L36" s="200"/>
      <c r="M36" s="200"/>
      <c r="N36" s="200"/>
      <c r="O36" s="200"/>
      <c r="P36" s="200"/>
      <c r="Q36" s="241" t="s">
        <v>278</v>
      </c>
      <c r="R36" s="241" t="s">
        <v>416</v>
      </c>
      <c r="S36" s="241" t="s">
        <v>280</v>
      </c>
      <c r="T36" s="257">
        <v>30</v>
      </c>
      <c r="U36" s="257" t="s">
        <v>281</v>
      </c>
      <c r="V36" s="257">
        <f>T36</f>
        <v>30</v>
      </c>
      <c r="W36" s="241" t="s">
        <v>282</v>
      </c>
      <c r="X36" s="241"/>
      <c r="Y36" s="241" t="s">
        <v>203</v>
      </c>
      <c r="Z36" s="255">
        <f>Z42+Z46+Z50</f>
        <v>66.234217333333333</v>
      </c>
      <c r="AA36" s="200"/>
    </row>
    <row r="37" spans="1:27">
      <c r="A37" s="242" t="s">
        <v>671</v>
      </c>
      <c r="B37" s="200"/>
      <c r="C37" s="200"/>
      <c r="D37" s="200"/>
      <c r="E37" s="200"/>
      <c r="F37" s="200"/>
      <c r="G37" s="63"/>
      <c r="H37" s="63"/>
      <c r="I37" s="23"/>
      <c r="J37" s="200"/>
      <c r="K37" s="200"/>
      <c r="L37" s="200"/>
      <c r="M37" s="200"/>
      <c r="N37" s="200"/>
      <c r="O37" s="200"/>
      <c r="P37" s="200"/>
      <c r="Q37" s="241" t="s">
        <v>283</v>
      </c>
      <c r="R37" s="241" t="s">
        <v>284</v>
      </c>
      <c r="S37" s="241"/>
      <c r="T37" s="200"/>
      <c r="U37" s="200"/>
      <c r="V37" s="241" t="s">
        <v>122</v>
      </c>
      <c r="W37" s="241" t="s">
        <v>285</v>
      </c>
      <c r="X37" s="241" t="s">
        <v>286</v>
      </c>
      <c r="Y37" s="241" t="s">
        <v>287</v>
      </c>
      <c r="Z37" s="241" t="s">
        <v>288</v>
      </c>
      <c r="AA37" s="200"/>
    </row>
    <row r="38" spans="1:27">
      <c r="A38" s="200"/>
      <c r="B38" s="200"/>
      <c r="C38" s="200"/>
      <c r="D38" s="200"/>
      <c r="E38" s="200"/>
      <c r="F38" s="200"/>
      <c r="G38" s="200"/>
      <c r="H38" s="200"/>
      <c r="I38" s="200"/>
      <c r="J38" s="223"/>
      <c r="K38" s="200"/>
      <c r="L38" s="200"/>
      <c r="M38" s="200"/>
      <c r="N38" s="200"/>
      <c r="O38" s="200"/>
      <c r="P38" s="200"/>
      <c r="Q38" s="200"/>
      <c r="R38" s="243" t="s">
        <v>289</v>
      </c>
      <c r="S38" s="200"/>
      <c r="T38" s="200"/>
      <c r="U38" s="200"/>
      <c r="V38" s="200"/>
      <c r="W38" s="200"/>
      <c r="X38" s="200"/>
      <c r="Y38" s="200"/>
      <c r="Z38" s="200"/>
      <c r="AA38" s="200"/>
    </row>
    <row r="39" spans="1:27">
      <c r="A39" s="200"/>
      <c r="B39" s="200"/>
      <c r="C39" s="200"/>
      <c r="D39" s="200"/>
      <c r="E39" s="200"/>
      <c r="F39" s="200"/>
      <c r="G39" s="23"/>
      <c r="H39" s="23"/>
      <c r="I39" s="23"/>
      <c r="J39" s="223"/>
      <c r="K39" s="200"/>
      <c r="L39" s="200"/>
      <c r="M39" s="200"/>
      <c r="N39" s="200"/>
      <c r="O39" s="200"/>
      <c r="P39" s="200"/>
      <c r="Q39" s="200"/>
      <c r="R39" s="200" t="s">
        <v>650</v>
      </c>
      <c r="S39" s="200"/>
      <c r="T39" s="200"/>
      <c r="U39" s="200"/>
      <c r="V39" s="200" t="s">
        <v>291</v>
      </c>
      <c r="W39" s="253">
        <v>0.1</v>
      </c>
      <c r="X39" s="254">
        <f>W39*8/$T$36</f>
        <v>2.6666666666666668E-2</v>
      </c>
      <c r="Y39" s="200">
        <v>34.729999999999997</v>
      </c>
      <c r="Z39" s="223">
        <f>X39*Y39</f>
        <v>0.92613333333333336</v>
      </c>
      <c r="AA39" s="200"/>
    </row>
    <row r="40" spans="1:27">
      <c r="A40" s="200"/>
      <c r="B40" s="200"/>
      <c r="C40" s="200"/>
      <c r="D40" s="200"/>
      <c r="E40" s="200"/>
      <c r="F40" s="200"/>
      <c r="G40" s="200"/>
      <c r="H40" s="200"/>
      <c r="I40" s="200"/>
      <c r="J40" s="200"/>
      <c r="K40" s="200"/>
      <c r="L40" s="200"/>
      <c r="M40" s="200"/>
      <c r="N40" s="200"/>
      <c r="O40" s="200"/>
      <c r="P40" s="200"/>
      <c r="Q40" s="200"/>
      <c r="R40" s="200" t="s">
        <v>293</v>
      </c>
      <c r="S40" s="200"/>
      <c r="T40" s="200"/>
      <c r="U40" s="200"/>
      <c r="V40" s="200" t="s">
        <v>291</v>
      </c>
      <c r="W40" s="253">
        <v>1</v>
      </c>
      <c r="X40" s="254">
        <f>W40*8/$T$36</f>
        <v>0.26666666666666666</v>
      </c>
      <c r="Y40" s="200">
        <v>20.51</v>
      </c>
      <c r="Z40" s="223">
        <f t="shared" ref="Z40:Z41" si="4">X40*Y40</f>
        <v>5.469333333333334</v>
      </c>
      <c r="AA40" s="200"/>
    </row>
    <row r="41" spans="1:27">
      <c r="A41" s="200"/>
      <c r="B41" s="200"/>
      <c r="C41" s="200"/>
      <c r="D41" s="200"/>
      <c r="E41" s="200"/>
      <c r="F41" s="200"/>
      <c r="G41" s="23"/>
      <c r="H41" s="21"/>
      <c r="I41" s="200"/>
      <c r="J41" s="200"/>
      <c r="K41" s="200"/>
      <c r="L41" s="200"/>
      <c r="M41" s="200"/>
      <c r="N41" s="200"/>
      <c r="O41" s="200"/>
      <c r="P41" s="200"/>
      <c r="Q41" s="200"/>
      <c r="R41" s="200" t="s">
        <v>652</v>
      </c>
      <c r="S41" s="200"/>
      <c r="T41" s="200"/>
      <c r="U41" s="200"/>
      <c r="V41" s="200" t="s">
        <v>291</v>
      </c>
      <c r="W41" s="253">
        <v>1</v>
      </c>
      <c r="X41" s="254">
        <f>W41*8/$T$36</f>
        <v>0.26666666666666666</v>
      </c>
      <c r="Y41" s="200">
        <v>29.94</v>
      </c>
      <c r="Z41" s="223">
        <f t="shared" si="4"/>
        <v>7.984</v>
      </c>
      <c r="AA41" s="200"/>
    </row>
    <row r="42" spans="1:27">
      <c r="A42" s="200"/>
      <c r="B42" s="200"/>
      <c r="C42" s="200"/>
      <c r="D42" s="200"/>
      <c r="E42" s="200"/>
      <c r="F42" s="200"/>
      <c r="G42" s="200"/>
      <c r="H42" s="200"/>
      <c r="I42" s="200"/>
      <c r="J42" s="200"/>
      <c r="K42" s="200"/>
      <c r="L42" s="200"/>
      <c r="M42" s="200"/>
      <c r="N42" s="200"/>
      <c r="O42" s="200"/>
      <c r="P42" s="200"/>
      <c r="Q42" s="200"/>
      <c r="R42" s="200"/>
      <c r="S42" s="200"/>
      <c r="T42" s="200"/>
      <c r="U42" s="200"/>
      <c r="V42" s="200"/>
      <c r="W42" s="253"/>
      <c r="X42" s="254"/>
      <c r="Y42" s="200"/>
      <c r="Z42" s="255">
        <f>SUM(Z39:Z41)</f>
        <v>14.379466666666668</v>
      </c>
      <c r="AA42" s="200"/>
    </row>
    <row r="43" spans="1:27">
      <c r="A43" s="28"/>
      <c r="B43" s="241"/>
      <c r="C43" s="200"/>
      <c r="D43" s="200"/>
      <c r="E43" s="200"/>
      <c r="F43" s="200"/>
      <c r="G43" s="241"/>
      <c r="H43" s="200"/>
      <c r="I43" s="200"/>
      <c r="J43" s="200"/>
      <c r="K43" s="200"/>
      <c r="L43" s="200"/>
      <c r="M43" s="200"/>
      <c r="N43" s="200"/>
      <c r="O43" s="200"/>
      <c r="P43" s="200"/>
      <c r="Q43" s="200"/>
      <c r="R43" s="243" t="s">
        <v>653</v>
      </c>
      <c r="S43" s="200"/>
      <c r="T43" s="200"/>
      <c r="U43" s="200"/>
      <c r="V43" s="200"/>
      <c r="W43" s="253"/>
      <c r="X43" s="254"/>
      <c r="Y43" s="200"/>
      <c r="Z43" s="200"/>
      <c r="AA43" s="200"/>
    </row>
    <row r="44" spans="1:27">
      <c r="A44" s="200"/>
      <c r="B44" s="200"/>
      <c r="C44" s="200"/>
      <c r="D44" s="200"/>
      <c r="E44" s="200"/>
      <c r="F44" s="200"/>
      <c r="G44" s="200"/>
      <c r="H44" s="200"/>
      <c r="I44" s="200"/>
      <c r="J44" s="200"/>
      <c r="K44" s="200"/>
      <c r="L44" s="200"/>
      <c r="M44" s="200"/>
      <c r="N44" s="200"/>
      <c r="O44" s="200"/>
      <c r="P44" s="200"/>
      <c r="Q44" s="200"/>
      <c r="R44" s="200" t="s">
        <v>654</v>
      </c>
      <c r="S44" s="200"/>
      <c r="T44" s="200"/>
      <c r="U44" s="200"/>
      <c r="V44" s="200" t="s">
        <v>203</v>
      </c>
      <c r="W44" s="253"/>
      <c r="X44" s="254">
        <v>1.05</v>
      </c>
      <c r="Y44" s="248">
        <v>44.07</v>
      </c>
      <c r="Z44" s="223">
        <f t="shared" ref="Z44:Z45" si="5">X44*Y44</f>
        <v>46.273500000000006</v>
      </c>
      <c r="AA44" s="200"/>
    </row>
    <row r="45" spans="1:27">
      <c r="A45" s="28"/>
      <c r="B45" s="28"/>
      <c r="C45" s="200"/>
      <c r="D45" s="200"/>
      <c r="E45" s="200"/>
      <c r="F45" s="200"/>
      <c r="G45" s="200"/>
      <c r="H45" s="200"/>
      <c r="I45" s="200"/>
      <c r="J45" s="200"/>
      <c r="K45" s="200"/>
      <c r="L45" s="200"/>
      <c r="M45" s="200"/>
      <c r="N45" s="200"/>
      <c r="O45" s="200"/>
      <c r="P45" s="200"/>
      <c r="Q45" s="200"/>
      <c r="R45" s="200" t="s">
        <v>655</v>
      </c>
      <c r="S45" s="200"/>
      <c r="T45" s="200"/>
      <c r="U45" s="200"/>
      <c r="V45" s="200" t="s">
        <v>203</v>
      </c>
      <c r="W45" s="253"/>
      <c r="X45" s="254">
        <v>0.08</v>
      </c>
      <c r="Y45" s="200">
        <v>6.14</v>
      </c>
      <c r="Z45" s="223">
        <f t="shared" si="5"/>
        <v>0.49119999999999997</v>
      </c>
      <c r="AA45" s="200"/>
    </row>
    <row r="46" spans="1:27">
      <c r="A46" s="242"/>
      <c r="B46" s="200"/>
      <c r="C46" s="200"/>
      <c r="D46" s="200"/>
      <c r="E46" s="200"/>
      <c r="F46" s="200"/>
      <c r="G46" s="200"/>
      <c r="I46" s="223"/>
      <c r="J46" s="223"/>
      <c r="K46" s="200"/>
      <c r="L46" s="200"/>
      <c r="M46" s="200"/>
      <c r="N46" s="200"/>
      <c r="O46" s="200"/>
      <c r="P46" s="200"/>
      <c r="Q46" s="200"/>
      <c r="R46" s="200"/>
      <c r="S46" s="200"/>
      <c r="T46" s="200"/>
      <c r="U46" s="200"/>
      <c r="V46" s="200"/>
      <c r="W46" s="253"/>
      <c r="X46" s="254"/>
      <c r="Y46" s="200"/>
      <c r="Z46" s="255">
        <f>SUM(Z44:Z45)</f>
        <v>46.764700000000005</v>
      </c>
      <c r="AA46" s="200"/>
    </row>
    <row r="47" spans="1:27">
      <c r="A47" s="242"/>
      <c r="B47" s="200"/>
      <c r="C47" s="200"/>
      <c r="D47" s="200"/>
      <c r="E47" s="200"/>
      <c r="F47" s="200"/>
      <c r="G47" s="200"/>
      <c r="I47" s="223"/>
      <c r="J47" s="223"/>
      <c r="K47" s="200"/>
      <c r="L47" s="200"/>
      <c r="M47" s="200"/>
      <c r="N47" s="200"/>
      <c r="O47" s="200"/>
      <c r="P47" s="200"/>
      <c r="Q47" s="200"/>
      <c r="R47" s="243" t="s">
        <v>309</v>
      </c>
      <c r="S47" s="200"/>
      <c r="T47" s="200"/>
      <c r="U47" s="200"/>
      <c r="V47" s="200"/>
      <c r="W47" s="253"/>
      <c r="X47" s="254"/>
      <c r="Y47" s="200"/>
      <c r="Z47" s="200"/>
      <c r="AA47" s="200"/>
    </row>
    <row r="48" spans="1:27">
      <c r="A48" s="242"/>
      <c r="B48" s="200"/>
      <c r="C48" s="200"/>
      <c r="D48" s="200"/>
      <c r="E48" s="200"/>
      <c r="F48" s="200"/>
      <c r="G48" s="200"/>
      <c r="I48" s="223"/>
      <c r="J48" s="223"/>
      <c r="K48" s="200"/>
      <c r="L48" s="200"/>
      <c r="M48" s="200"/>
      <c r="N48" s="200"/>
      <c r="O48" s="200"/>
      <c r="P48" s="200"/>
      <c r="Q48" s="200"/>
      <c r="R48" s="200" t="s">
        <v>310</v>
      </c>
      <c r="S48" s="200"/>
      <c r="T48" s="200"/>
      <c r="U48" s="200"/>
      <c r="V48" s="200" t="s">
        <v>311</v>
      </c>
      <c r="W48" s="253"/>
      <c r="X48" s="254">
        <v>3</v>
      </c>
      <c r="Y48" s="223">
        <f>Z42</f>
        <v>14.379466666666668</v>
      </c>
      <c r="Z48" s="223">
        <f>X48%*Y48</f>
        <v>0.43138399999999999</v>
      </c>
      <c r="AA48" s="200"/>
    </row>
    <row r="49" spans="1:27">
      <c r="A49" s="242"/>
      <c r="B49" s="200"/>
      <c r="C49" s="200"/>
      <c r="D49" s="200"/>
      <c r="E49" s="200"/>
      <c r="F49" s="200"/>
      <c r="G49" s="200"/>
      <c r="I49" s="223"/>
      <c r="J49" s="223"/>
      <c r="K49" s="23"/>
      <c r="L49" s="200"/>
      <c r="M49" s="200"/>
      <c r="N49" s="200"/>
      <c r="O49" s="200"/>
      <c r="P49" s="200"/>
      <c r="Q49" s="200"/>
      <c r="R49" s="200" t="s">
        <v>656</v>
      </c>
      <c r="S49" s="200"/>
      <c r="T49" s="200"/>
      <c r="U49" s="200"/>
      <c r="V49" s="200" t="s">
        <v>337</v>
      </c>
      <c r="W49" s="253">
        <v>1</v>
      </c>
      <c r="X49" s="254">
        <f>W49*8/$T$36</f>
        <v>0.26666666666666666</v>
      </c>
      <c r="Y49" s="200">
        <v>17.47</v>
      </c>
      <c r="Z49" s="223">
        <f t="shared" ref="Z49" si="6">X49*Y49</f>
        <v>4.6586666666666661</v>
      </c>
      <c r="AA49" s="200"/>
    </row>
    <row r="50" spans="1:27">
      <c r="A50" s="242"/>
      <c r="B50" s="200"/>
      <c r="C50" s="200"/>
      <c r="D50" s="200"/>
      <c r="E50" s="200"/>
      <c r="F50" s="200"/>
      <c r="G50" s="200"/>
      <c r="I50" s="223"/>
      <c r="J50" s="223"/>
      <c r="K50" s="200"/>
      <c r="L50" s="200"/>
      <c r="M50" s="200"/>
      <c r="N50" s="200"/>
      <c r="O50" s="200"/>
      <c r="P50" s="200"/>
      <c r="Q50" s="244" t="s">
        <v>671</v>
      </c>
      <c r="R50" s="244" t="s">
        <v>671</v>
      </c>
      <c r="S50" s="244" t="s">
        <v>671</v>
      </c>
      <c r="T50" s="244" t="s">
        <v>671</v>
      </c>
      <c r="U50" s="244" t="s">
        <v>671</v>
      </c>
      <c r="V50" s="244" t="s">
        <v>671</v>
      </c>
      <c r="W50" s="244" t="s">
        <v>671</v>
      </c>
      <c r="X50" s="244" t="s">
        <v>671</v>
      </c>
      <c r="Y50" s="245" t="s">
        <v>671</v>
      </c>
      <c r="Z50" s="256">
        <f>SUM(Z48:Z49)</f>
        <v>5.0900506666666665</v>
      </c>
      <c r="AA50" s="200"/>
    </row>
    <row r="51" spans="1:27">
      <c r="A51" s="242"/>
      <c r="B51" s="200"/>
      <c r="C51" s="200"/>
      <c r="D51" s="200"/>
      <c r="E51" s="200"/>
      <c r="F51" s="200"/>
      <c r="G51" s="200"/>
      <c r="I51" s="223"/>
      <c r="J51" s="223"/>
      <c r="K51" s="23"/>
      <c r="L51" s="200"/>
      <c r="M51" s="200"/>
      <c r="N51" s="200"/>
      <c r="O51" s="200"/>
      <c r="P51" s="200"/>
      <c r="Q51" s="200"/>
      <c r="R51" s="200"/>
      <c r="S51" s="200"/>
      <c r="T51" s="200"/>
      <c r="U51" s="200"/>
      <c r="V51" s="200"/>
      <c r="W51" s="200"/>
      <c r="X51" s="200"/>
      <c r="Y51" s="200"/>
      <c r="Z51" s="200"/>
      <c r="AA51" s="200"/>
    </row>
    <row r="52" spans="1:27">
      <c r="A52" s="242"/>
      <c r="B52" s="200"/>
      <c r="C52" s="200"/>
      <c r="D52" s="200"/>
      <c r="E52" s="200"/>
      <c r="F52" s="200"/>
      <c r="G52" s="200"/>
      <c r="I52" s="223"/>
      <c r="J52" s="223"/>
      <c r="K52" s="200"/>
      <c r="L52" s="200"/>
      <c r="M52" s="200"/>
      <c r="N52" s="200"/>
      <c r="O52" s="200"/>
      <c r="P52" s="200"/>
      <c r="Q52" s="241" t="s">
        <v>277</v>
      </c>
      <c r="R52" s="241"/>
      <c r="S52" s="241" t="s">
        <v>464</v>
      </c>
      <c r="T52" s="241"/>
      <c r="U52" s="241"/>
      <c r="V52" s="241"/>
      <c r="W52" s="241"/>
      <c r="X52" s="241"/>
      <c r="Y52" s="241"/>
      <c r="Z52" s="200"/>
      <c r="AA52" s="200"/>
    </row>
    <row r="53" spans="1:27">
      <c r="A53" s="28"/>
      <c r="B53" s="28"/>
      <c r="C53" s="200"/>
      <c r="D53" s="200"/>
      <c r="E53" s="200"/>
      <c r="F53" s="200"/>
      <c r="G53" s="200"/>
      <c r="I53" s="223"/>
      <c r="J53" s="223"/>
      <c r="K53" s="200"/>
      <c r="L53" s="200"/>
      <c r="M53" s="200"/>
      <c r="N53" s="200"/>
      <c r="O53" s="200"/>
      <c r="P53" s="200"/>
      <c r="Q53" s="241" t="s">
        <v>278</v>
      </c>
      <c r="R53" s="241" t="s">
        <v>416</v>
      </c>
      <c r="S53" s="241" t="s">
        <v>280</v>
      </c>
      <c r="T53" s="257">
        <v>40</v>
      </c>
      <c r="U53" s="257" t="s">
        <v>281</v>
      </c>
      <c r="V53" s="257">
        <f>T53</f>
        <v>40</v>
      </c>
      <c r="W53" s="241" t="s">
        <v>282</v>
      </c>
      <c r="X53" s="241"/>
      <c r="Y53" s="241" t="s">
        <v>203</v>
      </c>
      <c r="Z53" s="255">
        <f>Z59+Z62+Z67</f>
        <v>19.79083</v>
      </c>
      <c r="AA53" s="200"/>
    </row>
    <row r="54" spans="1:27">
      <c r="A54" s="200"/>
      <c r="B54" s="200"/>
      <c r="C54" s="200"/>
      <c r="D54" s="200"/>
      <c r="E54" s="200"/>
      <c r="F54" s="200"/>
      <c r="G54" s="200"/>
      <c r="I54" s="223"/>
      <c r="J54" s="223"/>
      <c r="K54" s="200"/>
      <c r="L54" s="200"/>
      <c r="M54" s="200"/>
      <c r="N54" s="200"/>
      <c r="O54" s="200"/>
      <c r="P54" s="200"/>
      <c r="Q54" s="241" t="s">
        <v>283</v>
      </c>
      <c r="R54" s="241" t="s">
        <v>284</v>
      </c>
      <c r="S54" s="241"/>
      <c r="T54" s="200"/>
      <c r="U54" s="200"/>
      <c r="V54" s="241" t="s">
        <v>122</v>
      </c>
      <c r="W54" s="241" t="s">
        <v>285</v>
      </c>
      <c r="X54" s="241" t="s">
        <v>286</v>
      </c>
      <c r="Y54" s="241" t="s">
        <v>287</v>
      </c>
      <c r="Z54" s="241" t="s">
        <v>288</v>
      </c>
      <c r="AA54" s="200"/>
    </row>
    <row r="55" spans="1:27">
      <c r="A55" s="202"/>
      <c r="B55" s="202"/>
      <c r="C55" s="200"/>
      <c r="D55" s="200"/>
      <c r="E55" s="200"/>
      <c r="F55" s="200"/>
      <c r="G55" s="200"/>
      <c r="I55" s="223"/>
      <c r="J55" s="223"/>
      <c r="K55" s="200"/>
      <c r="L55" s="200"/>
      <c r="M55" s="200"/>
      <c r="N55" s="200"/>
      <c r="O55" s="200"/>
      <c r="P55" s="200"/>
      <c r="Q55" s="200"/>
      <c r="R55" s="243" t="s">
        <v>289</v>
      </c>
      <c r="S55" s="200"/>
      <c r="T55" s="200"/>
      <c r="U55" s="200"/>
      <c r="V55" s="200"/>
      <c r="W55" s="200"/>
      <c r="X55" s="200"/>
      <c r="Y55" s="200"/>
      <c r="Z55" s="200"/>
      <c r="AA55" s="200"/>
    </row>
    <row r="56" spans="1:27">
      <c r="A56" s="242"/>
      <c r="B56" s="242"/>
      <c r="C56" s="242"/>
      <c r="D56" s="242"/>
      <c r="E56" s="242"/>
      <c r="F56" s="200"/>
      <c r="G56" s="200"/>
      <c r="I56" s="258"/>
      <c r="J56" s="223"/>
      <c r="K56" s="200"/>
      <c r="L56" s="200"/>
      <c r="M56" s="200"/>
      <c r="N56" s="200"/>
      <c r="O56" s="200"/>
      <c r="P56" s="200"/>
      <c r="Q56" s="200"/>
      <c r="R56" s="200" t="s">
        <v>650</v>
      </c>
      <c r="S56" s="200"/>
      <c r="T56" s="200"/>
      <c r="U56" s="200"/>
      <c r="V56" s="200" t="s">
        <v>291</v>
      </c>
      <c r="W56" s="253">
        <v>0.1</v>
      </c>
      <c r="X56" s="254">
        <f>W56*8/$T$53</f>
        <v>0.02</v>
      </c>
      <c r="Y56" s="200">
        <v>34.729999999999997</v>
      </c>
      <c r="Z56" s="223">
        <f t="shared" ref="Z56:Z58" si="7">X56*Y56</f>
        <v>0.6946</v>
      </c>
      <c r="AA56" s="200"/>
    </row>
    <row r="57" spans="1:27">
      <c r="A57" s="202"/>
      <c r="B57" s="200"/>
      <c r="C57" s="200"/>
      <c r="D57" s="200"/>
      <c r="E57" s="200"/>
      <c r="F57" s="200"/>
      <c r="G57" s="200"/>
      <c r="I57" s="27"/>
      <c r="J57" s="223"/>
      <c r="K57" s="23"/>
      <c r="L57" s="200"/>
      <c r="M57" s="200"/>
      <c r="N57" s="200"/>
      <c r="O57" s="200"/>
      <c r="P57" s="200"/>
      <c r="Q57" s="200"/>
      <c r="R57" s="200" t="s">
        <v>293</v>
      </c>
      <c r="S57" s="200"/>
      <c r="T57" s="200"/>
      <c r="U57" s="200"/>
      <c r="V57" s="200" t="s">
        <v>291</v>
      </c>
      <c r="W57" s="253">
        <v>2</v>
      </c>
      <c r="X57" s="254">
        <f>W57*8/$T$53</f>
        <v>0.4</v>
      </c>
      <c r="Y57" s="200">
        <v>20.51</v>
      </c>
      <c r="Z57" s="223">
        <f t="shared" si="7"/>
        <v>8.2040000000000006</v>
      </c>
      <c r="AA57" s="200"/>
    </row>
    <row r="58" spans="1:27">
      <c r="A58" s="200"/>
      <c r="B58" s="200"/>
      <c r="C58" s="200"/>
      <c r="D58" s="200"/>
      <c r="E58" s="200"/>
      <c r="F58" s="200"/>
      <c r="G58" s="200"/>
      <c r="I58" s="27"/>
      <c r="J58" s="223"/>
      <c r="K58" s="23"/>
      <c r="L58" s="200"/>
      <c r="M58" s="200"/>
      <c r="N58" s="200"/>
      <c r="O58" s="200"/>
      <c r="P58" s="200"/>
      <c r="Q58" s="200"/>
      <c r="R58" s="200" t="s">
        <v>652</v>
      </c>
      <c r="S58" s="200"/>
      <c r="T58" s="200"/>
      <c r="U58" s="200"/>
      <c r="V58" s="200" t="s">
        <v>291</v>
      </c>
      <c r="W58" s="253">
        <v>1</v>
      </c>
      <c r="X58" s="254">
        <f>W58*8/$T$53</f>
        <v>0.2</v>
      </c>
      <c r="Y58" s="200">
        <v>29.94</v>
      </c>
      <c r="Z58" s="223">
        <f t="shared" si="7"/>
        <v>5.9880000000000004</v>
      </c>
      <c r="AA58" s="200"/>
    </row>
    <row r="59" spans="1:27">
      <c r="A59" s="202"/>
      <c r="B59" s="202"/>
      <c r="C59" s="202"/>
      <c r="D59" s="200"/>
      <c r="E59" s="200"/>
      <c r="F59" s="200"/>
      <c r="G59" s="200"/>
      <c r="I59" s="27"/>
      <c r="J59" s="223"/>
      <c r="K59" s="23"/>
      <c r="L59" s="200"/>
      <c r="M59" s="200"/>
      <c r="N59" s="200"/>
      <c r="O59" s="200"/>
      <c r="P59" s="200"/>
      <c r="Q59" s="200"/>
      <c r="R59" s="200"/>
      <c r="S59" s="200"/>
      <c r="T59" s="200"/>
      <c r="U59" s="200"/>
      <c r="V59" s="200"/>
      <c r="W59" s="253"/>
      <c r="X59" s="254"/>
      <c r="Y59" s="200"/>
      <c r="Z59" s="255">
        <f>SUM(Z56:Z58)</f>
        <v>14.886600000000001</v>
      </c>
      <c r="AA59" s="200"/>
    </row>
    <row r="60" spans="1:27">
      <c r="A60" s="202"/>
      <c r="B60" s="202"/>
      <c r="C60" s="202"/>
      <c r="D60" s="200"/>
      <c r="E60" s="200"/>
      <c r="F60" s="200"/>
      <c r="G60" s="200"/>
      <c r="I60" s="27"/>
      <c r="J60" s="223"/>
      <c r="K60" s="200"/>
      <c r="L60" s="200"/>
      <c r="M60" s="200"/>
      <c r="N60" s="200"/>
      <c r="O60" s="200"/>
      <c r="P60" s="200"/>
      <c r="Q60" s="200"/>
      <c r="R60" s="243" t="s">
        <v>653</v>
      </c>
      <c r="S60" s="200"/>
      <c r="T60" s="200"/>
      <c r="U60" s="200"/>
      <c r="V60" s="200"/>
      <c r="W60" s="253"/>
      <c r="X60" s="254"/>
      <c r="Y60" s="200"/>
      <c r="Z60" s="200"/>
      <c r="AA60" s="200"/>
    </row>
    <row r="61" spans="1:27">
      <c r="A61" s="200"/>
      <c r="B61" s="200"/>
      <c r="C61" s="200"/>
      <c r="D61" s="200"/>
      <c r="E61" s="200"/>
      <c r="F61" s="200"/>
      <c r="G61" s="200"/>
      <c r="I61" s="27"/>
      <c r="J61" s="223"/>
      <c r="K61" s="200"/>
      <c r="L61" s="200"/>
      <c r="M61" s="200"/>
      <c r="N61" s="200"/>
      <c r="O61" s="200"/>
      <c r="P61" s="200"/>
      <c r="Q61" s="200"/>
      <c r="R61" s="200" t="s">
        <v>655</v>
      </c>
      <c r="S61" s="200"/>
      <c r="T61" s="200"/>
      <c r="U61" s="200"/>
      <c r="V61" s="200" t="s">
        <v>203</v>
      </c>
      <c r="W61" s="253"/>
      <c r="X61" s="254">
        <v>0.08</v>
      </c>
      <c r="Y61" s="200">
        <v>6.14</v>
      </c>
      <c r="Z61" s="223">
        <f t="shared" ref="Z61" si="8">X61*Y61</f>
        <v>0.49119999999999997</v>
      </c>
      <c r="AA61" s="200"/>
    </row>
    <row r="62" spans="1:27">
      <c r="A62" s="200"/>
      <c r="B62" s="200"/>
      <c r="C62" s="200"/>
      <c r="D62" s="200"/>
      <c r="E62" s="200"/>
      <c r="F62" s="200"/>
      <c r="G62" s="200"/>
      <c r="I62" s="223"/>
      <c r="J62" s="223"/>
      <c r="K62" s="200"/>
      <c r="L62" s="200"/>
      <c r="M62" s="200"/>
      <c r="N62" s="200"/>
      <c r="O62" s="200"/>
      <c r="P62" s="200"/>
      <c r="Q62" s="200"/>
      <c r="R62" s="200"/>
      <c r="S62" s="200"/>
      <c r="T62" s="200"/>
      <c r="U62" s="200"/>
      <c r="V62" s="200"/>
      <c r="W62" s="253"/>
      <c r="X62" s="254"/>
      <c r="Y62" s="200"/>
      <c r="Z62" s="255">
        <f>SUM(Z61)</f>
        <v>0.49119999999999997</v>
      </c>
      <c r="AA62" s="200"/>
    </row>
    <row r="63" spans="1:27">
      <c r="A63" s="200"/>
      <c r="B63" s="200"/>
      <c r="C63" s="200"/>
      <c r="D63" s="200"/>
      <c r="E63" s="200"/>
      <c r="F63" s="200"/>
      <c r="G63" s="200"/>
      <c r="I63" s="27"/>
      <c r="J63" s="223"/>
      <c r="K63" s="23"/>
      <c r="L63" s="200"/>
      <c r="M63" s="200"/>
      <c r="N63" s="200"/>
      <c r="O63" s="200"/>
      <c r="P63" s="200"/>
      <c r="Q63" s="200"/>
      <c r="R63" s="243" t="s">
        <v>309</v>
      </c>
      <c r="S63" s="200"/>
      <c r="T63" s="200"/>
      <c r="U63" s="200"/>
      <c r="V63" s="200"/>
      <c r="W63" s="253"/>
      <c r="X63" s="254"/>
      <c r="Y63" s="200"/>
      <c r="Z63" s="200"/>
      <c r="AA63" s="200"/>
    </row>
    <row r="64" spans="1:27">
      <c r="A64" s="247"/>
      <c r="B64" s="200"/>
      <c r="C64" s="200"/>
      <c r="D64" s="200"/>
      <c r="E64" s="200"/>
      <c r="F64" s="200"/>
      <c r="G64" s="23"/>
      <c r="I64" s="27"/>
      <c r="J64" s="223"/>
      <c r="K64" s="200"/>
      <c r="L64" s="200"/>
      <c r="M64" s="200"/>
      <c r="N64" s="200"/>
      <c r="O64" s="200"/>
      <c r="P64" s="200"/>
      <c r="Q64" s="200"/>
      <c r="R64" s="200" t="s">
        <v>310</v>
      </c>
      <c r="S64" s="200"/>
      <c r="T64" s="200"/>
      <c r="U64" s="200"/>
      <c r="V64" s="200" t="s">
        <v>311</v>
      </c>
      <c r="W64" s="253"/>
      <c r="X64" s="254">
        <v>5</v>
      </c>
      <c r="Y64" s="223">
        <f>Z59</f>
        <v>14.886600000000001</v>
      </c>
      <c r="Z64" s="223">
        <f>X64%*Y64</f>
        <v>0.74433000000000016</v>
      </c>
      <c r="AA64" s="200"/>
    </row>
    <row r="65" spans="1:27">
      <c r="A65" s="200"/>
      <c r="B65" s="200"/>
      <c r="C65" s="200"/>
      <c r="D65" s="200"/>
      <c r="E65" s="200"/>
      <c r="F65" s="200"/>
      <c r="G65" s="23"/>
      <c r="I65" s="27"/>
      <c r="J65" s="223"/>
      <c r="K65" s="200"/>
      <c r="L65" s="200"/>
      <c r="M65" s="200"/>
      <c r="N65" s="200"/>
      <c r="O65" s="200"/>
      <c r="P65" s="200"/>
      <c r="Q65" s="200"/>
      <c r="R65" s="200" t="s">
        <v>656</v>
      </c>
      <c r="S65" s="200"/>
      <c r="T65" s="200"/>
      <c r="U65" s="200"/>
      <c r="V65" s="200" t="s">
        <v>337</v>
      </c>
      <c r="W65" s="253">
        <v>1</v>
      </c>
      <c r="X65" s="254">
        <f>W65*8/$T$53</f>
        <v>0.2</v>
      </c>
      <c r="Y65" s="200">
        <v>17.47</v>
      </c>
      <c r="Z65" s="223">
        <f t="shared" ref="Z65:Z66" si="9">X65*Y65</f>
        <v>3.4939999999999998</v>
      </c>
      <c r="AA65" s="200"/>
    </row>
    <row r="66" spans="1:27">
      <c r="A66" s="200"/>
      <c r="B66" s="200"/>
      <c r="C66" s="200"/>
      <c r="D66" s="200"/>
      <c r="E66" s="200"/>
      <c r="F66" s="200"/>
      <c r="G66" s="23"/>
      <c r="I66" s="27"/>
      <c r="J66" s="223"/>
      <c r="K66" s="200"/>
      <c r="L66" s="200"/>
      <c r="M66" s="200"/>
      <c r="N66" s="200"/>
      <c r="O66" s="200"/>
      <c r="P66" s="200"/>
      <c r="Q66" s="200"/>
      <c r="R66" s="200" t="s">
        <v>657</v>
      </c>
      <c r="S66" s="200"/>
      <c r="T66" s="200"/>
      <c r="U66" s="200"/>
      <c r="V66" s="200" t="s">
        <v>337</v>
      </c>
      <c r="W66" s="253">
        <v>0.05</v>
      </c>
      <c r="X66" s="254">
        <f>W66*8/$T$53</f>
        <v>0.01</v>
      </c>
      <c r="Y66" s="200">
        <v>17.47</v>
      </c>
      <c r="Z66" s="223">
        <f t="shared" si="9"/>
        <v>0.17469999999999999</v>
      </c>
      <c r="AA66" s="200"/>
    </row>
    <row r="67" spans="1:27">
      <c r="A67" s="200"/>
      <c r="B67" s="200"/>
      <c r="C67" s="200"/>
      <c r="D67" s="200"/>
      <c r="E67" s="200"/>
      <c r="F67" s="200"/>
      <c r="G67" s="23"/>
      <c r="I67" s="27"/>
      <c r="J67" s="223"/>
      <c r="K67" s="200"/>
      <c r="L67" s="200"/>
      <c r="M67" s="200"/>
      <c r="N67" s="200"/>
      <c r="O67" s="200"/>
      <c r="P67" s="200"/>
      <c r="Q67" s="244" t="s">
        <v>671</v>
      </c>
      <c r="R67" s="244" t="s">
        <v>671</v>
      </c>
      <c r="S67" s="244" t="s">
        <v>671</v>
      </c>
      <c r="T67" s="244" t="s">
        <v>671</v>
      </c>
      <c r="U67" s="244" t="s">
        <v>671</v>
      </c>
      <c r="V67" s="244" t="s">
        <v>671</v>
      </c>
      <c r="W67" s="244" t="s">
        <v>671</v>
      </c>
      <c r="X67" s="244" t="s">
        <v>671</v>
      </c>
      <c r="Y67" s="245" t="s">
        <v>671</v>
      </c>
      <c r="Z67" s="256">
        <f>SUM(Z64:Z66)</f>
        <v>4.4130299999999991</v>
      </c>
      <c r="AA67" s="200"/>
    </row>
    <row r="68" spans="1:27">
      <c r="A68" s="200"/>
      <c r="B68" s="200"/>
      <c r="C68" s="200"/>
      <c r="D68" s="200"/>
      <c r="E68" s="200"/>
      <c r="F68" s="200"/>
      <c r="G68" s="200"/>
      <c r="H68" s="200"/>
      <c r="I68" s="200"/>
      <c r="J68" s="200"/>
      <c r="K68" s="200"/>
      <c r="L68" s="200"/>
      <c r="M68" s="200"/>
      <c r="N68" s="200"/>
      <c r="O68" s="200"/>
      <c r="P68" s="200"/>
      <c r="Q68" s="200"/>
      <c r="R68" s="200"/>
      <c r="S68" s="200"/>
      <c r="T68" s="200"/>
      <c r="U68" s="200"/>
      <c r="V68" s="200"/>
      <c r="W68" s="200"/>
      <c r="X68" s="200"/>
      <c r="Y68" s="200"/>
      <c r="Z68" s="200"/>
      <c r="AA68" s="200"/>
    </row>
    <row r="69" spans="1:27">
      <c r="A69" s="200"/>
      <c r="B69" s="200"/>
      <c r="C69" s="200"/>
      <c r="D69" s="200"/>
      <c r="E69" s="200"/>
      <c r="F69" s="200"/>
      <c r="G69" s="200"/>
      <c r="H69" s="200"/>
      <c r="I69" s="200"/>
      <c r="J69" s="200"/>
      <c r="K69" s="200"/>
      <c r="L69" s="200"/>
      <c r="M69" s="200"/>
      <c r="N69" s="200"/>
      <c r="O69" s="200"/>
      <c r="P69" s="200"/>
      <c r="Q69" s="241" t="s">
        <v>277</v>
      </c>
      <c r="R69" s="241"/>
      <c r="S69" s="241" t="s">
        <v>1345</v>
      </c>
      <c r="T69" s="241"/>
      <c r="U69" s="241"/>
      <c r="V69" s="241"/>
      <c r="W69" s="241"/>
      <c r="X69" s="200"/>
      <c r="Y69" s="200"/>
      <c r="Z69" s="200"/>
      <c r="AA69" s="200"/>
    </row>
    <row r="70" spans="1:27">
      <c r="A70" s="200"/>
      <c r="B70" s="200"/>
      <c r="C70" s="200"/>
      <c r="D70" s="200"/>
      <c r="E70" s="200"/>
      <c r="F70" s="200"/>
      <c r="G70" s="200"/>
      <c r="H70" s="200"/>
      <c r="I70" s="200"/>
      <c r="J70" s="200"/>
      <c r="K70" s="200"/>
      <c r="L70" s="200"/>
      <c r="M70" s="200"/>
      <c r="N70" s="200"/>
      <c r="O70" s="200"/>
      <c r="P70" s="200"/>
      <c r="Q70" s="241" t="s">
        <v>278</v>
      </c>
      <c r="R70" s="241" t="s">
        <v>279</v>
      </c>
      <c r="S70" s="241" t="s">
        <v>280</v>
      </c>
      <c r="T70" s="257">
        <v>500</v>
      </c>
      <c r="U70" s="257" t="s">
        <v>281</v>
      </c>
      <c r="V70" s="257">
        <f>T70</f>
        <v>500</v>
      </c>
      <c r="W70" s="241" t="s">
        <v>282</v>
      </c>
      <c r="X70" s="241"/>
      <c r="Y70" s="241" t="s">
        <v>133</v>
      </c>
      <c r="Z70" s="255">
        <f>Z76+Z82</f>
        <v>7.9984480000000007</v>
      </c>
      <c r="AA70" s="200"/>
    </row>
    <row r="71" spans="1:27">
      <c r="A71" s="200"/>
      <c r="B71" s="200"/>
      <c r="C71" s="200"/>
      <c r="D71" s="200"/>
      <c r="E71" s="200"/>
      <c r="F71" s="200"/>
      <c r="G71" s="200"/>
      <c r="H71" s="246"/>
      <c r="I71" s="200"/>
      <c r="J71" s="200"/>
      <c r="K71" s="200"/>
      <c r="L71" s="200"/>
      <c r="M71" s="200"/>
      <c r="N71" s="200"/>
      <c r="O71" s="200"/>
      <c r="P71" s="200"/>
      <c r="Q71" s="241" t="s">
        <v>283</v>
      </c>
      <c r="R71" s="241" t="s">
        <v>284</v>
      </c>
      <c r="S71" s="241"/>
      <c r="T71" s="200"/>
      <c r="U71" s="200"/>
      <c r="V71" s="241" t="s">
        <v>122</v>
      </c>
      <c r="W71" s="241" t="s">
        <v>285</v>
      </c>
      <c r="X71" s="241" t="s">
        <v>286</v>
      </c>
      <c r="Y71" s="241" t="s">
        <v>287</v>
      </c>
      <c r="Z71" s="241" t="s">
        <v>288</v>
      </c>
      <c r="AA71" s="200"/>
    </row>
    <row r="72" spans="1:27">
      <c r="A72" s="200"/>
      <c r="B72" s="200"/>
      <c r="C72" s="200"/>
      <c r="D72" s="200"/>
      <c r="E72" s="200"/>
      <c r="F72" s="200"/>
      <c r="G72" s="200"/>
      <c r="H72" s="200"/>
      <c r="I72" s="200"/>
      <c r="J72" s="200"/>
      <c r="K72" s="200"/>
      <c r="L72" s="200"/>
      <c r="M72" s="200"/>
      <c r="N72" s="200"/>
      <c r="O72" s="200"/>
      <c r="P72" s="200"/>
      <c r="Q72" s="200"/>
      <c r="R72" s="243" t="s">
        <v>289</v>
      </c>
      <c r="S72" s="200"/>
      <c r="T72" s="200"/>
      <c r="U72" s="200"/>
      <c r="V72" s="200"/>
      <c r="W72" s="200"/>
      <c r="X72" s="200"/>
      <c r="Y72" s="200"/>
      <c r="Z72" s="200"/>
      <c r="AA72" s="200"/>
    </row>
    <row r="73" spans="1:27">
      <c r="A73" s="200"/>
      <c r="B73" s="200"/>
      <c r="C73" s="200"/>
      <c r="D73" s="200"/>
      <c r="E73" s="200"/>
      <c r="F73" s="200"/>
      <c r="G73" s="200"/>
      <c r="H73" s="200"/>
      <c r="I73" s="200"/>
      <c r="J73" s="200"/>
      <c r="K73" s="200"/>
      <c r="L73" s="200"/>
      <c r="M73" s="200"/>
      <c r="N73" s="200"/>
      <c r="O73" s="200"/>
      <c r="P73" s="200"/>
      <c r="Q73" s="200"/>
      <c r="R73" s="200" t="s">
        <v>650</v>
      </c>
      <c r="S73" s="200"/>
      <c r="T73" s="200"/>
      <c r="U73" s="200"/>
      <c r="V73" s="200" t="s">
        <v>291</v>
      </c>
      <c r="W73" s="253">
        <v>1</v>
      </c>
      <c r="X73" s="254">
        <f>W73*8/$T$70</f>
        <v>1.6E-2</v>
      </c>
      <c r="Y73" s="200">
        <v>34.729999999999997</v>
      </c>
      <c r="Z73" s="223">
        <f t="shared" ref="Z73:Z75" si="10">X73*Y73</f>
        <v>0.55567999999999995</v>
      </c>
      <c r="AA73" s="200"/>
    </row>
    <row r="74" spans="1:27">
      <c r="A74" s="200"/>
      <c r="B74" s="200"/>
      <c r="C74" s="200"/>
      <c r="D74" s="200"/>
      <c r="E74" s="200"/>
      <c r="F74" s="200"/>
      <c r="G74" s="200"/>
      <c r="H74" s="200"/>
      <c r="I74" s="200"/>
      <c r="J74" s="200"/>
      <c r="K74" s="200"/>
      <c r="L74" s="200"/>
      <c r="M74" s="200"/>
      <c r="N74" s="200"/>
      <c r="O74" s="200"/>
      <c r="P74" s="200"/>
      <c r="Q74" s="200"/>
      <c r="R74" s="200" t="s">
        <v>292</v>
      </c>
      <c r="S74" s="200"/>
      <c r="T74" s="200"/>
      <c r="U74" s="200"/>
      <c r="V74" s="200" t="s">
        <v>291</v>
      </c>
      <c r="W74" s="253">
        <v>1</v>
      </c>
      <c r="X74" s="254">
        <f>W74*8/$T$70</f>
        <v>1.6E-2</v>
      </c>
      <c r="Y74" s="200">
        <v>23.6</v>
      </c>
      <c r="Z74" s="223">
        <f t="shared" si="10"/>
        <v>0.37760000000000005</v>
      </c>
      <c r="AA74" s="200"/>
    </row>
    <row r="75" spans="1:27">
      <c r="A75" s="200"/>
      <c r="B75" s="200"/>
      <c r="C75" s="200"/>
      <c r="D75" s="200"/>
      <c r="E75" s="200"/>
      <c r="F75" s="200"/>
      <c r="G75" s="200"/>
      <c r="H75" s="200"/>
      <c r="I75" s="200"/>
      <c r="J75" s="200"/>
      <c r="K75" s="200"/>
      <c r="L75" s="200"/>
      <c r="M75" s="200"/>
      <c r="N75" s="200"/>
      <c r="O75" s="200"/>
      <c r="P75" s="200"/>
      <c r="Q75" s="200"/>
      <c r="R75" s="200" t="s">
        <v>293</v>
      </c>
      <c r="S75" s="200"/>
      <c r="T75" s="200"/>
      <c r="U75" s="200"/>
      <c r="V75" s="200" t="s">
        <v>291</v>
      </c>
      <c r="W75" s="253">
        <v>3</v>
      </c>
      <c r="X75" s="254">
        <f>W75*8/$T$70</f>
        <v>4.8000000000000001E-2</v>
      </c>
      <c r="Y75" s="200">
        <v>20.51</v>
      </c>
      <c r="Z75" s="223">
        <f t="shared" si="10"/>
        <v>0.98448000000000013</v>
      </c>
      <c r="AA75" s="200"/>
    </row>
    <row r="76" spans="1:27">
      <c r="A76" s="200"/>
      <c r="B76" s="200"/>
      <c r="C76" s="200"/>
      <c r="D76" s="200"/>
      <c r="E76" s="200"/>
      <c r="F76" s="200"/>
      <c r="G76" s="200"/>
      <c r="H76" s="200"/>
      <c r="I76" s="200"/>
      <c r="J76" s="200"/>
      <c r="K76" s="200"/>
      <c r="L76" s="200"/>
      <c r="M76" s="200"/>
      <c r="N76" s="200"/>
      <c r="O76" s="200"/>
      <c r="P76" s="200"/>
      <c r="Q76" s="200"/>
      <c r="R76" s="200"/>
      <c r="S76" s="200"/>
      <c r="T76" s="200"/>
      <c r="U76" s="200"/>
      <c r="V76" s="200"/>
      <c r="W76" s="253"/>
      <c r="X76" s="254"/>
      <c r="Y76" s="200"/>
      <c r="Z76" s="255">
        <f>SUM(Z73:Z75)</f>
        <v>1.9177600000000001</v>
      </c>
      <c r="AA76" s="200"/>
    </row>
    <row r="77" spans="1:27">
      <c r="A77" s="200"/>
      <c r="B77" s="200"/>
      <c r="C77" s="200"/>
      <c r="D77" s="200"/>
      <c r="E77" s="200"/>
      <c r="F77" s="200"/>
      <c r="G77" s="200"/>
      <c r="H77" s="200"/>
      <c r="I77" s="200"/>
      <c r="J77" s="200"/>
      <c r="K77" s="200"/>
      <c r="L77" s="200"/>
      <c r="M77" s="200"/>
      <c r="N77" s="200"/>
      <c r="O77" s="200"/>
      <c r="P77" s="200"/>
      <c r="Q77" s="200"/>
      <c r="R77" s="243" t="s">
        <v>309</v>
      </c>
      <c r="S77" s="200"/>
      <c r="T77" s="200"/>
      <c r="U77" s="200"/>
      <c r="V77" s="200"/>
      <c r="W77" s="253"/>
      <c r="X77" s="254"/>
      <c r="Y77" s="200"/>
      <c r="Z77" s="200"/>
      <c r="AA77" s="200"/>
    </row>
    <row r="78" spans="1:27">
      <c r="A78" s="200"/>
      <c r="B78" s="200"/>
      <c r="C78" s="200"/>
      <c r="D78" s="200"/>
      <c r="E78" s="200"/>
      <c r="F78" s="200"/>
      <c r="G78" s="200"/>
      <c r="H78" s="200"/>
      <c r="I78" s="200"/>
      <c r="J78" s="200"/>
      <c r="K78" s="200"/>
      <c r="L78" s="200"/>
      <c r="M78" s="200"/>
      <c r="N78" s="200"/>
      <c r="O78" s="200"/>
      <c r="P78" s="200"/>
      <c r="Q78" s="200"/>
      <c r="R78" s="200" t="s">
        <v>310</v>
      </c>
      <c r="S78" s="200"/>
      <c r="T78" s="200"/>
      <c r="U78" s="200"/>
      <c r="V78" s="200" t="s">
        <v>311</v>
      </c>
      <c r="W78" s="253"/>
      <c r="X78" s="254">
        <v>5</v>
      </c>
      <c r="Y78" s="223">
        <f>Z76</f>
        <v>1.9177600000000001</v>
      </c>
      <c r="Z78" s="223">
        <f>X78%*Y78</f>
        <v>9.5888000000000015E-2</v>
      </c>
      <c r="AA78" s="200"/>
    </row>
    <row r="79" spans="1:27">
      <c r="A79" s="200"/>
      <c r="B79" s="200"/>
      <c r="C79" s="200"/>
      <c r="D79" s="200"/>
      <c r="E79" s="200"/>
      <c r="F79" s="200"/>
      <c r="G79" s="200"/>
      <c r="H79" s="200"/>
      <c r="I79" s="200"/>
      <c r="J79" s="200"/>
      <c r="K79" s="200"/>
      <c r="L79" s="200"/>
      <c r="M79" s="200"/>
      <c r="N79" s="200"/>
      <c r="O79" s="200"/>
      <c r="P79" s="200"/>
      <c r="Q79" s="200"/>
      <c r="R79" s="200" t="s">
        <v>656</v>
      </c>
      <c r="S79" s="200"/>
      <c r="T79" s="200"/>
      <c r="U79" s="200"/>
      <c r="V79" s="200" t="s">
        <v>337</v>
      </c>
      <c r="W79" s="253">
        <v>1</v>
      </c>
      <c r="X79" s="254">
        <f>W79*8/$T$70</f>
        <v>1.6E-2</v>
      </c>
      <c r="Y79" s="200">
        <v>17.47</v>
      </c>
      <c r="Z79" s="223">
        <f t="shared" ref="Z79:Z81" si="11">X79*Y79</f>
        <v>0.27951999999999999</v>
      </c>
      <c r="AA79" s="200"/>
    </row>
    <row r="80" spans="1:27">
      <c r="A80" s="200"/>
      <c r="B80" s="200"/>
      <c r="C80" s="200"/>
      <c r="D80" s="200"/>
      <c r="E80" s="200"/>
      <c r="F80" s="200"/>
      <c r="G80" s="200"/>
      <c r="H80" s="200"/>
      <c r="I80" s="200"/>
      <c r="J80" s="200"/>
      <c r="K80" s="200"/>
      <c r="L80" s="200"/>
      <c r="M80" s="200"/>
      <c r="N80" s="200"/>
      <c r="O80" s="200"/>
      <c r="P80" s="200"/>
      <c r="Q80" s="200"/>
      <c r="R80" s="200" t="s">
        <v>658</v>
      </c>
      <c r="S80" s="200"/>
      <c r="T80" s="200"/>
      <c r="U80" s="200"/>
      <c r="V80" s="200" t="s">
        <v>337</v>
      </c>
      <c r="W80" s="253">
        <v>1</v>
      </c>
      <c r="X80" s="254">
        <f>W80*8/$T$70</f>
        <v>1.6E-2</v>
      </c>
      <c r="Y80" s="200">
        <v>136.06</v>
      </c>
      <c r="Z80" s="223">
        <f t="shared" si="11"/>
        <v>2.1769600000000002</v>
      </c>
      <c r="AA80" s="200"/>
    </row>
    <row r="81" spans="1:27">
      <c r="A81" s="200"/>
      <c r="B81" s="200"/>
      <c r="C81" s="200"/>
      <c r="D81" s="200"/>
      <c r="E81" s="200"/>
      <c r="F81" s="200"/>
      <c r="G81" s="200"/>
      <c r="H81" s="200"/>
      <c r="I81" s="200"/>
      <c r="J81" s="200"/>
      <c r="K81" s="200"/>
      <c r="L81" s="200"/>
      <c r="M81" s="200"/>
      <c r="N81" s="200"/>
      <c r="O81" s="200"/>
      <c r="P81" s="200"/>
      <c r="Q81" s="200"/>
      <c r="R81" s="200" t="s">
        <v>659</v>
      </c>
      <c r="S81" s="249"/>
      <c r="T81" s="249"/>
      <c r="U81" s="249"/>
      <c r="V81" s="200" t="s">
        <v>337</v>
      </c>
      <c r="W81" s="253">
        <v>1</v>
      </c>
      <c r="X81" s="254">
        <f>W81*8/$T$70</f>
        <v>1.6E-2</v>
      </c>
      <c r="Y81" s="200">
        <v>220.52</v>
      </c>
      <c r="Z81" s="223">
        <f t="shared" si="11"/>
        <v>3.5283200000000003</v>
      </c>
      <c r="AA81" s="200"/>
    </row>
    <row r="82" spans="1:27">
      <c r="A82" s="200"/>
      <c r="B82" s="200"/>
      <c r="C82" s="200"/>
      <c r="D82" s="200"/>
      <c r="E82" s="200"/>
      <c r="F82" s="200"/>
      <c r="G82" s="200"/>
      <c r="H82" s="200"/>
      <c r="I82" s="200"/>
      <c r="J82" s="200"/>
      <c r="K82" s="200"/>
      <c r="L82" s="200"/>
      <c r="M82" s="200"/>
      <c r="N82" s="200"/>
      <c r="O82" s="200"/>
      <c r="P82" s="200"/>
      <c r="Q82" s="244" t="s">
        <v>671</v>
      </c>
      <c r="R82" s="244" t="s">
        <v>671</v>
      </c>
      <c r="S82" s="244" t="s">
        <v>671</v>
      </c>
      <c r="T82" s="244" t="s">
        <v>671</v>
      </c>
      <c r="U82" s="244" t="s">
        <v>671</v>
      </c>
      <c r="V82" s="244" t="s">
        <v>671</v>
      </c>
      <c r="W82" s="244" t="s">
        <v>671</v>
      </c>
      <c r="X82" s="244" t="s">
        <v>671</v>
      </c>
      <c r="Y82" s="245" t="s">
        <v>671</v>
      </c>
      <c r="Z82" s="256">
        <f>SUM(Z78:Z81)</f>
        <v>6.0806880000000003</v>
      </c>
      <c r="AA82" s="200"/>
    </row>
    <row r="83" spans="1:27">
      <c r="A83" s="200"/>
      <c r="B83" s="200"/>
      <c r="C83" s="200"/>
      <c r="D83" s="200"/>
      <c r="E83" s="200"/>
      <c r="F83" s="200"/>
      <c r="G83" s="200"/>
      <c r="H83" s="200"/>
      <c r="I83" s="200"/>
      <c r="J83" s="200"/>
      <c r="K83" s="200"/>
      <c r="L83" s="200"/>
      <c r="M83" s="200"/>
      <c r="N83" s="200"/>
      <c r="O83" s="200"/>
      <c r="P83" s="200"/>
      <c r="Q83" s="200"/>
      <c r="R83" s="200"/>
      <c r="S83" s="200"/>
      <c r="T83" s="200"/>
      <c r="U83" s="200"/>
      <c r="V83" s="200"/>
      <c r="W83" s="200"/>
      <c r="X83" s="200"/>
      <c r="Y83" s="200"/>
      <c r="Z83" s="200"/>
      <c r="AA83" s="200"/>
    </row>
    <row r="84" spans="1:27">
      <c r="A84" s="200"/>
      <c r="B84" s="200"/>
      <c r="C84" s="200"/>
      <c r="D84" s="200"/>
      <c r="E84" s="200"/>
      <c r="F84" s="200"/>
      <c r="G84" s="200"/>
      <c r="H84" s="200"/>
      <c r="I84" s="200"/>
      <c r="J84" s="200"/>
      <c r="K84" s="200"/>
      <c r="L84" s="200"/>
      <c r="M84" s="200"/>
      <c r="N84" s="200"/>
      <c r="O84" s="200"/>
      <c r="P84" s="200"/>
      <c r="Q84" s="241" t="s">
        <v>277</v>
      </c>
      <c r="R84" s="241"/>
      <c r="S84" s="241" t="s">
        <v>468</v>
      </c>
      <c r="T84" s="241"/>
      <c r="U84" s="241"/>
      <c r="V84" s="241"/>
      <c r="W84" s="200"/>
      <c r="X84" s="200"/>
      <c r="Y84" s="200"/>
      <c r="Z84" s="200"/>
      <c r="AA84" s="200"/>
    </row>
    <row r="85" spans="1:27">
      <c r="A85" s="200"/>
      <c r="B85" s="200"/>
      <c r="C85" s="200"/>
      <c r="D85" s="200"/>
      <c r="E85" s="200"/>
      <c r="F85" s="200"/>
      <c r="G85" s="200"/>
      <c r="H85" s="200"/>
      <c r="I85" s="200"/>
      <c r="J85" s="200"/>
      <c r="K85" s="200"/>
      <c r="L85" s="200"/>
      <c r="M85" s="200"/>
      <c r="N85" s="200"/>
      <c r="O85" s="200"/>
      <c r="P85" s="200"/>
      <c r="Q85" s="241" t="s">
        <v>278</v>
      </c>
      <c r="R85" s="241" t="s">
        <v>313</v>
      </c>
      <c r="S85" s="241" t="s">
        <v>280</v>
      </c>
      <c r="T85" s="257">
        <v>80</v>
      </c>
      <c r="U85" s="257" t="s">
        <v>281</v>
      </c>
      <c r="V85" s="257">
        <f>T85</f>
        <v>80</v>
      </c>
      <c r="W85" s="241" t="s">
        <v>282</v>
      </c>
      <c r="X85" s="241"/>
      <c r="Y85" s="241" t="s">
        <v>144</v>
      </c>
      <c r="Z85" s="255">
        <f>Z89+Z93</f>
        <v>12.11253</v>
      </c>
      <c r="AA85" s="200"/>
    </row>
    <row r="86" spans="1:27">
      <c r="A86" s="200"/>
      <c r="B86" s="200"/>
      <c r="C86" s="200"/>
      <c r="D86" s="200"/>
      <c r="E86" s="200"/>
      <c r="F86" s="200"/>
      <c r="G86" s="200"/>
      <c r="H86" s="200"/>
      <c r="I86" s="200"/>
      <c r="J86" s="200"/>
      <c r="K86" s="200"/>
      <c r="L86" s="200"/>
      <c r="M86" s="200"/>
      <c r="N86" s="200"/>
      <c r="O86" s="200"/>
      <c r="P86" s="200"/>
      <c r="Q86" s="241" t="s">
        <v>283</v>
      </c>
      <c r="R86" s="241" t="s">
        <v>284</v>
      </c>
      <c r="S86" s="241"/>
      <c r="T86" s="253"/>
      <c r="U86" s="253"/>
      <c r="V86" s="257" t="s">
        <v>122</v>
      </c>
      <c r="W86" s="241" t="s">
        <v>285</v>
      </c>
      <c r="X86" s="241" t="s">
        <v>286</v>
      </c>
      <c r="Y86" s="241" t="s">
        <v>287</v>
      </c>
      <c r="Z86" s="241" t="s">
        <v>288</v>
      </c>
      <c r="AA86" s="200"/>
    </row>
    <row r="87" spans="1:27">
      <c r="A87" s="200"/>
      <c r="B87" s="200"/>
      <c r="C87" s="200"/>
      <c r="D87" s="200"/>
      <c r="E87" s="200"/>
      <c r="F87" s="200"/>
      <c r="G87" s="200"/>
      <c r="H87" s="200"/>
      <c r="I87" s="200"/>
      <c r="J87" s="200"/>
      <c r="K87" s="200"/>
      <c r="L87" s="200"/>
      <c r="M87" s="200"/>
      <c r="N87" s="200"/>
      <c r="O87" s="200"/>
      <c r="P87" s="200"/>
      <c r="Q87" s="200"/>
      <c r="R87" s="243" t="s">
        <v>289</v>
      </c>
      <c r="S87" s="200"/>
      <c r="T87" s="200"/>
      <c r="U87" s="200"/>
      <c r="V87" s="200"/>
      <c r="W87" s="200"/>
      <c r="X87" s="200"/>
      <c r="Y87" s="200"/>
      <c r="Z87" s="200"/>
      <c r="AA87" s="200"/>
    </row>
    <row r="88" spans="1:27">
      <c r="A88" s="200"/>
      <c r="B88" s="200"/>
      <c r="C88" s="200"/>
      <c r="D88" s="200"/>
      <c r="E88" s="200"/>
      <c r="F88" s="200"/>
      <c r="G88" s="200"/>
      <c r="H88" s="200"/>
      <c r="I88" s="200"/>
      <c r="J88" s="200"/>
      <c r="K88" s="200"/>
      <c r="L88" s="200"/>
      <c r="M88" s="200"/>
      <c r="N88" s="200"/>
      <c r="O88" s="200"/>
      <c r="P88" s="200"/>
      <c r="Q88" s="200"/>
      <c r="R88" s="200" t="s">
        <v>293</v>
      </c>
      <c r="S88" s="200"/>
      <c r="T88" s="200"/>
      <c r="U88" s="200"/>
      <c r="V88" s="200" t="s">
        <v>291</v>
      </c>
      <c r="W88" s="253">
        <v>1</v>
      </c>
      <c r="X88" s="254">
        <f>W88*8/$T$85</f>
        <v>0.1</v>
      </c>
      <c r="Y88" s="223">
        <v>20.51</v>
      </c>
      <c r="Z88" s="223">
        <f t="shared" ref="Z88" si="12">X88*Y88</f>
        <v>2.0510000000000002</v>
      </c>
      <c r="AA88" s="200"/>
    </row>
    <row r="89" spans="1:27">
      <c r="A89" s="200"/>
      <c r="B89" s="200"/>
      <c r="C89" s="200"/>
      <c r="D89" s="200"/>
      <c r="E89" s="200"/>
      <c r="F89" s="200"/>
      <c r="G89" s="200"/>
      <c r="H89" s="200"/>
      <c r="I89" s="200"/>
      <c r="J89" s="200"/>
      <c r="K89" s="200"/>
      <c r="L89" s="200"/>
      <c r="M89" s="200"/>
      <c r="N89" s="200"/>
      <c r="O89" s="200"/>
      <c r="P89" s="200"/>
      <c r="Q89" s="200"/>
      <c r="R89" s="200"/>
      <c r="S89" s="200"/>
      <c r="T89" s="200"/>
      <c r="U89" s="200"/>
      <c r="V89" s="200"/>
      <c r="W89" s="253"/>
      <c r="X89" s="254"/>
      <c r="Y89" s="223"/>
      <c r="Z89" s="255">
        <f>SUM(Z88)</f>
        <v>2.0510000000000002</v>
      </c>
      <c r="AA89" s="200"/>
    </row>
    <row r="90" spans="1:27">
      <c r="A90" s="200"/>
      <c r="B90" s="200"/>
      <c r="C90" s="200"/>
      <c r="D90" s="200"/>
      <c r="E90" s="200"/>
      <c r="F90" s="200"/>
      <c r="G90" s="200"/>
      <c r="H90" s="200"/>
      <c r="I90" s="200"/>
      <c r="J90" s="200"/>
      <c r="K90" s="200"/>
      <c r="L90" s="200"/>
      <c r="M90" s="200"/>
      <c r="N90" s="200"/>
      <c r="O90" s="200"/>
      <c r="P90" s="200"/>
      <c r="Q90" s="200"/>
      <c r="R90" s="243" t="s">
        <v>309</v>
      </c>
      <c r="S90" s="200"/>
      <c r="T90" s="200"/>
      <c r="U90" s="200"/>
      <c r="V90" s="200"/>
      <c r="W90" s="253"/>
      <c r="X90" s="254"/>
      <c r="Y90" s="223"/>
      <c r="Z90" s="223"/>
      <c r="AA90" s="200"/>
    </row>
    <row r="91" spans="1:27">
      <c r="A91" s="200"/>
      <c r="B91" s="200"/>
      <c r="C91" s="200"/>
      <c r="D91" s="200"/>
      <c r="E91" s="200"/>
      <c r="F91" s="200"/>
      <c r="G91" s="200"/>
      <c r="H91" s="200"/>
      <c r="I91" s="200"/>
      <c r="J91" s="200"/>
      <c r="K91" s="200"/>
      <c r="L91" s="200"/>
      <c r="M91" s="200"/>
      <c r="N91" s="200"/>
      <c r="O91" s="200"/>
      <c r="P91" s="200"/>
      <c r="Q91" s="200"/>
      <c r="R91" s="200" t="s">
        <v>310</v>
      </c>
      <c r="S91" s="200"/>
      <c r="T91" s="200"/>
      <c r="U91" s="200"/>
      <c r="V91" s="200" t="s">
        <v>311</v>
      </c>
      <c r="W91" s="253"/>
      <c r="X91" s="254">
        <v>3</v>
      </c>
      <c r="Y91" s="223">
        <f>Z89</f>
        <v>2.0510000000000002</v>
      </c>
      <c r="Z91" s="223">
        <f>X91%*Y91</f>
        <v>6.1530000000000001E-2</v>
      </c>
      <c r="AA91" s="200"/>
    </row>
    <row r="92" spans="1:27">
      <c r="A92" s="200"/>
      <c r="B92" s="200"/>
      <c r="C92" s="200"/>
      <c r="D92" s="200"/>
      <c r="E92" s="200"/>
      <c r="F92" s="200"/>
      <c r="G92" s="200"/>
      <c r="H92" s="200"/>
      <c r="I92" s="200"/>
      <c r="J92" s="200"/>
      <c r="K92" s="200"/>
      <c r="L92" s="200"/>
      <c r="M92" s="200"/>
      <c r="N92" s="200"/>
      <c r="O92" s="200"/>
      <c r="P92" s="200"/>
      <c r="Q92" s="200"/>
      <c r="R92" s="200" t="s">
        <v>660</v>
      </c>
      <c r="S92" s="200"/>
      <c r="T92" s="200"/>
      <c r="U92" s="200"/>
      <c r="V92" s="200" t="s">
        <v>337</v>
      </c>
      <c r="W92" s="253">
        <v>1</v>
      </c>
      <c r="X92" s="254">
        <f>W92*8/$T$85</f>
        <v>0.1</v>
      </c>
      <c r="Y92" s="223">
        <v>100</v>
      </c>
      <c r="Z92" s="223">
        <f t="shared" ref="Z92" si="13">X92*Y92</f>
        <v>10</v>
      </c>
      <c r="AA92" s="200"/>
    </row>
    <row r="93" spans="1:27">
      <c r="A93" s="200"/>
      <c r="B93" s="200"/>
      <c r="C93" s="200"/>
      <c r="D93" s="200"/>
      <c r="E93" s="200"/>
      <c r="F93" s="200"/>
      <c r="G93" s="200"/>
      <c r="H93" s="200"/>
      <c r="I93" s="200"/>
      <c r="J93" s="200"/>
      <c r="K93" s="200"/>
      <c r="L93" s="200"/>
      <c r="M93" s="200"/>
      <c r="N93" s="200"/>
      <c r="O93" s="200"/>
      <c r="P93" s="200"/>
      <c r="Q93" s="244" t="s">
        <v>671</v>
      </c>
      <c r="R93" s="244" t="s">
        <v>671</v>
      </c>
      <c r="S93" s="244" t="s">
        <v>671</v>
      </c>
      <c r="T93" s="244" t="s">
        <v>671</v>
      </c>
      <c r="U93" s="244" t="s">
        <v>671</v>
      </c>
      <c r="V93" s="244" t="s">
        <v>671</v>
      </c>
      <c r="W93" s="244" t="s">
        <v>671</v>
      </c>
      <c r="X93" s="244" t="s">
        <v>671</v>
      </c>
      <c r="Y93" s="256" t="s">
        <v>671</v>
      </c>
      <c r="Z93" s="256">
        <f>SUM(Z91:Z92)</f>
        <v>10.061529999999999</v>
      </c>
      <c r="AA93" s="200"/>
    </row>
    <row r="94" spans="1:27">
      <c r="A94" s="200"/>
      <c r="B94" s="200"/>
      <c r="C94" s="200"/>
      <c r="D94" s="200"/>
      <c r="E94" s="200"/>
      <c r="F94" s="200"/>
      <c r="G94" s="200"/>
      <c r="H94" s="200"/>
      <c r="I94" s="200"/>
      <c r="J94" s="200"/>
      <c r="K94" s="200"/>
      <c r="L94" s="200"/>
      <c r="M94" s="200"/>
      <c r="N94" s="200"/>
      <c r="O94" s="200"/>
      <c r="P94" s="200"/>
      <c r="Q94" s="200"/>
      <c r="R94" s="200"/>
      <c r="S94" s="200"/>
      <c r="T94" s="200"/>
      <c r="U94" s="200"/>
      <c r="V94" s="200"/>
      <c r="W94" s="200"/>
      <c r="X94" s="200"/>
      <c r="Y94" s="200"/>
      <c r="Z94" s="200"/>
      <c r="AA94" s="200"/>
    </row>
    <row r="95" spans="1:27">
      <c r="A95" s="200"/>
      <c r="B95" s="200"/>
      <c r="C95" s="200"/>
      <c r="D95" s="200"/>
      <c r="E95" s="200"/>
      <c r="F95" s="200"/>
      <c r="G95" s="200"/>
      <c r="H95" s="200"/>
      <c r="I95" s="200"/>
      <c r="J95" s="200"/>
      <c r="K95" s="200"/>
      <c r="L95" s="200"/>
      <c r="M95" s="200"/>
      <c r="N95" s="200"/>
      <c r="O95" s="200"/>
      <c r="P95" s="200"/>
      <c r="Q95" s="241" t="s">
        <v>277</v>
      </c>
      <c r="R95" s="241"/>
      <c r="S95" s="241" t="s">
        <v>470</v>
      </c>
      <c r="T95" s="241"/>
      <c r="U95" s="241"/>
      <c r="V95" s="241"/>
      <c r="W95" s="241"/>
      <c r="X95" s="200"/>
      <c r="Y95" s="200"/>
      <c r="Z95" s="200"/>
      <c r="AA95" s="200"/>
    </row>
    <row r="96" spans="1:27">
      <c r="A96" s="200"/>
      <c r="B96" s="200"/>
      <c r="C96" s="200"/>
      <c r="D96" s="200"/>
      <c r="E96" s="200"/>
      <c r="F96" s="200"/>
      <c r="G96" s="200"/>
      <c r="H96" s="200"/>
      <c r="I96" s="200"/>
      <c r="J96" s="200"/>
      <c r="K96" s="200"/>
      <c r="L96" s="200"/>
      <c r="M96" s="200"/>
      <c r="N96" s="200"/>
      <c r="O96" s="200"/>
      <c r="P96" s="200"/>
      <c r="Q96" s="241" t="s">
        <v>278</v>
      </c>
      <c r="R96" s="241" t="s">
        <v>416</v>
      </c>
      <c r="S96" s="241" t="s">
        <v>280</v>
      </c>
      <c r="T96" s="257">
        <v>187.5</v>
      </c>
      <c r="U96" s="257" t="s">
        <v>281</v>
      </c>
      <c r="V96" s="257">
        <f>T96</f>
        <v>187.5</v>
      </c>
      <c r="W96" s="241" t="s">
        <v>282</v>
      </c>
      <c r="X96" s="241"/>
      <c r="Y96" s="241" t="s">
        <v>203</v>
      </c>
      <c r="Z96" s="255">
        <f>Z101+Z106</f>
        <v>22.910007466666666</v>
      </c>
      <c r="AA96" s="200"/>
    </row>
    <row r="97" spans="1:27">
      <c r="A97" s="200"/>
      <c r="B97" s="200"/>
      <c r="C97" s="200"/>
      <c r="D97" s="200"/>
      <c r="E97" s="200"/>
      <c r="F97" s="200"/>
      <c r="G97" s="200"/>
      <c r="H97" s="200"/>
      <c r="I97" s="200"/>
      <c r="J97" s="200"/>
      <c r="K97" s="200"/>
      <c r="L97" s="200"/>
      <c r="M97" s="200"/>
      <c r="N97" s="200"/>
      <c r="O97" s="200"/>
      <c r="P97" s="200"/>
      <c r="Q97" s="241" t="s">
        <v>283</v>
      </c>
      <c r="R97" s="241" t="s">
        <v>284</v>
      </c>
      <c r="S97" s="241"/>
      <c r="T97" s="200"/>
      <c r="U97" s="200"/>
      <c r="V97" s="241" t="s">
        <v>122</v>
      </c>
      <c r="W97" s="241" t="s">
        <v>285</v>
      </c>
      <c r="X97" s="241" t="s">
        <v>286</v>
      </c>
      <c r="Y97" s="241" t="s">
        <v>287</v>
      </c>
      <c r="Z97" s="241" t="s">
        <v>288</v>
      </c>
      <c r="AA97" s="200"/>
    </row>
    <row r="98" spans="1:27">
      <c r="A98" s="200"/>
      <c r="B98" s="200"/>
      <c r="C98" s="200"/>
      <c r="D98" s="200"/>
      <c r="E98" s="200"/>
      <c r="F98" s="200"/>
      <c r="G98" s="200"/>
      <c r="H98" s="200"/>
      <c r="I98" s="200"/>
      <c r="J98" s="200"/>
      <c r="K98" s="200"/>
      <c r="L98" s="200"/>
      <c r="M98" s="200"/>
      <c r="N98" s="200"/>
      <c r="O98" s="200"/>
      <c r="P98" s="200"/>
      <c r="Q98" s="200"/>
      <c r="R98" s="243" t="s">
        <v>289</v>
      </c>
      <c r="S98" s="200"/>
      <c r="T98" s="200"/>
      <c r="U98" s="200"/>
      <c r="V98" s="200"/>
      <c r="W98" s="200"/>
      <c r="X98" s="200"/>
      <c r="Y98" s="200"/>
      <c r="Z98" s="200"/>
      <c r="AA98" s="200"/>
    </row>
    <row r="99" spans="1:27">
      <c r="A99" s="200"/>
      <c r="B99" s="200"/>
      <c r="C99" s="200"/>
      <c r="D99" s="200"/>
      <c r="E99" s="200"/>
      <c r="F99" s="200"/>
      <c r="G99" s="200"/>
      <c r="H99" s="200"/>
      <c r="I99" s="200"/>
      <c r="J99" s="200"/>
      <c r="K99" s="200"/>
      <c r="L99" s="200"/>
      <c r="M99" s="200"/>
      <c r="N99" s="200"/>
      <c r="O99" s="200"/>
      <c r="P99" s="200"/>
      <c r="Q99" s="200"/>
      <c r="R99" s="200" t="s">
        <v>292</v>
      </c>
      <c r="S99" s="200"/>
      <c r="T99" s="200"/>
      <c r="U99" s="200"/>
      <c r="V99" s="200" t="s">
        <v>291</v>
      </c>
      <c r="W99" s="253">
        <v>1</v>
      </c>
      <c r="X99" s="254">
        <f>W99*8/$T$96</f>
        <v>4.2666666666666665E-2</v>
      </c>
      <c r="Y99" s="200">
        <v>23.6</v>
      </c>
      <c r="Z99" s="223">
        <f t="shared" ref="Z99:Z100" si="14">X99*Y99</f>
        <v>1.0069333333333335</v>
      </c>
      <c r="AA99" s="200"/>
    </row>
    <row r="100" spans="1:27">
      <c r="A100" s="200"/>
      <c r="B100" s="200"/>
      <c r="C100" s="200"/>
      <c r="D100" s="200"/>
      <c r="E100" s="200"/>
      <c r="F100" s="200"/>
      <c r="G100" s="200"/>
      <c r="H100" s="200"/>
      <c r="I100" s="200"/>
      <c r="J100" s="200"/>
      <c r="K100" s="200"/>
      <c r="L100" s="200"/>
      <c r="M100" s="200"/>
      <c r="N100" s="200"/>
      <c r="O100" s="200"/>
      <c r="P100" s="200"/>
      <c r="Q100" s="200"/>
      <c r="R100" s="200" t="s">
        <v>293</v>
      </c>
      <c r="S100" s="200"/>
      <c r="T100" s="200"/>
      <c r="U100" s="200"/>
      <c r="V100" s="200" t="s">
        <v>291</v>
      </c>
      <c r="W100" s="253">
        <v>1</v>
      </c>
      <c r="X100" s="254">
        <f>W100*8/$T$96</f>
        <v>4.2666666666666665E-2</v>
      </c>
      <c r="Y100" s="200">
        <v>20.51</v>
      </c>
      <c r="Z100" s="223">
        <f t="shared" si="14"/>
        <v>0.87509333333333339</v>
      </c>
      <c r="AA100" s="200"/>
    </row>
    <row r="101" spans="1:27">
      <c r="A101" s="200"/>
      <c r="B101" s="200"/>
      <c r="C101" s="200"/>
      <c r="D101" s="200"/>
      <c r="E101" s="200"/>
      <c r="F101" s="200"/>
      <c r="G101" s="200"/>
      <c r="H101" s="200"/>
      <c r="I101" s="200"/>
      <c r="J101" s="200"/>
      <c r="K101" s="200"/>
      <c r="L101" s="200"/>
      <c r="M101" s="200"/>
      <c r="N101" s="200"/>
      <c r="O101" s="200"/>
      <c r="P101" s="200"/>
      <c r="Q101" s="200"/>
      <c r="R101" s="200"/>
      <c r="S101" s="200"/>
      <c r="T101" s="200"/>
      <c r="U101" s="200"/>
      <c r="V101" s="200"/>
      <c r="W101" s="253"/>
      <c r="X101" s="254"/>
      <c r="Y101" s="200"/>
      <c r="Z101" s="255">
        <f>SUM(Z99:Z100)</f>
        <v>1.882026666666667</v>
      </c>
      <c r="AA101" s="200"/>
    </row>
    <row r="102" spans="1:27">
      <c r="A102" s="200"/>
      <c r="B102" s="200"/>
      <c r="C102" s="200"/>
      <c r="D102" s="200"/>
      <c r="E102" s="200"/>
      <c r="F102" s="200"/>
      <c r="G102" s="200"/>
      <c r="H102" s="200"/>
      <c r="I102" s="200"/>
      <c r="J102" s="200"/>
      <c r="K102" s="200"/>
      <c r="L102" s="200"/>
      <c r="M102" s="200"/>
      <c r="N102" s="200"/>
      <c r="O102" s="200"/>
      <c r="P102" s="200"/>
      <c r="Q102" s="200"/>
      <c r="R102" s="243" t="s">
        <v>309</v>
      </c>
      <c r="S102" s="200"/>
      <c r="T102" s="200"/>
      <c r="U102" s="200"/>
      <c r="V102" s="200"/>
      <c r="W102" s="253"/>
      <c r="X102" s="254"/>
      <c r="Y102" s="200"/>
      <c r="Z102" s="200"/>
      <c r="AA102" s="200"/>
    </row>
    <row r="103" spans="1:27">
      <c r="A103" s="200"/>
      <c r="B103" s="200"/>
      <c r="C103" s="200"/>
      <c r="D103" s="200"/>
      <c r="E103" s="200"/>
      <c r="F103" s="200"/>
      <c r="G103" s="200"/>
      <c r="H103" s="200"/>
      <c r="I103" s="200"/>
      <c r="J103" s="200"/>
      <c r="K103" s="200"/>
      <c r="L103" s="200"/>
      <c r="M103" s="200"/>
      <c r="N103" s="200"/>
      <c r="O103" s="200"/>
      <c r="P103" s="200"/>
      <c r="Q103" s="200"/>
      <c r="R103" s="200" t="s">
        <v>310</v>
      </c>
      <c r="S103" s="200"/>
      <c r="T103" s="200"/>
      <c r="U103" s="200"/>
      <c r="V103" s="200" t="s">
        <v>311</v>
      </c>
      <c r="W103" s="253"/>
      <c r="X103" s="254">
        <v>3</v>
      </c>
      <c r="Y103" s="223">
        <f>Z101</f>
        <v>1.882026666666667</v>
      </c>
      <c r="Z103" s="223">
        <f>X103%*Y103</f>
        <v>5.6460800000000005E-2</v>
      </c>
      <c r="AA103" s="200"/>
    </row>
    <row r="104" spans="1:27">
      <c r="A104" s="200"/>
      <c r="B104" s="200"/>
      <c r="C104" s="200"/>
      <c r="D104" s="200"/>
      <c r="E104" s="200"/>
      <c r="F104" s="200"/>
      <c r="G104" s="200"/>
      <c r="H104" s="200"/>
      <c r="I104" s="200"/>
      <c r="J104" s="200"/>
      <c r="K104" s="200"/>
      <c r="L104" s="200"/>
      <c r="M104" s="200"/>
      <c r="N104" s="200"/>
      <c r="O104" s="200"/>
      <c r="P104" s="200"/>
      <c r="Q104" s="200"/>
      <c r="R104" s="200" t="s">
        <v>661</v>
      </c>
      <c r="S104" s="200"/>
      <c r="T104" s="200"/>
      <c r="U104" s="200"/>
      <c r="V104" s="200" t="s">
        <v>337</v>
      </c>
      <c r="W104" s="253">
        <v>1</v>
      </c>
      <c r="X104" s="254">
        <f>W104*8/$T$96</f>
        <v>4.2666666666666665E-2</v>
      </c>
      <c r="Y104" s="248">
        <v>118.64</v>
      </c>
      <c r="Z104" s="223">
        <f t="shared" ref="Z104:Z105" si="15">X104*Y104</f>
        <v>5.0619733333333334</v>
      </c>
      <c r="AA104" s="200"/>
    </row>
    <row r="105" spans="1:27">
      <c r="A105" s="200"/>
      <c r="B105" s="200"/>
      <c r="C105" s="200"/>
      <c r="D105" s="200"/>
      <c r="E105" s="200"/>
      <c r="F105" s="200"/>
      <c r="G105" s="200"/>
      <c r="H105" s="200"/>
      <c r="I105" s="200"/>
      <c r="J105" s="200"/>
      <c r="K105" s="200"/>
      <c r="L105" s="200"/>
      <c r="M105" s="200"/>
      <c r="N105" s="200"/>
      <c r="O105" s="200"/>
      <c r="P105" s="200"/>
      <c r="Q105" s="200"/>
      <c r="R105" s="200" t="s">
        <v>662</v>
      </c>
      <c r="S105" s="200"/>
      <c r="T105" s="200"/>
      <c r="U105" s="200"/>
      <c r="V105" s="200" t="s">
        <v>337</v>
      </c>
      <c r="W105" s="253">
        <v>2</v>
      </c>
      <c r="X105" s="254">
        <f>W105*8/$T$96</f>
        <v>8.533333333333333E-2</v>
      </c>
      <c r="Y105" s="248">
        <v>186.44</v>
      </c>
      <c r="Z105" s="223">
        <f t="shared" si="15"/>
        <v>15.909546666666666</v>
      </c>
      <c r="AA105" s="200"/>
    </row>
    <row r="106" spans="1:27">
      <c r="A106" s="200"/>
      <c r="B106" s="200"/>
      <c r="C106" s="200"/>
      <c r="D106" s="200"/>
      <c r="E106" s="200"/>
      <c r="F106" s="200"/>
      <c r="G106" s="200"/>
      <c r="H106" s="200"/>
      <c r="I106" s="200"/>
      <c r="J106" s="200"/>
      <c r="K106" s="200"/>
      <c r="L106" s="200"/>
      <c r="M106" s="200"/>
      <c r="N106" s="200"/>
      <c r="O106" s="200"/>
      <c r="P106" s="200"/>
      <c r="Q106" s="244" t="s">
        <v>671</v>
      </c>
      <c r="R106" s="244" t="s">
        <v>671</v>
      </c>
      <c r="S106" s="244" t="s">
        <v>671</v>
      </c>
      <c r="T106" s="244" t="s">
        <v>671</v>
      </c>
      <c r="U106" s="244" t="s">
        <v>671</v>
      </c>
      <c r="V106" s="244" t="s">
        <v>671</v>
      </c>
      <c r="W106" s="244" t="s">
        <v>671</v>
      </c>
      <c r="X106" s="244" t="s">
        <v>671</v>
      </c>
      <c r="Y106" s="245" t="s">
        <v>671</v>
      </c>
      <c r="Z106" s="256">
        <f>SUM(Z103:Z105)</f>
        <v>21.027980799999998</v>
      </c>
      <c r="AA106" s="200"/>
    </row>
    <row r="107" spans="1:27">
      <c r="A107" s="200"/>
      <c r="B107" s="200"/>
      <c r="C107" s="200"/>
      <c r="D107" s="200"/>
      <c r="E107" s="200"/>
      <c r="F107" s="200"/>
      <c r="G107" s="200"/>
      <c r="H107" s="200"/>
      <c r="I107" s="200"/>
      <c r="J107" s="200"/>
      <c r="K107" s="200"/>
      <c r="L107" s="200"/>
      <c r="M107" s="200"/>
      <c r="N107" s="200"/>
      <c r="O107" s="200"/>
      <c r="P107" s="200"/>
      <c r="Q107" s="200"/>
      <c r="R107" s="200"/>
      <c r="S107" s="200"/>
      <c r="T107" s="200"/>
      <c r="U107" s="200"/>
      <c r="V107" s="200"/>
      <c r="W107" s="200"/>
      <c r="X107" s="200"/>
      <c r="Y107" s="200"/>
      <c r="Z107" s="200"/>
      <c r="AA107" s="200"/>
    </row>
    <row r="108" spans="1:27">
      <c r="A108" s="200"/>
      <c r="B108" s="200"/>
      <c r="C108" s="200"/>
      <c r="D108" s="200"/>
      <c r="E108" s="200"/>
      <c r="F108" s="200"/>
      <c r="G108" s="200"/>
      <c r="H108" s="200"/>
      <c r="I108" s="200"/>
      <c r="J108" s="200"/>
      <c r="K108" s="200"/>
      <c r="L108" s="200"/>
      <c r="M108" s="200"/>
      <c r="N108" s="200"/>
      <c r="O108" s="200"/>
      <c r="P108" s="200"/>
      <c r="Q108" s="250" t="s">
        <v>277</v>
      </c>
      <c r="R108" s="250"/>
      <c r="S108" s="250" t="s">
        <v>479</v>
      </c>
      <c r="T108" s="250"/>
      <c r="U108" s="250"/>
      <c r="V108" s="250"/>
      <c r="W108" s="250"/>
      <c r="X108" s="250"/>
      <c r="Y108" s="200"/>
      <c r="Z108" s="200"/>
      <c r="AA108" s="200"/>
    </row>
    <row r="109" spans="1:27">
      <c r="A109" s="200"/>
      <c r="B109" s="200"/>
      <c r="C109" s="200"/>
      <c r="D109" s="200"/>
      <c r="E109" s="200"/>
      <c r="F109" s="200"/>
      <c r="G109" s="200"/>
      <c r="H109" s="200"/>
      <c r="I109" s="200"/>
      <c r="J109" s="200"/>
      <c r="K109" s="200"/>
      <c r="L109" s="200"/>
      <c r="M109" s="200"/>
      <c r="N109" s="200"/>
      <c r="O109" s="200"/>
      <c r="P109" s="200"/>
      <c r="Q109" s="250" t="s">
        <v>278</v>
      </c>
      <c r="R109" s="250" t="s">
        <v>279</v>
      </c>
      <c r="S109" s="250" t="s">
        <v>280</v>
      </c>
      <c r="T109" s="262">
        <v>50</v>
      </c>
      <c r="U109" s="262" t="s">
        <v>281</v>
      </c>
      <c r="V109" s="262">
        <f>T109</f>
        <v>50</v>
      </c>
      <c r="W109" s="250" t="s">
        <v>282</v>
      </c>
      <c r="X109" s="250"/>
      <c r="Y109" s="250" t="s">
        <v>133</v>
      </c>
      <c r="Z109" s="260">
        <f>Z117+Z124+Z128</f>
        <v>238.34357440000002</v>
      </c>
      <c r="AA109" s="200"/>
    </row>
    <row r="110" spans="1:27">
      <c r="A110" s="200"/>
      <c r="B110" s="200"/>
      <c r="C110" s="200"/>
      <c r="D110" s="200"/>
      <c r="E110" s="200"/>
      <c r="F110" s="200"/>
      <c r="G110" s="200"/>
      <c r="H110" s="200"/>
      <c r="I110" s="200"/>
      <c r="J110" s="200"/>
      <c r="K110" s="200"/>
      <c r="L110" s="200"/>
      <c r="M110" s="200"/>
      <c r="N110" s="200"/>
      <c r="O110" s="200"/>
      <c r="P110" s="200"/>
      <c r="Q110" s="250" t="s">
        <v>283</v>
      </c>
      <c r="R110" s="250" t="s">
        <v>284</v>
      </c>
      <c r="S110" s="250"/>
      <c r="T110" s="200"/>
      <c r="U110" s="200"/>
      <c r="V110" s="250" t="s">
        <v>122</v>
      </c>
      <c r="W110" s="250" t="s">
        <v>285</v>
      </c>
      <c r="X110" s="250" t="s">
        <v>286</v>
      </c>
      <c r="Y110" s="250" t="s">
        <v>287</v>
      </c>
      <c r="Z110" s="250" t="s">
        <v>288</v>
      </c>
      <c r="AA110" s="200"/>
    </row>
    <row r="111" spans="1:27">
      <c r="A111" s="200"/>
      <c r="B111" s="200"/>
      <c r="C111" s="200"/>
      <c r="D111" s="200"/>
      <c r="E111" s="200"/>
      <c r="F111" s="200"/>
      <c r="G111" s="200"/>
      <c r="H111" s="200"/>
      <c r="I111" s="200"/>
      <c r="J111" s="200"/>
      <c r="K111" s="200"/>
      <c r="L111" s="200"/>
      <c r="M111" s="200"/>
      <c r="N111" s="200"/>
      <c r="O111" s="200"/>
      <c r="P111" s="200"/>
      <c r="Q111" s="200"/>
      <c r="R111" s="251" t="s">
        <v>289</v>
      </c>
      <c r="S111" s="200"/>
      <c r="T111" s="200"/>
      <c r="U111" s="200"/>
      <c r="V111" s="200"/>
      <c r="W111" s="200"/>
      <c r="X111" s="200"/>
      <c r="Y111" s="200"/>
      <c r="Z111" s="200"/>
      <c r="AA111" s="200"/>
    </row>
    <row r="112" spans="1:27">
      <c r="A112" s="200"/>
      <c r="B112" s="200"/>
      <c r="C112" s="200"/>
      <c r="D112" s="200"/>
      <c r="E112" s="200"/>
      <c r="F112" s="200"/>
      <c r="G112" s="200"/>
      <c r="H112" s="200"/>
      <c r="I112" s="200"/>
      <c r="J112" s="200"/>
      <c r="K112" s="200"/>
      <c r="L112" s="200"/>
      <c r="M112" s="200"/>
      <c r="N112" s="200"/>
      <c r="O112" s="200"/>
      <c r="P112" s="200"/>
      <c r="Q112" s="200"/>
      <c r="R112" s="200" t="s">
        <v>650</v>
      </c>
      <c r="S112" s="200"/>
      <c r="T112" s="200"/>
      <c r="U112" s="200"/>
      <c r="V112" s="200" t="s">
        <v>291</v>
      </c>
      <c r="W112" s="253">
        <v>0.1</v>
      </c>
      <c r="X112" s="254">
        <f>W112*8/$T$109</f>
        <v>1.6E-2</v>
      </c>
      <c r="Y112" s="223">
        <v>34.729999999999997</v>
      </c>
      <c r="Z112" s="223">
        <f t="shared" ref="Z112:Z116" si="16">X112*Y112</f>
        <v>0.55567999999999995</v>
      </c>
      <c r="AA112" s="200"/>
    </row>
    <row r="113" spans="1:27">
      <c r="A113" s="200"/>
      <c r="B113" s="200"/>
      <c r="C113" s="200"/>
      <c r="D113" s="200"/>
      <c r="E113" s="200"/>
      <c r="F113" s="200"/>
      <c r="G113" s="200"/>
      <c r="H113" s="200"/>
      <c r="I113" s="200"/>
      <c r="J113" s="200"/>
      <c r="K113" s="200"/>
      <c r="L113" s="200"/>
      <c r="M113" s="200"/>
      <c r="N113" s="200"/>
      <c r="O113" s="200"/>
      <c r="P113" s="200"/>
      <c r="Q113" s="200"/>
      <c r="R113" s="200" t="s">
        <v>290</v>
      </c>
      <c r="S113" s="200"/>
      <c r="T113" s="200"/>
      <c r="U113" s="200"/>
      <c r="V113" s="200" t="s">
        <v>291</v>
      </c>
      <c r="W113" s="253">
        <v>1</v>
      </c>
      <c r="X113" s="254">
        <f>W113*8/$T$109</f>
        <v>0.16</v>
      </c>
      <c r="Y113" s="223">
        <v>28.94</v>
      </c>
      <c r="Z113" s="223">
        <f t="shared" si="16"/>
        <v>4.6304000000000007</v>
      </c>
      <c r="AA113" s="200"/>
    </row>
    <row r="114" spans="1:27">
      <c r="A114" s="200"/>
      <c r="B114" s="200"/>
      <c r="C114" s="200"/>
      <c r="D114" s="200"/>
      <c r="E114" s="200"/>
      <c r="F114" s="200"/>
      <c r="G114" s="200"/>
      <c r="H114" s="200"/>
      <c r="I114" s="200"/>
      <c r="J114" s="200"/>
      <c r="K114" s="200"/>
      <c r="L114" s="200"/>
      <c r="M114" s="200"/>
      <c r="N114" s="200"/>
      <c r="O114" s="200"/>
      <c r="P114" s="200"/>
      <c r="Q114" s="200"/>
      <c r="R114" s="200" t="s">
        <v>292</v>
      </c>
      <c r="S114" s="200"/>
      <c r="T114" s="200"/>
      <c r="U114" s="200"/>
      <c r="V114" s="200" t="s">
        <v>291</v>
      </c>
      <c r="W114" s="253">
        <v>2</v>
      </c>
      <c r="X114" s="254">
        <f>W114*8/$T$109</f>
        <v>0.32</v>
      </c>
      <c r="Y114" s="223">
        <v>23.6</v>
      </c>
      <c r="Z114" s="223">
        <f t="shared" si="16"/>
        <v>7.5520000000000005</v>
      </c>
      <c r="AA114" s="200"/>
    </row>
    <row r="115" spans="1:27">
      <c r="A115" s="200"/>
      <c r="B115" s="200"/>
      <c r="C115" s="200"/>
      <c r="D115" s="200"/>
      <c r="E115" s="200"/>
      <c r="F115" s="200"/>
      <c r="G115" s="200"/>
      <c r="H115" s="200"/>
      <c r="I115" s="200"/>
      <c r="J115" s="200"/>
      <c r="K115" s="200"/>
      <c r="L115" s="200"/>
      <c r="M115" s="200"/>
      <c r="N115" s="200"/>
      <c r="O115" s="200"/>
      <c r="P115" s="200"/>
      <c r="Q115" s="200"/>
      <c r="R115" s="200" t="s">
        <v>293</v>
      </c>
      <c r="S115" s="200"/>
      <c r="T115" s="200"/>
      <c r="U115" s="200"/>
      <c r="V115" s="200" t="s">
        <v>291</v>
      </c>
      <c r="W115" s="253">
        <v>5</v>
      </c>
      <c r="X115" s="254">
        <f>W115*8/$T$109</f>
        <v>0.8</v>
      </c>
      <c r="Y115" s="223">
        <v>21.36</v>
      </c>
      <c r="Z115" s="223">
        <f t="shared" si="16"/>
        <v>17.088000000000001</v>
      </c>
      <c r="AA115" s="200"/>
    </row>
    <row r="116" spans="1:27">
      <c r="A116" s="200"/>
      <c r="B116" s="200"/>
      <c r="C116" s="200"/>
      <c r="D116" s="200"/>
      <c r="E116" s="200"/>
      <c r="F116" s="200"/>
      <c r="G116" s="200"/>
      <c r="H116" s="200"/>
      <c r="I116" s="200"/>
      <c r="J116" s="200"/>
      <c r="K116" s="200"/>
      <c r="L116" s="200"/>
      <c r="M116" s="200"/>
      <c r="N116" s="200"/>
      <c r="O116" s="200"/>
      <c r="P116" s="200"/>
      <c r="Q116" s="200"/>
      <c r="R116" s="200" t="s">
        <v>652</v>
      </c>
      <c r="S116" s="200"/>
      <c r="T116" s="200"/>
      <c r="U116" s="200"/>
      <c r="V116" s="200" t="s">
        <v>291</v>
      </c>
      <c r="W116" s="253">
        <v>1</v>
      </c>
      <c r="X116" s="254">
        <f>W116*8/$T$109</f>
        <v>0.16</v>
      </c>
      <c r="Y116" s="223">
        <v>29.94</v>
      </c>
      <c r="Z116" s="223">
        <f t="shared" si="16"/>
        <v>4.7904</v>
      </c>
      <c r="AA116" s="200"/>
    </row>
    <row r="117" spans="1:27">
      <c r="A117" s="200"/>
      <c r="B117" s="200"/>
      <c r="C117" s="200"/>
      <c r="D117" s="200"/>
      <c r="E117" s="200"/>
      <c r="F117" s="200"/>
      <c r="G117" s="200"/>
      <c r="H117" s="200"/>
      <c r="I117" s="200"/>
      <c r="J117" s="200"/>
      <c r="K117" s="200"/>
      <c r="L117" s="200"/>
      <c r="M117" s="200"/>
      <c r="N117" s="200"/>
      <c r="O117" s="200"/>
      <c r="P117" s="200"/>
      <c r="Q117" s="200"/>
      <c r="R117" s="200"/>
      <c r="S117" s="200"/>
      <c r="T117" s="200"/>
      <c r="U117" s="200"/>
      <c r="V117" s="200"/>
      <c r="W117" s="253"/>
      <c r="X117" s="254"/>
      <c r="Y117" s="223"/>
      <c r="Z117" s="260">
        <f>SUM(Z112:Z116)</f>
        <v>34.616480000000003</v>
      </c>
      <c r="AA117" s="200"/>
    </row>
    <row r="118" spans="1:27">
      <c r="A118" s="200"/>
      <c r="B118" s="200"/>
      <c r="C118" s="200"/>
      <c r="D118" s="200"/>
      <c r="E118" s="200"/>
      <c r="F118" s="200"/>
      <c r="G118" s="200"/>
      <c r="H118" s="200"/>
      <c r="I118" s="200"/>
      <c r="J118" s="200"/>
      <c r="K118" s="200"/>
      <c r="L118" s="200"/>
      <c r="M118" s="200"/>
      <c r="N118" s="200"/>
      <c r="O118" s="200"/>
      <c r="P118" s="200"/>
      <c r="Q118" s="200"/>
      <c r="R118" s="251" t="s">
        <v>653</v>
      </c>
      <c r="S118" s="200"/>
      <c r="T118" s="200"/>
      <c r="U118" s="200"/>
      <c r="V118" s="200"/>
      <c r="W118" s="253"/>
      <c r="X118" s="254"/>
      <c r="Y118" s="223"/>
      <c r="Z118" s="223"/>
      <c r="AA118" s="200"/>
    </row>
    <row r="119" spans="1:27">
      <c r="A119" s="200"/>
      <c r="B119" s="200"/>
      <c r="C119" s="200"/>
      <c r="D119" s="200"/>
      <c r="E119" s="200"/>
      <c r="F119" s="200"/>
      <c r="G119" s="200"/>
      <c r="H119" s="200"/>
      <c r="I119" s="200"/>
      <c r="J119" s="200"/>
      <c r="K119" s="200"/>
      <c r="L119" s="200"/>
      <c r="M119" s="200"/>
      <c r="N119" s="200"/>
      <c r="O119" s="200"/>
      <c r="P119" s="200"/>
      <c r="Q119" s="200"/>
      <c r="R119" s="200" t="s">
        <v>306</v>
      </c>
      <c r="S119" s="200"/>
      <c r="T119" s="200"/>
      <c r="U119" s="200"/>
      <c r="V119" s="200" t="s">
        <v>307</v>
      </c>
      <c r="W119" s="253"/>
      <c r="X119" s="254">
        <v>3.8</v>
      </c>
      <c r="Y119" s="223">
        <v>24.52</v>
      </c>
      <c r="Z119" s="223">
        <f t="shared" ref="Z119:Z123" si="17">X119*Y119</f>
        <v>93.175999999999988</v>
      </c>
      <c r="AA119" s="200"/>
    </row>
    <row r="120" spans="1:27">
      <c r="A120" s="200"/>
      <c r="B120" s="200"/>
      <c r="C120" s="200"/>
      <c r="D120" s="200"/>
      <c r="E120" s="200"/>
      <c r="F120" s="200"/>
      <c r="G120" s="200"/>
      <c r="H120" s="200"/>
      <c r="I120" s="200"/>
      <c r="J120" s="200"/>
      <c r="K120" s="200"/>
      <c r="L120" s="200"/>
      <c r="M120" s="200"/>
      <c r="N120" s="200"/>
      <c r="O120" s="200"/>
      <c r="P120" s="200"/>
      <c r="Q120" s="200"/>
      <c r="R120" s="200" t="s">
        <v>655</v>
      </c>
      <c r="S120" s="200"/>
      <c r="T120" s="200"/>
      <c r="U120" s="200"/>
      <c r="V120" s="200" t="s">
        <v>203</v>
      </c>
      <c r="W120" s="253"/>
      <c r="X120" s="254">
        <v>0.08</v>
      </c>
      <c r="Y120" s="223">
        <v>6.14</v>
      </c>
      <c r="Z120" s="223">
        <f t="shared" si="17"/>
        <v>0.49119999999999997</v>
      </c>
      <c r="AA120" s="200"/>
    </row>
    <row r="121" spans="1:27">
      <c r="A121" s="200"/>
      <c r="B121" s="200"/>
      <c r="C121" s="200"/>
      <c r="D121" s="200"/>
      <c r="E121" s="200"/>
      <c r="F121" s="200"/>
      <c r="G121" s="200"/>
      <c r="H121" s="200"/>
      <c r="I121" s="200"/>
      <c r="J121" s="200"/>
      <c r="K121" s="200"/>
      <c r="L121" s="200"/>
      <c r="M121" s="200"/>
      <c r="N121" s="200"/>
      <c r="O121" s="200"/>
      <c r="P121" s="200"/>
      <c r="Q121" s="200"/>
      <c r="R121" s="200" t="s">
        <v>665</v>
      </c>
      <c r="S121" s="200"/>
      <c r="T121" s="200"/>
      <c r="U121" s="200"/>
      <c r="V121" s="200" t="s">
        <v>439</v>
      </c>
      <c r="W121" s="253"/>
      <c r="X121" s="254">
        <v>0.5</v>
      </c>
      <c r="Y121" s="223">
        <v>13.93</v>
      </c>
      <c r="Z121" s="223">
        <f t="shared" si="17"/>
        <v>6.9649999999999999</v>
      </c>
      <c r="AA121" s="200"/>
    </row>
    <row r="122" spans="1:27">
      <c r="A122" s="200"/>
      <c r="B122" s="200"/>
      <c r="C122" s="200"/>
      <c r="D122" s="200"/>
      <c r="E122" s="200"/>
      <c r="F122" s="200"/>
      <c r="G122" s="200"/>
      <c r="H122" s="200"/>
      <c r="I122" s="200"/>
      <c r="J122" s="200"/>
      <c r="K122" s="200"/>
      <c r="L122" s="200"/>
      <c r="M122" s="200"/>
      <c r="N122" s="200"/>
      <c r="O122" s="200"/>
      <c r="P122" s="200"/>
      <c r="Q122" s="200"/>
      <c r="R122" s="200" t="s">
        <v>302</v>
      </c>
      <c r="S122" s="200"/>
      <c r="T122" s="200"/>
      <c r="U122" s="200"/>
      <c r="V122" s="200" t="s">
        <v>203</v>
      </c>
      <c r="W122" s="253"/>
      <c r="X122" s="254">
        <v>0.93</v>
      </c>
      <c r="Y122" s="264">
        <v>70.92</v>
      </c>
      <c r="Z122" s="223">
        <f t="shared" si="17"/>
        <v>65.955600000000004</v>
      </c>
      <c r="AA122" s="200"/>
    </row>
    <row r="123" spans="1:27">
      <c r="A123" s="200"/>
      <c r="B123" s="200"/>
      <c r="C123" s="200"/>
      <c r="D123" s="200"/>
      <c r="E123" s="200"/>
      <c r="F123" s="200"/>
      <c r="G123" s="200"/>
      <c r="H123" s="200"/>
      <c r="I123" s="200"/>
      <c r="J123" s="200"/>
      <c r="K123" s="200"/>
      <c r="L123" s="200"/>
      <c r="M123" s="200"/>
      <c r="N123" s="200"/>
      <c r="O123" s="200"/>
      <c r="P123" s="200"/>
      <c r="Q123" s="200"/>
      <c r="R123" s="200" t="s">
        <v>666</v>
      </c>
      <c r="S123" s="200"/>
      <c r="T123" s="200"/>
      <c r="U123" s="200"/>
      <c r="V123" s="200" t="s">
        <v>203</v>
      </c>
      <c r="W123" s="253"/>
      <c r="X123" s="254">
        <v>0.4</v>
      </c>
      <c r="Y123" s="264">
        <v>80</v>
      </c>
      <c r="Z123" s="223">
        <f t="shared" si="17"/>
        <v>32</v>
      </c>
      <c r="AA123" s="200"/>
    </row>
    <row r="124" spans="1:27">
      <c r="A124" s="200"/>
      <c r="B124" s="200"/>
      <c r="C124" s="200"/>
      <c r="D124" s="200"/>
      <c r="E124" s="200"/>
      <c r="F124" s="200"/>
      <c r="G124" s="200"/>
      <c r="H124" s="200"/>
      <c r="I124" s="200"/>
      <c r="J124" s="200"/>
      <c r="K124" s="200"/>
      <c r="L124" s="200"/>
      <c r="M124" s="200"/>
      <c r="N124" s="200"/>
      <c r="O124" s="200"/>
      <c r="P124" s="200"/>
      <c r="Q124" s="200"/>
      <c r="R124" s="200"/>
      <c r="S124" s="200"/>
      <c r="T124" s="200"/>
      <c r="U124" s="200"/>
      <c r="V124" s="200"/>
      <c r="W124" s="253"/>
      <c r="X124" s="254"/>
      <c r="Y124" s="223"/>
      <c r="Z124" s="260">
        <f>SUM(Z119:Z123)</f>
        <v>198.58780000000002</v>
      </c>
      <c r="AA124" s="200"/>
    </row>
    <row r="125" spans="1:27">
      <c r="A125" s="200"/>
      <c r="B125" s="200"/>
      <c r="C125" s="200"/>
      <c r="D125" s="200"/>
      <c r="E125" s="200"/>
      <c r="F125" s="200"/>
      <c r="G125" s="200"/>
      <c r="H125" s="200"/>
      <c r="I125" s="200"/>
      <c r="J125" s="200"/>
      <c r="K125" s="200"/>
      <c r="L125" s="200"/>
      <c r="M125" s="200"/>
      <c r="N125" s="200"/>
      <c r="O125" s="200"/>
      <c r="P125" s="200"/>
      <c r="Q125" s="200"/>
      <c r="R125" s="251" t="s">
        <v>309</v>
      </c>
      <c r="S125" s="200"/>
      <c r="T125" s="200"/>
      <c r="U125" s="200"/>
      <c r="V125" s="200"/>
      <c r="W125" s="253"/>
      <c r="X125" s="254"/>
      <c r="Y125" s="223"/>
      <c r="Z125" s="223"/>
      <c r="AA125" s="200"/>
    </row>
    <row r="126" spans="1:27">
      <c r="A126" s="200"/>
      <c r="B126" s="200"/>
      <c r="C126" s="200"/>
      <c r="D126" s="200"/>
      <c r="E126" s="200"/>
      <c r="F126" s="200"/>
      <c r="G126" s="200"/>
      <c r="H126" s="200"/>
      <c r="I126" s="200"/>
      <c r="J126" s="200"/>
      <c r="K126" s="200"/>
      <c r="L126" s="200"/>
      <c r="M126" s="200"/>
      <c r="N126" s="200"/>
      <c r="O126" s="200"/>
      <c r="P126" s="200"/>
      <c r="Q126" s="200"/>
      <c r="R126" s="200" t="s">
        <v>310</v>
      </c>
      <c r="S126" s="200"/>
      <c r="T126" s="200"/>
      <c r="U126" s="200"/>
      <c r="V126" s="200" t="s">
        <v>311</v>
      </c>
      <c r="W126" s="253"/>
      <c r="X126" s="254">
        <v>3</v>
      </c>
      <c r="Y126" s="223">
        <f>Z117</f>
        <v>34.616480000000003</v>
      </c>
      <c r="Z126" s="223">
        <f>X126%*Y126</f>
        <v>1.0384944</v>
      </c>
      <c r="AA126" s="200"/>
    </row>
    <row r="127" spans="1:27">
      <c r="A127" s="200"/>
      <c r="B127" s="200"/>
      <c r="C127" s="200"/>
      <c r="D127" s="200"/>
      <c r="E127" s="200"/>
      <c r="F127" s="200"/>
      <c r="G127" s="200"/>
      <c r="H127" s="200"/>
      <c r="I127" s="200"/>
      <c r="J127" s="200"/>
      <c r="K127" s="200"/>
      <c r="L127" s="200"/>
      <c r="M127" s="200"/>
      <c r="N127" s="200"/>
      <c r="O127" s="200"/>
      <c r="P127" s="200"/>
      <c r="Q127" s="200"/>
      <c r="R127" s="200" t="s">
        <v>667</v>
      </c>
      <c r="S127" s="200"/>
      <c r="T127" s="200"/>
      <c r="U127" s="200"/>
      <c r="V127" s="200" t="s">
        <v>337</v>
      </c>
      <c r="W127" s="253">
        <v>1</v>
      </c>
      <c r="X127" s="254">
        <f>W127*8/$T$109</f>
        <v>0.16</v>
      </c>
      <c r="Y127" s="223">
        <v>25.63</v>
      </c>
      <c r="Z127" s="223">
        <f t="shared" ref="Z127" si="18">X127*Y127</f>
        <v>4.1007999999999996</v>
      </c>
      <c r="AA127" s="200"/>
    </row>
    <row r="128" spans="1:27">
      <c r="A128" s="200"/>
      <c r="B128" s="200"/>
      <c r="C128" s="200"/>
      <c r="D128" s="200"/>
      <c r="E128" s="200"/>
      <c r="F128" s="200"/>
      <c r="G128" s="200"/>
      <c r="H128" s="200"/>
      <c r="I128" s="200"/>
      <c r="J128" s="200"/>
      <c r="K128" s="200"/>
      <c r="L128" s="200"/>
      <c r="M128" s="200"/>
      <c r="N128" s="200"/>
      <c r="O128" s="200"/>
      <c r="P128" s="200"/>
      <c r="Q128" s="244" t="s">
        <v>671</v>
      </c>
      <c r="R128" s="244" t="s">
        <v>671</v>
      </c>
      <c r="S128" s="244" t="s">
        <v>671</v>
      </c>
      <c r="T128" s="244" t="s">
        <v>671</v>
      </c>
      <c r="U128" s="244" t="s">
        <v>671</v>
      </c>
      <c r="V128" s="244" t="s">
        <v>671</v>
      </c>
      <c r="W128" s="244" t="s">
        <v>671</v>
      </c>
      <c r="X128" s="244" t="s">
        <v>671</v>
      </c>
      <c r="Y128" s="265" t="s">
        <v>671</v>
      </c>
      <c r="Z128" s="261">
        <f>SUM(Z126:Z127)</f>
        <v>5.1392943999999998</v>
      </c>
      <c r="AA128" s="200"/>
    </row>
    <row r="129" spans="1:27">
      <c r="A129" s="200"/>
      <c r="B129" s="200"/>
      <c r="C129" s="200"/>
      <c r="D129" s="200"/>
      <c r="E129" s="200"/>
      <c r="F129" s="200"/>
      <c r="G129" s="200"/>
      <c r="H129" s="200"/>
      <c r="I129" s="200"/>
      <c r="J129" s="200"/>
      <c r="K129" s="200"/>
      <c r="L129" s="200"/>
      <c r="M129" s="200"/>
      <c r="N129" s="200"/>
      <c r="O129" s="200"/>
      <c r="P129" s="200"/>
      <c r="Q129" s="200"/>
      <c r="R129" s="200"/>
      <c r="S129" s="200"/>
      <c r="T129" s="200"/>
      <c r="U129" s="200"/>
      <c r="V129" s="200"/>
      <c r="W129" s="200"/>
      <c r="X129" s="200"/>
      <c r="Y129" s="200"/>
      <c r="Z129" s="200"/>
      <c r="AA129" s="200"/>
    </row>
    <row r="130" spans="1:27">
      <c r="A130" s="200"/>
      <c r="B130" s="200"/>
      <c r="C130" s="200"/>
      <c r="D130" s="200"/>
      <c r="E130" s="200"/>
      <c r="F130" s="200"/>
      <c r="G130" s="200"/>
      <c r="H130" s="200"/>
      <c r="I130" s="200"/>
      <c r="J130" s="200"/>
      <c r="K130" s="200"/>
      <c r="L130" s="200"/>
      <c r="M130" s="200"/>
      <c r="N130" s="200"/>
      <c r="O130" s="200"/>
      <c r="P130" s="200"/>
      <c r="Q130" s="200"/>
      <c r="R130" s="200"/>
      <c r="S130" s="200"/>
      <c r="T130" s="200"/>
      <c r="U130" s="200"/>
      <c r="V130" s="200"/>
      <c r="W130" s="200"/>
      <c r="X130" s="200"/>
      <c r="Y130" s="200"/>
      <c r="Z130" s="200"/>
      <c r="AA130" s="200"/>
    </row>
    <row r="131" spans="1:27">
      <c r="A131" s="200"/>
      <c r="B131" s="200"/>
      <c r="C131" s="200"/>
      <c r="D131" s="200"/>
      <c r="E131" s="200"/>
      <c r="F131" s="200"/>
      <c r="G131" s="200"/>
      <c r="H131" s="200"/>
      <c r="I131" s="200"/>
      <c r="J131" s="200"/>
      <c r="K131" s="200"/>
      <c r="L131" s="200"/>
      <c r="M131" s="200"/>
      <c r="N131" s="200"/>
      <c r="O131" s="200"/>
      <c r="P131" s="200"/>
      <c r="Q131" s="200"/>
      <c r="R131" s="200"/>
      <c r="S131" s="200"/>
      <c r="T131" s="200"/>
      <c r="U131" s="200"/>
      <c r="V131" s="200"/>
      <c r="W131" s="200"/>
      <c r="X131" s="200"/>
      <c r="Y131" s="200"/>
      <c r="Z131" s="200"/>
      <c r="AA131" s="200"/>
    </row>
    <row r="132" spans="1:27">
      <c r="A132" s="200"/>
      <c r="B132" s="200"/>
      <c r="C132" s="200"/>
      <c r="D132" s="200"/>
      <c r="E132" s="200"/>
      <c r="F132" s="200"/>
      <c r="G132" s="200"/>
      <c r="H132" s="200"/>
      <c r="I132" s="200"/>
      <c r="J132" s="200"/>
      <c r="K132" s="200"/>
      <c r="L132" s="200"/>
      <c r="M132" s="200"/>
      <c r="N132" s="200"/>
      <c r="O132" s="200"/>
      <c r="P132" s="200"/>
      <c r="Q132" s="200"/>
      <c r="R132" s="200"/>
      <c r="S132" s="200"/>
      <c r="T132" s="200"/>
      <c r="U132" s="200"/>
      <c r="V132" s="200"/>
      <c r="W132" s="200"/>
      <c r="X132" s="200"/>
      <c r="Y132" s="200"/>
      <c r="Z132" s="200"/>
      <c r="AA132" s="200"/>
    </row>
    <row r="133" spans="1:27">
      <c r="A133" s="200"/>
      <c r="B133" s="200"/>
      <c r="C133" s="200"/>
      <c r="D133" s="200"/>
      <c r="E133" s="200"/>
      <c r="F133" s="200"/>
      <c r="G133" s="200"/>
      <c r="H133" s="200"/>
      <c r="I133" s="200"/>
      <c r="J133" s="200"/>
      <c r="K133" s="200"/>
      <c r="L133" s="200"/>
      <c r="M133" s="200"/>
      <c r="N133" s="200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  <c r="AA133" s="200"/>
    </row>
    <row r="134" spans="1:27">
      <c r="A134" s="200"/>
      <c r="B134" s="200"/>
      <c r="C134" s="200"/>
      <c r="D134" s="200"/>
      <c r="E134" s="200"/>
      <c r="F134" s="200"/>
      <c r="G134" s="200"/>
      <c r="H134" s="200"/>
      <c r="I134" s="200"/>
      <c r="J134" s="200"/>
      <c r="K134" s="200"/>
      <c r="L134" s="200"/>
      <c r="M134" s="200"/>
      <c r="N134" s="200"/>
      <c r="O134" s="200"/>
      <c r="P134" s="200"/>
      <c r="Q134" s="250" t="s">
        <v>277</v>
      </c>
      <c r="R134" s="250"/>
      <c r="S134" s="250" t="s">
        <v>668</v>
      </c>
      <c r="T134" s="250"/>
      <c r="U134" s="250"/>
      <c r="V134" s="200"/>
      <c r="W134" s="200"/>
      <c r="X134" s="200"/>
      <c r="Y134" s="200"/>
      <c r="Z134" s="200"/>
      <c r="AA134" s="200"/>
    </row>
    <row r="135" spans="1:27">
      <c r="A135" s="200"/>
      <c r="B135" s="200"/>
      <c r="C135" s="200"/>
      <c r="D135" s="200"/>
      <c r="E135" s="200"/>
      <c r="F135" s="200"/>
      <c r="G135" s="200"/>
      <c r="H135" s="200"/>
      <c r="I135" s="200"/>
      <c r="J135" s="200"/>
      <c r="K135" s="200"/>
      <c r="L135" s="200"/>
      <c r="M135" s="200"/>
      <c r="N135" s="200"/>
      <c r="O135" s="200"/>
      <c r="P135" s="200"/>
      <c r="Q135" s="250" t="s">
        <v>278</v>
      </c>
      <c r="R135" s="250" t="s">
        <v>279</v>
      </c>
      <c r="S135" s="250" t="s">
        <v>280</v>
      </c>
      <c r="T135" s="262">
        <v>110</v>
      </c>
      <c r="U135" s="262" t="s">
        <v>281</v>
      </c>
      <c r="V135" s="262">
        <f>T135</f>
        <v>110</v>
      </c>
      <c r="W135" s="262" t="s">
        <v>282</v>
      </c>
      <c r="X135" s="250"/>
      <c r="Y135" s="250" t="s">
        <v>133</v>
      </c>
      <c r="Z135" s="260">
        <f>Z141+Z147+Z151</f>
        <v>39.620881818181815</v>
      </c>
      <c r="AA135" s="200"/>
    </row>
    <row r="136" spans="1:27">
      <c r="A136" s="200"/>
      <c r="B136" s="200"/>
      <c r="C136" s="200"/>
      <c r="D136" s="200"/>
      <c r="E136" s="200"/>
      <c r="F136" s="200"/>
      <c r="G136" s="200"/>
      <c r="H136" s="200"/>
      <c r="I136" s="200"/>
      <c r="J136" s="200"/>
      <c r="K136" s="200"/>
      <c r="L136" s="200"/>
      <c r="M136" s="200"/>
      <c r="N136" s="200"/>
      <c r="O136" s="200"/>
      <c r="P136" s="200"/>
      <c r="Q136" s="250" t="s">
        <v>283</v>
      </c>
      <c r="R136" s="250" t="s">
        <v>284</v>
      </c>
      <c r="S136" s="250"/>
      <c r="T136" s="253"/>
      <c r="U136" s="253"/>
      <c r="V136" s="262" t="s">
        <v>122</v>
      </c>
      <c r="W136" s="262" t="s">
        <v>285</v>
      </c>
      <c r="X136" s="250" t="s">
        <v>286</v>
      </c>
      <c r="Y136" s="250" t="s">
        <v>287</v>
      </c>
      <c r="Z136" s="250" t="s">
        <v>288</v>
      </c>
      <c r="AA136" s="200"/>
    </row>
    <row r="137" spans="1:27">
      <c r="A137" s="200"/>
      <c r="B137" s="200"/>
      <c r="C137" s="200"/>
      <c r="D137" s="200"/>
      <c r="E137" s="200"/>
      <c r="F137" s="200"/>
      <c r="G137" s="200"/>
      <c r="H137" s="200"/>
      <c r="I137" s="200"/>
      <c r="J137" s="200"/>
      <c r="K137" s="200"/>
      <c r="L137" s="200"/>
      <c r="M137" s="200"/>
      <c r="N137" s="200"/>
      <c r="O137" s="200"/>
      <c r="P137" s="200"/>
      <c r="Q137" s="200"/>
      <c r="R137" s="251" t="s">
        <v>289</v>
      </c>
      <c r="S137" s="200"/>
      <c r="T137" s="253"/>
      <c r="U137" s="253"/>
      <c r="V137" s="253"/>
      <c r="W137" s="253"/>
      <c r="X137" s="200"/>
      <c r="Y137" s="200"/>
      <c r="Z137" s="200"/>
      <c r="AA137" s="200"/>
    </row>
    <row r="138" spans="1:27">
      <c r="A138" s="200"/>
      <c r="B138" s="200"/>
      <c r="C138" s="200"/>
      <c r="D138" s="200"/>
      <c r="E138" s="200"/>
      <c r="F138" s="200"/>
      <c r="G138" s="200"/>
      <c r="H138" s="200"/>
      <c r="I138" s="200"/>
      <c r="J138" s="200"/>
      <c r="K138" s="200"/>
      <c r="L138" s="200"/>
      <c r="M138" s="200"/>
      <c r="N138" s="200"/>
      <c r="O138" s="200"/>
      <c r="P138" s="200"/>
      <c r="Q138" s="200"/>
      <c r="R138" s="200" t="s">
        <v>290</v>
      </c>
      <c r="S138" s="200"/>
      <c r="T138" s="253"/>
      <c r="U138" s="253"/>
      <c r="V138" s="253" t="s">
        <v>291</v>
      </c>
      <c r="W138" s="253">
        <v>2</v>
      </c>
      <c r="X138" s="254">
        <f>W138*8/$T$135</f>
        <v>0.14545454545454545</v>
      </c>
      <c r="Y138" s="200">
        <v>28.94</v>
      </c>
      <c r="Z138" s="223">
        <f t="shared" ref="Z138:Z140" si="19">X138*Y138</f>
        <v>4.2094545454545456</v>
      </c>
      <c r="AA138" s="200"/>
    </row>
    <row r="139" spans="1:27">
      <c r="A139" s="200"/>
      <c r="B139" s="200"/>
      <c r="C139" s="200"/>
      <c r="D139" s="200"/>
      <c r="E139" s="200"/>
      <c r="F139" s="200"/>
      <c r="G139" s="200"/>
      <c r="H139" s="200"/>
      <c r="I139" s="200"/>
      <c r="J139" s="200"/>
      <c r="K139" s="200"/>
      <c r="L139" s="200"/>
      <c r="M139" s="200"/>
      <c r="N139" s="200"/>
      <c r="O139" s="200"/>
      <c r="P139" s="200"/>
      <c r="Q139" s="200"/>
      <c r="R139" s="200" t="s">
        <v>292</v>
      </c>
      <c r="S139" s="200"/>
      <c r="T139" s="253"/>
      <c r="U139" s="253"/>
      <c r="V139" s="253" t="s">
        <v>291</v>
      </c>
      <c r="W139" s="253">
        <v>1</v>
      </c>
      <c r="X139" s="254">
        <f>W139*8/$T$135</f>
        <v>7.2727272727272724E-2</v>
      </c>
      <c r="Y139" s="200">
        <v>23.6</v>
      </c>
      <c r="Z139" s="223">
        <f t="shared" si="19"/>
        <v>1.7163636363636363</v>
      </c>
      <c r="AA139" s="200"/>
    </row>
    <row r="140" spans="1:27">
      <c r="A140" s="200"/>
      <c r="B140" s="200"/>
      <c r="C140" s="200"/>
      <c r="D140" s="200"/>
      <c r="E140" s="200"/>
      <c r="F140" s="200"/>
      <c r="G140" s="200"/>
      <c r="H140" s="200"/>
      <c r="I140" s="200"/>
      <c r="J140" s="200"/>
      <c r="K140" s="200"/>
      <c r="L140" s="200"/>
      <c r="M140" s="200"/>
      <c r="N140" s="200"/>
      <c r="O140" s="200"/>
      <c r="P140" s="200"/>
      <c r="Q140" s="200"/>
      <c r="R140" s="200" t="s">
        <v>293</v>
      </c>
      <c r="S140" s="200"/>
      <c r="T140" s="253"/>
      <c r="U140" s="253"/>
      <c r="V140" s="253" t="s">
        <v>291</v>
      </c>
      <c r="W140" s="253">
        <v>6</v>
      </c>
      <c r="X140" s="254">
        <f>W140*8/$T$135</f>
        <v>0.43636363636363634</v>
      </c>
      <c r="Y140" s="200">
        <v>21.36</v>
      </c>
      <c r="Z140" s="223">
        <f t="shared" si="19"/>
        <v>9.3207272727272716</v>
      </c>
      <c r="AA140" s="200"/>
    </row>
    <row r="141" spans="1:27">
      <c r="A141" s="200"/>
      <c r="B141" s="200"/>
      <c r="C141" s="200"/>
      <c r="D141" s="200"/>
      <c r="E141" s="200"/>
      <c r="F141" s="200"/>
      <c r="G141" s="200"/>
      <c r="H141" s="200"/>
      <c r="I141" s="200"/>
      <c r="J141" s="200"/>
      <c r="K141" s="200"/>
      <c r="L141" s="200"/>
      <c r="M141" s="200"/>
      <c r="N141" s="200"/>
      <c r="O141" s="200"/>
      <c r="P141" s="200"/>
      <c r="Q141" s="200"/>
      <c r="R141" s="200"/>
      <c r="S141" s="200"/>
      <c r="T141" s="253"/>
      <c r="U141" s="253"/>
      <c r="V141" s="253"/>
      <c r="W141" s="253"/>
      <c r="X141" s="254"/>
      <c r="Y141" s="200"/>
      <c r="Z141" s="260">
        <f>SUM(Z138:Z140)</f>
        <v>15.246545454545453</v>
      </c>
      <c r="AA141" s="200"/>
    </row>
    <row r="142" spans="1:27">
      <c r="A142" s="200"/>
      <c r="B142" s="200"/>
      <c r="C142" s="200"/>
      <c r="D142" s="200"/>
      <c r="E142" s="200"/>
      <c r="F142" s="200"/>
      <c r="G142" s="200"/>
      <c r="H142" s="200"/>
      <c r="I142" s="200"/>
      <c r="J142" s="200"/>
      <c r="K142" s="200"/>
      <c r="L142" s="200"/>
      <c r="M142" s="200"/>
      <c r="N142" s="200"/>
      <c r="O142" s="200"/>
      <c r="P142" s="200"/>
      <c r="Q142" s="200"/>
      <c r="R142" s="251" t="s">
        <v>653</v>
      </c>
      <c r="S142" s="200"/>
      <c r="T142" s="253"/>
      <c r="U142" s="253"/>
      <c r="V142" s="253"/>
      <c r="W142" s="253"/>
      <c r="X142" s="254"/>
      <c r="Y142" s="200"/>
      <c r="Z142" s="200"/>
      <c r="AA142" s="200"/>
    </row>
    <row r="143" spans="1:27">
      <c r="A143" s="200"/>
      <c r="B143" s="200"/>
      <c r="C143" s="200"/>
      <c r="D143" s="200"/>
      <c r="E143" s="200"/>
      <c r="F143" s="200"/>
      <c r="G143" s="200"/>
      <c r="H143" s="200"/>
      <c r="I143" s="200"/>
      <c r="J143" s="200"/>
      <c r="K143" s="200"/>
      <c r="L143" s="200"/>
      <c r="M143" s="200"/>
      <c r="N143" s="200"/>
      <c r="O143" s="200"/>
      <c r="P143" s="200"/>
      <c r="Q143" s="200"/>
      <c r="R143" s="200" t="s">
        <v>306</v>
      </c>
      <c r="S143" s="200"/>
      <c r="T143" s="253"/>
      <c r="U143" s="253"/>
      <c r="V143" s="253" t="s">
        <v>307</v>
      </c>
      <c r="W143" s="253"/>
      <c r="X143" s="254">
        <v>0.42</v>
      </c>
      <c r="Y143" s="200">
        <v>24.52</v>
      </c>
      <c r="Z143" s="223">
        <f t="shared" ref="Z143:Z146" si="20">X143*Y143</f>
        <v>10.298399999999999</v>
      </c>
      <c r="AA143" s="200"/>
    </row>
    <row r="144" spans="1:27">
      <c r="A144" s="200"/>
      <c r="B144" s="200"/>
      <c r="C144" s="200"/>
      <c r="D144" s="200"/>
      <c r="E144" s="200"/>
      <c r="F144" s="200"/>
      <c r="G144" s="200"/>
      <c r="H144" s="200"/>
      <c r="I144" s="200"/>
      <c r="J144" s="200"/>
      <c r="K144" s="200"/>
      <c r="L144" s="200"/>
      <c r="M144" s="200"/>
      <c r="N144" s="200"/>
      <c r="O144" s="200"/>
      <c r="P144" s="200"/>
      <c r="Q144" s="200"/>
      <c r="R144" s="200" t="s">
        <v>655</v>
      </c>
      <c r="S144" s="200"/>
      <c r="T144" s="253"/>
      <c r="U144" s="253"/>
      <c r="V144" s="253" t="s">
        <v>203</v>
      </c>
      <c r="W144" s="253"/>
      <c r="X144" s="254">
        <v>2.5000000000000001E-2</v>
      </c>
      <c r="Y144" s="200">
        <v>6.14</v>
      </c>
      <c r="Z144" s="223">
        <f t="shared" si="20"/>
        <v>0.1535</v>
      </c>
      <c r="AA144" s="200"/>
    </row>
    <row r="145" spans="1:27">
      <c r="A145" s="200"/>
      <c r="B145" s="200"/>
      <c r="C145" s="200"/>
      <c r="D145" s="200"/>
      <c r="E145" s="200"/>
      <c r="F145" s="200"/>
      <c r="G145" s="200"/>
      <c r="H145" s="200"/>
      <c r="I145" s="200"/>
      <c r="J145" s="200"/>
      <c r="K145" s="200"/>
      <c r="L145" s="200"/>
      <c r="M145" s="200"/>
      <c r="N145" s="200"/>
      <c r="O145" s="200"/>
      <c r="P145" s="200"/>
      <c r="Q145" s="200"/>
      <c r="R145" s="200" t="s">
        <v>302</v>
      </c>
      <c r="S145" s="200"/>
      <c r="T145" s="253"/>
      <c r="U145" s="253"/>
      <c r="V145" s="253" t="s">
        <v>203</v>
      </c>
      <c r="W145" s="253"/>
      <c r="X145" s="254">
        <v>0.16200000000000001</v>
      </c>
      <c r="Y145" s="248">
        <v>70.92</v>
      </c>
      <c r="Z145" s="223">
        <f t="shared" si="20"/>
        <v>11.489040000000001</v>
      </c>
      <c r="AA145" s="200"/>
    </row>
    <row r="146" spans="1:27">
      <c r="A146" s="200"/>
      <c r="B146" s="200"/>
      <c r="C146" s="200"/>
      <c r="D146" s="200"/>
      <c r="E146" s="200"/>
      <c r="F146" s="200"/>
      <c r="G146" s="200"/>
      <c r="H146" s="200"/>
      <c r="I146" s="200"/>
      <c r="J146" s="200"/>
      <c r="K146" s="200"/>
      <c r="L146" s="200"/>
      <c r="M146" s="200"/>
      <c r="N146" s="200"/>
      <c r="O146" s="200"/>
      <c r="P146" s="200"/>
      <c r="Q146" s="200"/>
      <c r="R146" s="200" t="s">
        <v>669</v>
      </c>
      <c r="S146" s="200"/>
      <c r="T146" s="253"/>
      <c r="U146" s="253"/>
      <c r="V146" s="253" t="s">
        <v>305</v>
      </c>
      <c r="W146" s="253"/>
      <c r="X146" s="254">
        <v>0.18</v>
      </c>
      <c r="Y146" s="223">
        <v>5.8</v>
      </c>
      <c r="Z146" s="223">
        <f t="shared" si="20"/>
        <v>1.044</v>
      </c>
      <c r="AA146" s="200"/>
    </row>
    <row r="147" spans="1:27">
      <c r="A147" s="200"/>
      <c r="B147" s="200"/>
      <c r="C147" s="200"/>
      <c r="D147" s="200"/>
      <c r="E147" s="200"/>
      <c r="F147" s="200"/>
      <c r="G147" s="200"/>
      <c r="H147" s="200"/>
      <c r="I147" s="200"/>
      <c r="J147" s="200"/>
      <c r="K147" s="200"/>
      <c r="L147" s="200"/>
      <c r="M147" s="200"/>
      <c r="N147" s="200"/>
      <c r="O147" s="200"/>
      <c r="P147" s="200"/>
      <c r="Q147" s="200"/>
      <c r="R147" s="200"/>
      <c r="S147" s="200"/>
      <c r="T147" s="253"/>
      <c r="U147" s="253"/>
      <c r="V147" s="253"/>
      <c r="W147" s="253"/>
      <c r="X147" s="254"/>
      <c r="Y147" s="200"/>
      <c r="Z147" s="260">
        <f>SUM(Z143:Z146)</f>
        <v>22.984939999999998</v>
      </c>
      <c r="AA147" s="200"/>
    </row>
    <row r="148" spans="1:27">
      <c r="A148" s="200"/>
      <c r="B148" s="200"/>
      <c r="C148" s="200"/>
      <c r="D148" s="200"/>
      <c r="E148" s="200"/>
      <c r="F148" s="200"/>
      <c r="G148" s="200"/>
      <c r="H148" s="200"/>
      <c r="I148" s="200"/>
      <c r="J148" s="200"/>
      <c r="K148" s="200"/>
      <c r="L148" s="200"/>
      <c r="M148" s="200"/>
      <c r="N148" s="200"/>
      <c r="O148" s="200"/>
      <c r="P148" s="200"/>
      <c r="Q148" s="200"/>
      <c r="R148" s="251" t="s">
        <v>309</v>
      </c>
      <c r="S148" s="200"/>
      <c r="T148" s="253"/>
      <c r="U148" s="253"/>
      <c r="V148" s="253"/>
      <c r="W148" s="253"/>
      <c r="X148" s="254"/>
      <c r="Y148" s="200"/>
      <c r="Z148" s="200"/>
      <c r="AA148" s="200"/>
    </row>
    <row r="149" spans="1:27">
      <c r="A149" s="200"/>
      <c r="B149" s="200"/>
      <c r="C149" s="200"/>
      <c r="D149" s="200"/>
      <c r="E149" s="200"/>
      <c r="F149" s="200"/>
      <c r="G149" s="200"/>
      <c r="H149" s="200"/>
      <c r="I149" s="200"/>
      <c r="J149" s="200"/>
      <c r="K149" s="200"/>
      <c r="L149" s="200"/>
      <c r="M149" s="200"/>
      <c r="N149" s="200"/>
      <c r="O149" s="200"/>
      <c r="P149" s="200"/>
      <c r="Q149" s="200"/>
      <c r="R149" s="200" t="s">
        <v>310</v>
      </c>
      <c r="S149" s="200"/>
      <c r="T149" s="253"/>
      <c r="U149" s="253"/>
      <c r="V149" s="253" t="s">
        <v>311</v>
      </c>
      <c r="W149" s="253"/>
      <c r="X149" s="254">
        <v>3</v>
      </c>
      <c r="Y149" s="223">
        <f>Z141</f>
        <v>15.246545454545453</v>
      </c>
      <c r="Z149" s="223">
        <f>X149%*Y149</f>
        <v>0.4573963636363636</v>
      </c>
      <c r="AA149" s="200"/>
    </row>
    <row r="150" spans="1:27">
      <c r="A150" s="200"/>
      <c r="B150" s="200"/>
      <c r="C150" s="200"/>
      <c r="D150" s="200"/>
      <c r="E150" s="200"/>
      <c r="F150" s="200"/>
      <c r="G150" s="200"/>
      <c r="H150" s="200"/>
      <c r="I150" s="200"/>
      <c r="J150" s="200"/>
      <c r="K150" s="200"/>
      <c r="L150" s="200"/>
      <c r="M150" s="200"/>
      <c r="N150" s="200"/>
      <c r="O150" s="200"/>
      <c r="P150" s="200"/>
      <c r="Q150" s="200"/>
      <c r="R150" s="200" t="s">
        <v>667</v>
      </c>
      <c r="S150" s="200"/>
      <c r="T150" s="253"/>
      <c r="U150" s="253"/>
      <c r="V150" s="253" t="s">
        <v>337</v>
      </c>
      <c r="W150" s="253">
        <v>0.5</v>
      </c>
      <c r="X150" s="254">
        <f>W150*8/$T$135</f>
        <v>3.6363636363636362E-2</v>
      </c>
      <c r="Y150" s="200">
        <v>25.63</v>
      </c>
      <c r="Z150" s="223">
        <f t="shared" ref="Z150" si="21">X150*Y150</f>
        <v>0.93199999999999994</v>
      </c>
      <c r="AA150" s="200"/>
    </row>
    <row r="151" spans="1:27">
      <c r="A151" s="200"/>
      <c r="B151" s="200"/>
      <c r="C151" s="200"/>
      <c r="D151" s="200"/>
      <c r="E151" s="200"/>
      <c r="F151" s="200"/>
      <c r="G151" s="200"/>
      <c r="H151" s="200"/>
      <c r="I151" s="200"/>
      <c r="J151" s="200"/>
      <c r="K151" s="200"/>
      <c r="L151" s="200"/>
      <c r="M151" s="200"/>
      <c r="N151" s="200"/>
      <c r="O151" s="200"/>
      <c r="P151" s="200"/>
      <c r="Q151" s="244" t="s">
        <v>671</v>
      </c>
      <c r="R151" s="244" t="s">
        <v>671</v>
      </c>
      <c r="S151" s="244" t="s">
        <v>671</v>
      </c>
      <c r="T151" s="244" t="s">
        <v>671</v>
      </c>
      <c r="U151" s="244" t="s">
        <v>671</v>
      </c>
      <c r="V151" s="244" t="s">
        <v>671</v>
      </c>
      <c r="W151" s="244" t="s">
        <v>671</v>
      </c>
      <c r="X151" s="244" t="s">
        <v>671</v>
      </c>
      <c r="Y151" s="244" t="s">
        <v>671</v>
      </c>
      <c r="Z151" s="261">
        <f>SUM(Z149:Z150)</f>
        <v>1.3893963636363635</v>
      </c>
      <c r="AA151" s="200"/>
    </row>
    <row r="152" spans="1:27">
      <c r="A152" s="200"/>
      <c r="B152" s="200"/>
      <c r="C152" s="200"/>
      <c r="D152" s="200"/>
      <c r="E152" s="200"/>
      <c r="F152" s="200"/>
      <c r="G152" s="200"/>
      <c r="H152" s="200"/>
      <c r="I152" s="200"/>
      <c r="J152" s="200"/>
      <c r="K152" s="200"/>
      <c r="L152" s="200"/>
      <c r="M152" s="200"/>
      <c r="N152" s="200"/>
      <c r="O152" s="200"/>
      <c r="P152" s="200"/>
      <c r="Q152" s="200"/>
      <c r="R152" s="200"/>
      <c r="S152" s="200"/>
      <c r="T152" s="200"/>
      <c r="U152" s="200"/>
      <c r="V152" s="200"/>
      <c r="W152" s="200"/>
      <c r="X152" s="200"/>
      <c r="Y152" s="200"/>
      <c r="Z152" s="200"/>
      <c r="AA152" s="200"/>
    </row>
    <row r="153" spans="1:27">
      <c r="A153" s="200"/>
      <c r="B153" s="200"/>
      <c r="C153" s="200"/>
      <c r="D153" s="200"/>
      <c r="E153" s="200"/>
      <c r="F153" s="200"/>
      <c r="G153" s="200"/>
      <c r="H153" s="200"/>
      <c r="I153" s="200"/>
      <c r="J153" s="200"/>
      <c r="K153" s="200"/>
      <c r="L153" s="200"/>
      <c r="M153" s="200"/>
      <c r="N153" s="200"/>
      <c r="O153" s="200"/>
      <c r="P153" s="200"/>
      <c r="Q153" s="250" t="s">
        <v>277</v>
      </c>
      <c r="R153" s="250"/>
      <c r="S153" s="250" t="s">
        <v>670</v>
      </c>
      <c r="T153" s="250"/>
      <c r="U153" s="250"/>
      <c r="V153" s="200"/>
      <c r="W153" s="200"/>
      <c r="X153" s="200"/>
      <c r="Y153" s="200"/>
      <c r="Z153" s="200"/>
      <c r="AA153" s="200"/>
    </row>
    <row r="154" spans="1:27">
      <c r="A154" s="200"/>
      <c r="B154" s="200"/>
      <c r="C154" s="200"/>
      <c r="D154" s="200"/>
      <c r="E154" s="200"/>
      <c r="F154" s="200"/>
      <c r="G154" s="200"/>
      <c r="H154" s="200"/>
      <c r="I154" s="200"/>
      <c r="J154" s="200"/>
      <c r="K154" s="200"/>
      <c r="L154" s="200"/>
      <c r="M154" s="200"/>
      <c r="N154" s="200"/>
      <c r="O154" s="200"/>
      <c r="P154" s="200"/>
      <c r="Q154" s="250" t="s">
        <v>278</v>
      </c>
      <c r="R154" s="250" t="s">
        <v>279</v>
      </c>
      <c r="S154" s="250" t="s">
        <v>280</v>
      </c>
      <c r="T154" s="262">
        <v>120</v>
      </c>
      <c r="U154" s="262" t="s">
        <v>281</v>
      </c>
      <c r="V154" s="262">
        <f>T154</f>
        <v>120</v>
      </c>
      <c r="W154" s="262" t="s">
        <v>282</v>
      </c>
      <c r="X154" s="250"/>
      <c r="Y154" s="250" t="s">
        <v>133</v>
      </c>
      <c r="Z154" s="260">
        <f>Z160+Z166+Z170</f>
        <v>27.126394000000001</v>
      </c>
      <c r="AA154" s="200"/>
    </row>
    <row r="155" spans="1:27">
      <c r="A155" s="200"/>
      <c r="B155" s="200"/>
      <c r="C155" s="200"/>
      <c r="D155" s="200"/>
      <c r="E155" s="200"/>
      <c r="F155" s="200"/>
      <c r="G155" s="200"/>
      <c r="H155" s="200"/>
      <c r="I155" s="200"/>
      <c r="J155" s="200"/>
      <c r="K155" s="200"/>
      <c r="L155" s="200"/>
      <c r="M155" s="200"/>
      <c r="N155" s="200"/>
      <c r="O155" s="200"/>
      <c r="P155" s="200"/>
      <c r="Q155" s="250" t="s">
        <v>283</v>
      </c>
      <c r="R155" s="250" t="s">
        <v>284</v>
      </c>
      <c r="S155" s="250"/>
      <c r="T155" s="253"/>
      <c r="U155" s="253"/>
      <c r="V155" s="262" t="s">
        <v>122</v>
      </c>
      <c r="W155" s="262" t="s">
        <v>285</v>
      </c>
      <c r="X155" s="250" t="s">
        <v>286</v>
      </c>
      <c r="Y155" s="250" t="s">
        <v>287</v>
      </c>
      <c r="Z155" s="250" t="s">
        <v>288</v>
      </c>
      <c r="AA155" s="200"/>
    </row>
    <row r="156" spans="1:27">
      <c r="A156" s="200"/>
      <c r="B156" s="200"/>
      <c r="C156" s="200"/>
      <c r="D156" s="200"/>
      <c r="E156" s="200"/>
      <c r="F156" s="200"/>
      <c r="G156" s="200"/>
      <c r="H156" s="200"/>
      <c r="I156" s="200"/>
      <c r="J156" s="200"/>
      <c r="K156" s="200"/>
      <c r="L156" s="200"/>
      <c r="M156" s="200"/>
      <c r="N156" s="200"/>
      <c r="O156" s="200"/>
      <c r="P156" s="200"/>
      <c r="Q156" s="200"/>
      <c r="R156" s="251" t="s">
        <v>289</v>
      </c>
      <c r="S156" s="200"/>
      <c r="T156" s="253"/>
      <c r="U156" s="253"/>
      <c r="V156" s="253"/>
      <c r="W156" s="253"/>
      <c r="X156" s="200"/>
      <c r="Y156" s="200"/>
      <c r="Z156" s="200"/>
      <c r="AA156" s="200"/>
    </row>
    <row r="157" spans="1:27">
      <c r="A157" s="200"/>
      <c r="B157" s="200"/>
      <c r="C157" s="200"/>
      <c r="D157" s="200"/>
      <c r="E157" s="200"/>
      <c r="F157" s="200"/>
      <c r="G157" s="200"/>
      <c r="H157" s="200"/>
      <c r="I157" s="200"/>
      <c r="J157" s="200"/>
      <c r="K157" s="200"/>
      <c r="L157" s="200"/>
      <c r="M157" s="200"/>
      <c r="N157" s="200"/>
      <c r="O157" s="200"/>
      <c r="P157" s="200"/>
      <c r="Q157" s="200"/>
      <c r="R157" s="200" t="s">
        <v>290</v>
      </c>
      <c r="S157" s="200"/>
      <c r="T157" s="253"/>
      <c r="U157" s="253"/>
      <c r="V157" s="253" t="s">
        <v>291</v>
      </c>
      <c r="W157" s="253">
        <v>2</v>
      </c>
      <c r="X157" s="254">
        <f>W157*8/$T$154</f>
        <v>0.13333333333333333</v>
      </c>
      <c r="Y157" s="200">
        <v>28.94</v>
      </c>
      <c r="Z157" s="223">
        <f t="shared" ref="Z157:Z159" si="22">X157*Y157</f>
        <v>3.8586666666666667</v>
      </c>
      <c r="AA157" s="200"/>
    </row>
    <row r="158" spans="1:27">
      <c r="A158" s="200"/>
      <c r="B158" s="200"/>
      <c r="C158" s="200"/>
      <c r="D158" s="200"/>
      <c r="E158" s="200"/>
      <c r="F158" s="200"/>
      <c r="G158" s="200"/>
      <c r="H158" s="200"/>
      <c r="I158" s="200"/>
      <c r="J158" s="200"/>
      <c r="K158" s="200"/>
      <c r="L158" s="200"/>
      <c r="M158" s="200"/>
      <c r="N158" s="200"/>
      <c r="O158" s="200"/>
      <c r="P158" s="200"/>
      <c r="Q158" s="200"/>
      <c r="R158" s="200" t="s">
        <v>292</v>
      </c>
      <c r="S158" s="200"/>
      <c r="T158" s="253"/>
      <c r="U158" s="253"/>
      <c r="V158" s="253" t="s">
        <v>291</v>
      </c>
      <c r="W158" s="253">
        <v>2</v>
      </c>
      <c r="X158" s="254">
        <f>W158*8/$T$154</f>
        <v>0.13333333333333333</v>
      </c>
      <c r="Y158" s="200">
        <v>23.6</v>
      </c>
      <c r="Z158" s="223">
        <f t="shared" si="22"/>
        <v>3.1466666666666669</v>
      </c>
      <c r="AA158" s="200"/>
    </row>
    <row r="159" spans="1:27">
      <c r="A159" s="200"/>
      <c r="B159" s="200"/>
      <c r="C159" s="200"/>
      <c r="D159" s="200"/>
      <c r="E159" s="200"/>
      <c r="F159" s="200"/>
      <c r="G159" s="200"/>
      <c r="H159" s="200"/>
      <c r="I159" s="200"/>
      <c r="J159" s="200"/>
      <c r="K159" s="200"/>
      <c r="L159" s="200"/>
      <c r="M159" s="200"/>
      <c r="N159" s="200"/>
      <c r="O159" s="200"/>
      <c r="P159" s="200"/>
      <c r="Q159" s="200"/>
      <c r="R159" s="200" t="s">
        <v>293</v>
      </c>
      <c r="S159" s="200"/>
      <c r="T159" s="253"/>
      <c r="U159" s="253"/>
      <c r="V159" s="253" t="s">
        <v>291</v>
      </c>
      <c r="W159" s="253">
        <v>6</v>
      </c>
      <c r="X159" s="254">
        <f>W159*8/$T$154</f>
        <v>0.4</v>
      </c>
      <c r="Y159" s="200">
        <v>21.36</v>
      </c>
      <c r="Z159" s="223">
        <f t="shared" si="22"/>
        <v>8.5440000000000005</v>
      </c>
      <c r="AA159" s="200"/>
    </row>
    <row r="160" spans="1:27">
      <c r="A160" s="200"/>
      <c r="B160" s="200"/>
      <c r="C160" s="200"/>
      <c r="D160" s="200"/>
      <c r="E160" s="200"/>
      <c r="F160" s="200"/>
      <c r="G160" s="200"/>
      <c r="H160" s="200"/>
      <c r="I160" s="200"/>
      <c r="J160" s="200"/>
      <c r="K160" s="200"/>
      <c r="L160" s="200"/>
      <c r="M160" s="200"/>
      <c r="N160" s="200"/>
      <c r="O160" s="200"/>
      <c r="P160" s="200"/>
      <c r="Q160" s="200"/>
      <c r="R160" s="200"/>
      <c r="S160" s="200"/>
      <c r="T160" s="253"/>
      <c r="U160" s="253"/>
      <c r="V160" s="253"/>
      <c r="W160" s="253"/>
      <c r="X160" s="254"/>
      <c r="Y160" s="200"/>
      <c r="Z160" s="260">
        <f>SUM(Z157:Z159)</f>
        <v>15.549333333333333</v>
      </c>
      <c r="AA160" s="200"/>
    </row>
    <row r="161" spans="1:27">
      <c r="A161" s="200"/>
      <c r="B161" s="200"/>
      <c r="C161" s="200"/>
      <c r="D161" s="200"/>
      <c r="E161" s="200"/>
      <c r="F161" s="200"/>
      <c r="G161" s="200"/>
      <c r="H161" s="200"/>
      <c r="I161" s="200"/>
      <c r="J161" s="200"/>
      <c r="K161" s="200"/>
      <c r="L161" s="200"/>
      <c r="M161" s="200"/>
      <c r="N161" s="200"/>
      <c r="O161" s="200"/>
      <c r="P161" s="200"/>
      <c r="Q161" s="200"/>
      <c r="R161" s="251" t="s">
        <v>653</v>
      </c>
      <c r="S161" s="200"/>
      <c r="T161" s="253"/>
      <c r="U161" s="253"/>
      <c r="V161" s="253"/>
      <c r="W161" s="253"/>
      <c r="X161" s="254"/>
      <c r="Y161" s="200"/>
      <c r="Z161" s="200"/>
      <c r="AA161" s="200"/>
    </row>
    <row r="162" spans="1:27">
      <c r="A162" s="200"/>
      <c r="B162" s="200"/>
      <c r="C162" s="200"/>
      <c r="D162" s="200"/>
      <c r="E162" s="200"/>
      <c r="F162" s="200"/>
      <c r="G162" s="200"/>
      <c r="H162" s="200"/>
      <c r="I162" s="200"/>
      <c r="J162" s="200"/>
      <c r="K162" s="200"/>
      <c r="L162" s="200"/>
      <c r="M162" s="200"/>
      <c r="N162" s="200"/>
      <c r="O162" s="200"/>
      <c r="P162" s="200"/>
      <c r="Q162" s="200"/>
      <c r="R162" s="200" t="s">
        <v>306</v>
      </c>
      <c r="S162" s="200"/>
      <c r="T162" s="253"/>
      <c r="U162" s="253"/>
      <c r="V162" s="253" t="s">
        <v>307</v>
      </c>
      <c r="W162" s="253"/>
      <c r="X162" s="254">
        <v>0.19</v>
      </c>
      <c r="Y162" s="200">
        <v>24.52</v>
      </c>
      <c r="Z162" s="223">
        <f t="shared" ref="Z162:Z165" si="23">X162*Y162</f>
        <v>4.6588000000000003</v>
      </c>
      <c r="AA162" s="200"/>
    </row>
    <row r="163" spans="1:27">
      <c r="A163" s="200"/>
      <c r="B163" s="200"/>
      <c r="C163" s="200"/>
      <c r="D163" s="200"/>
      <c r="E163" s="200"/>
      <c r="F163" s="200"/>
      <c r="G163" s="200"/>
      <c r="H163" s="200"/>
      <c r="I163" s="200"/>
      <c r="J163" s="200"/>
      <c r="K163" s="200"/>
      <c r="L163" s="200"/>
      <c r="M163" s="200"/>
      <c r="N163" s="200"/>
      <c r="O163" s="200"/>
      <c r="P163" s="200"/>
      <c r="Q163" s="200"/>
      <c r="R163" s="200" t="s">
        <v>655</v>
      </c>
      <c r="S163" s="200"/>
      <c r="T163" s="253"/>
      <c r="U163" s="253"/>
      <c r="V163" s="253" t="s">
        <v>203</v>
      </c>
      <c r="W163" s="253"/>
      <c r="X163" s="254">
        <v>8.0999999999999996E-3</v>
      </c>
      <c r="Y163" s="200">
        <v>6.14</v>
      </c>
      <c r="Z163" s="223">
        <f t="shared" si="23"/>
        <v>4.9733999999999993E-2</v>
      </c>
      <c r="AA163" s="200"/>
    </row>
    <row r="164" spans="1:27">
      <c r="A164" s="200"/>
      <c r="B164" s="200"/>
      <c r="C164" s="200"/>
      <c r="D164" s="200"/>
      <c r="E164" s="200"/>
      <c r="F164" s="200"/>
      <c r="G164" s="200"/>
      <c r="H164" s="200"/>
      <c r="I164" s="200"/>
      <c r="J164" s="200"/>
      <c r="K164" s="200"/>
      <c r="L164" s="200"/>
      <c r="M164" s="200"/>
      <c r="N164" s="200"/>
      <c r="O164" s="200"/>
      <c r="P164" s="200"/>
      <c r="Q164" s="200"/>
      <c r="R164" s="200" t="s">
        <v>665</v>
      </c>
      <c r="S164" s="200"/>
      <c r="T164" s="253"/>
      <c r="U164" s="253"/>
      <c r="V164" s="253" t="s">
        <v>439</v>
      </c>
      <c r="W164" s="253"/>
      <c r="X164" s="254">
        <v>6.0000000000000001E-3</v>
      </c>
      <c r="Y164" s="200">
        <v>13.93</v>
      </c>
      <c r="Z164" s="223">
        <f t="shared" si="23"/>
        <v>8.3580000000000002E-2</v>
      </c>
      <c r="AA164" s="200"/>
    </row>
    <row r="165" spans="1:27">
      <c r="A165" s="200"/>
      <c r="B165" s="200"/>
      <c r="C165" s="200"/>
      <c r="D165" s="200"/>
      <c r="E165" s="200"/>
      <c r="F165" s="200"/>
      <c r="G165" s="200"/>
      <c r="H165" s="200"/>
      <c r="I165" s="200"/>
      <c r="J165" s="200"/>
      <c r="K165" s="200"/>
      <c r="L165" s="200"/>
      <c r="M165" s="200"/>
      <c r="N165" s="200"/>
      <c r="O165" s="200"/>
      <c r="P165" s="200"/>
      <c r="Q165" s="200"/>
      <c r="R165" s="200" t="s">
        <v>302</v>
      </c>
      <c r="S165" s="200"/>
      <c r="T165" s="253"/>
      <c r="U165" s="253"/>
      <c r="V165" s="253" t="s">
        <v>203</v>
      </c>
      <c r="W165" s="253"/>
      <c r="X165" s="254">
        <v>6.5000000000000002E-2</v>
      </c>
      <c r="Y165" s="248">
        <v>70.92</v>
      </c>
      <c r="Z165" s="223">
        <f t="shared" si="23"/>
        <v>4.6097999999999999</v>
      </c>
      <c r="AA165" s="200"/>
    </row>
    <row r="166" spans="1:27">
      <c r="A166" s="200"/>
      <c r="B166" s="200"/>
      <c r="C166" s="200"/>
      <c r="D166" s="200"/>
      <c r="E166" s="200"/>
      <c r="F166" s="200"/>
      <c r="G166" s="200"/>
      <c r="H166" s="200"/>
      <c r="I166" s="200"/>
      <c r="J166" s="200"/>
      <c r="K166" s="200"/>
      <c r="L166" s="200"/>
      <c r="M166" s="200"/>
      <c r="N166" s="200"/>
      <c r="O166" s="200"/>
      <c r="P166" s="200"/>
      <c r="Q166" s="200"/>
      <c r="R166" s="200"/>
      <c r="S166" s="200"/>
      <c r="T166" s="253"/>
      <c r="U166" s="253"/>
      <c r="V166" s="253"/>
      <c r="W166" s="253"/>
      <c r="X166" s="254"/>
      <c r="Y166" s="200"/>
      <c r="Z166" s="260">
        <f>SUM(Z162:Z165)</f>
        <v>9.4019140000000014</v>
      </c>
      <c r="AA166" s="200"/>
    </row>
    <row r="167" spans="1:27">
      <c r="A167" s="200"/>
      <c r="B167" s="200"/>
      <c r="C167" s="200"/>
      <c r="D167" s="200"/>
      <c r="E167" s="200"/>
      <c r="F167" s="200"/>
      <c r="G167" s="200"/>
      <c r="H167" s="200"/>
      <c r="I167" s="200"/>
      <c r="J167" s="200"/>
      <c r="K167" s="200"/>
      <c r="L167" s="200"/>
      <c r="M167" s="200"/>
      <c r="N167" s="200"/>
      <c r="O167" s="200"/>
      <c r="P167" s="200"/>
      <c r="Q167" s="200"/>
      <c r="R167" s="251" t="s">
        <v>309</v>
      </c>
      <c r="S167" s="200"/>
      <c r="T167" s="253"/>
      <c r="U167" s="253"/>
      <c r="V167" s="253"/>
      <c r="W167" s="253"/>
      <c r="X167" s="254"/>
      <c r="Y167" s="200"/>
      <c r="Z167" s="200"/>
      <c r="AA167" s="200"/>
    </row>
    <row r="168" spans="1:27">
      <c r="A168" s="200"/>
      <c r="B168" s="200"/>
      <c r="C168" s="200"/>
      <c r="D168" s="200"/>
      <c r="E168" s="200"/>
      <c r="F168" s="200"/>
      <c r="G168" s="200"/>
      <c r="H168" s="200"/>
      <c r="I168" s="200"/>
      <c r="J168" s="200"/>
      <c r="K168" s="200"/>
      <c r="L168" s="200"/>
      <c r="M168" s="200"/>
      <c r="N168" s="200"/>
      <c r="O168" s="200"/>
      <c r="P168" s="200"/>
      <c r="Q168" s="200"/>
      <c r="R168" s="200" t="s">
        <v>310</v>
      </c>
      <c r="S168" s="200"/>
      <c r="T168" s="253"/>
      <c r="U168" s="253"/>
      <c r="V168" s="253" t="s">
        <v>311</v>
      </c>
      <c r="W168" s="253"/>
      <c r="X168" s="254">
        <v>3</v>
      </c>
      <c r="Y168" s="223">
        <f>Z160</f>
        <v>15.549333333333333</v>
      </c>
      <c r="Z168" s="223">
        <f>X168%*Y168</f>
        <v>0.46648000000000001</v>
      </c>
      <c r="AA168" s="200"/>
    </row>
    <row r="169" spans="1:27">
      <c r="A169" s="200"/>
      <c r="B169" s="200"/>
      <c r="C169" s="200"/>
      <c r="D169" s="200"/>
      <c r="E169" s="200"/>
      <c r="F169" s="200"/>
      <c r="G169" s="200"/>
      <c r="H169" s="200"/>
      <c r="I169" s="200"/>
      <c r="J169" s="200"/>
      <c r="K169" s="200"/>
      <c r="L169" s="200"/>
      <c r="M169" s="200"/>
      <c r="N169" s="200"/>
      <c r="O169" s="200"/>
      <c r="P169" s="200"/>
      <c r="Q169" s="200"/>
      <c r="R169" s="200" t="s">
        <v>667</v>
      </c>
      <c r="S169" s="200"/>
      <c r="T169" s="253"/>
      <c r="U169" s="253"/>
      <c r="V169" s="253" t="s">
        <v>337</v>
      </c>
      <c r="W169" s="253">
        <v>1</v>
      </c>
      <c r="X169" s="254">
        <f>W169*8/$T$154</f>
        <v>6.6666666666666666E-2</v>
      </c>
      <c r="Y169" s="200">
        <v>25.63</v>
      </c>
      <c r="Z169" s="223">
        <f t="shared" ref="Z169" si="24">X169*Y169</f>
        <v>1.7086666666666666</v>
      </c>
      <c r="AA169" s="200"/>
    </row>
    <row r="170" spans="1:27">
      <c r="A170" s="200"/>
      <c r="B170" s="200"/>
      <c r="C170" s="200"/>
      <c r="D170" s="200"/>
      <c r="E170" s="200"/>
      <c r="F170" s="200"/>
      <c r="G170" s="200"/>
      <c r="H170" s="200"/>
      <c r="I170" s="200"/>
      <c r="J170" s="200"/>
      <c r="K170" s="200"/>
      <c r="L170" s="200"/>
      <c r="M170" s="200"/>
      <c r="N170" s="200"/>
      <c r="O170" s="200"/>
      <c r="P170" s="200"/>
      <c r="Q170" s="244" t="s">
        <v>671</v>
      </c>
      <c r="R170" s="244" t="s">
        <v>671</v>
      </c>
      <c r="S170" s="244" t="s">
        <v>671</v>
      </c>
      <c r="T170" s="244" t="s">
        <v>671</v>
      </c>
      <c r="U170" s="244" t="s">
        <v>671</v>
      </c>
      <c r="V170" s="244" t="s">
        <v>671</v>
      </c>
      <c r="W170" s="244" t="s">
        <v>671</v>
      </c>
      <c r="X170" s="244" t="s">
        <v>671</v>
      </c>
      <c r="Y170" s="244" t="s">
        <v>671</v>
      </c>
      <c r="Z170" s="261">
        <f>SUM(Z168:Z169)</f>
        <v>2.1751466666666666</v>
      </c>
      <c r="AA170" s="200"/>
    </row>
    <row r="171" spans="1:27">
      <c r="A171" s="200"/>
      <c r="B171" s="200"/>
      <c r="C171" s="200"/>
      <c r="D171" s="200"/>
      <c r="E171" s="200"/>
      <c r="F171" s="200"/>
      <c r="G171" s="200"/>
      <c r="H171" s="200"/>
      <c r="I171" s="200"/>
      <c r="J171" s="200"/>
      <c r="K171" s="200"/>
      <c r="L171" s="200"/>
      <c r="M171" s="200"/>
      <c r="N171" s="200"/>
      <c r="O171" s="200"/>
      <c r="P171" s="200"/>
      <c r="Q171" s="200"/>
      <c r="R171" s="200"/>
      <c r="S171" s="200"/>
      <c r="T171" s="200"/>
      <c r="U171" s="200"/>
      <c r="V171" s="200"/>
      <c r="W171" s="200"/>
      <c r="X171" s="200"/>
      <c r="Y171" s="200"/>
      <c r="Z171" s="200"/>
      <c r="AA171" s="200"/>
    </row>
    <row r="172" spans="1:27">
      <c r="A172" s="200"/>
      <c r="B172" s="200"/>
      <c r="C172" s="200"/>
      <c r="D172" s="200"/>
      <c r="E172" s="200"/>
      <c r="F172" s="200"/>
      <c r="G172" s="200"/>
      <c r="H172" s="200"/>
      <c r="I172" s="200"/>
      <c r="J172" s="200"/>
      <c r="K172" s="200"/>
      <c r="L172" s="200"/>
      <c r="M172" s="200"/>
      <c r="N172" s="200"/>
      <c r="O172" s="200"/>
      <c r="P172" s="200"/>
      <c r="Q172" s="250" t="s">
        <v>277</v>
      </c>
      <c r="R172" s="250"/>
      <c r="S172" s="250" t="s">
        <v>682</v>
      </c>
      <c r="T172" s="250"/>
      <c r="U172" s="250"/>
      <c r="V172" s="250"/>
      <c r="W172" s="200"/>
      <c r="X172" s="200"/>
      <c r="Y172" s="200"/>
      <c r="Z172" s="200"/>
      <c r="AA172" s="200"/>
    </row>
    <row r="173" spans="1:27">
      <c r="A173" s="200"/>
      <c r="B173" s="200"/>
      <c r="C173" s="200"/>
      <c r="D173" s="200"/>
      <c r="E173" s="200"/>
      <c r="F173" s="200"/>
      <c r="G173" s="200"/>
      <c r="H173" s="200"/>
      <c r="I173" s="200"/>
      <c r="J173" s="200"/>
      <c r="K173" s="200"/>
      <c r="L173" s="200"/>
      <c r="M173" s="200"/>
      <c r="N173" s="200"/>
      <c r="O173" s="200"/>
      <c r="P173" s="200"/>
      <c r="Q173" s="250" t="s">
        <v>278</v>
      </c>
      <c r="R173" s="250" t="s">
        <v>416</v>
      </c>
      <c r="S173" s="250" t="s">
        <v>280</v>
      </c>
      <c r="T173" s="262">
        <v>25</v>
      </c>
      <c r="U173" s="262" t="s">
        <v>281</v>
      </c>
      <c r="V173" s="262">
        <f>T173</f>
        <v>25</v>
      </c>
      <c r="W173" s="262" t="s">
        <v>282</v>
      </c>
      <c r="X173" s="250"/>
      <c r="Y173" s="250" t="s">
        <v>203</v>
      </c>
      <c r="Z173" s="260">
        <f>SUM(Z179+Z187+Z192)</f>
        <v>426.39754399999998</v>
      </c>
      <c r="AA173" s="200"/>
    </row>
    <row r="174" spans="1:27">
      <c r="A174" s="200"/>
      <c r="B174" s="200"/>
      <c r="C174" s="200"/>
      <c r="D174" s="200"/>
      <c r="E174" s="200"/>
      <c r="F174" s="200"/>
      <c r="G174" s="200"/>
      <c r="H174" s="200"/>
      <c r="I174" s="200"/>
      <c r="J174" s="200"/>
      <c r="K174" s="200"/>
      <c r="L174" s="200"/>
      <c r="M174" s="200"/>
      <c r="N174" s="200"/>
      <c r="O174" s="200"/>
      <c r="P174" s="200"/>
      <c r="Q174" s="250" t="s">
        <v>283</v>
      </c>
      <c r="R174" s="250" t="s">
        <v>284</v>
      </c>
      <c r="S174" s="250"/>
      <c r="T174" s="253"/>
      <c r="U174" s="253"/>
      <c r="V174" s="262" t="s">
        <v>122</v>
      </c>
      <c r="W174" s="262" t="s">
        <v>285</v>
      </c>
      <c r="X174" s="250" t="s">
        <v>286</v>
      </c>
      <c r="Y174" s="250" t="s">
        <v>287</v>
      </c>
      <c r="Z174" s="250" t="s">
        <v>288</v>
      </c>
      <c r="AA174" s="200"/>
    </row>
    <row r="175" spans="1:27">
      <c r="A175" s="200"/>
      <c r="B175" s="200"/>
      <c r="C175" s="200"/>
      <c r="D175" s="200"/>
      <c r="E175" s="200"/>
      <c r="F175" s="200"/>
      <c r="G175" s="200"/>
      <c r="H175" s="200"/>
      <c r="I175" s="200"/>
      <c r="J175" s="200"/>
      <c r="K175" s="200"/>
      <c r="L175" s="200"/>
      <c r="M175" s="200"/>
      <c r="N175" s="200"/>
      <c r="O175" s="200"/>
      <c r="P175" s="200"/>
      <c r="Q175" s="200"/>
      <c r="R175" s="251" t="s">
        <v>289</v>
      </c>
      <c r="S175" s="200"/>
      <c r="T175" s="253"/>
      <c r="U175" s="253"/>
      <c r="V175" s="253"/>
      <c r="W175" s="253"/>
      <c r="X175" s="200"/>
      <c r="Y175" s="200"/>
      <c r="Z175" s="200"/>
      <c r="AA175" s="200"/>
    </row>
    <row r="176" spans="1:27">
      <c r="A176" s="200"/>
      <c r="B176" s="200"/>
      <c r="C176" s="200"/>
      <c r="D176" s="200"/>
      <c r="E176" s="200"/>
      <c r="F176" s="200"/>
      <c r="G176" s="200"/>
      <c r="H176" s="200"/>
      <c r="I176" s="200"/>
      <c r="J176" s="200"/>
      <c r="K176" s="200"/>
      <c r="L176" s="200"/>
      <c r="M176" s="200"/>
      <c r="N176" s="200"/>
      <c r="O176" s="200"/>
      <c r="P176" s="200"/>
      <c r="Q176" s="200"/>
      <c r="R176" s="200" t="s">
        <v>290</v>
      </c>
      <c r="S176" s="200"/>
      <c r="T176" s="253"/>
      <c r="U176" s="253"/>
      <c r="V176" s="253" t="s">
        <v>291</v>
      </c>
      <c r="W176" s="253">
        <v>2</v>
      </c>
      <c r="X176" s="254">
        <f>W176*8/$T$173</f>
        <v>0.64</v>
      </c>
      <c r="Y176" s="223">
        <v>28.94</v>
      </c>
      <c r="Z176" s="223">
        <f t="shared" ref="Z176:Z178" si="25">X176*Y176</f>
        <v>18.521600000000003</v>
      </c>
      <c r="AA176" s="200"/>
    </row>
    <row r="177" spans="1:27">
      <c r="A177" s="200"/>
      <c r="B177" s="200"/>
      <c r="C177" s="200"/>
      <c r="D177" s="200"/>
      <c r="E177" s="200"/>
      <c r="F177" s="200"/>
      <c r="G177" s="200"/>
      <c r="H177" s="200"/>
      <c r="I177" s="200"/>
      <c r="J177" s="200"/>
      <c r="K177" s="200"/>
      <c r="L177" s="200"/>
      <c r="M177" s="200"/>
      <c r="N177" s="200"/>
      <c r="O177" s="200"/>
      <c r="P177" s="200"/>
      <c r="Q177" s="200"/>
      <c r="R177" s="200" t="s">
        <v>292</v>
      </c>
      <c r="S177" s="200"/>
      <c r="T177" s="253"/>
      <c r="U177" s="253"/>
      <c r="V177" s="253" t="s">
        <v>291</v>
      </c>
      <c r="W177" s="253">
        <v>2</v>
      </c>
      <c r="X177" s="254">
        <f>W177*8/$T$173</f>
        <v>0.64</v>
      </c>
      <c r="Y177" s="223">
        <v>23.6</v>
      </c>
      <c r="Z177" s="223">
        <f t="shared" si="25"/>
        <v>15.104000000000001</v>
      </c>
      <c r="AA177" s="200"/>
    </row>
    <row r="178" spans="1:27">
      <c r="A178" s="200"/>
      <c r="B178" s="200"/>
      <c r="C178" s="200"/>
      <c r="D178" s="200"/>
      <c r="E178" s="200"/>
      <c r="F178" s="200"/>
      <c r="G178" s="200"/>
      <c r="H178" s="200"/>
      <c r="I178" s="200"/>
      <c r="J178" s="200"/>
      <c r="K178" s="200"/>
      <c r="L178" s="200"/>
      <c r="M178" s="200"/>
      <c r="N178" s="200"/>
      <c r="O178" s="200"/>
      <c r="P178" s="200"/>
      <c r="Q178" s="200"/>
      <c r="R178" s="200" t="s">
        <v>293</v>
      </c>
      <c r="S178" s="200"/>
      <c r="T178" s="253"/>
      <c r="U178" s="253"/>
      <c r="V178" s="253" t="s">
        <v>291</v>
      </c>
      <c r="W178" s="253">
        <v>6</v>
      </c>
      <c r="X178" s="254">
        <f>W178*8/$T$173</f>
        <v>1.92</v>
      </c>
      <c r="Y178" s="223">
        <v>21.36</v>
      </c>
      <c r="Z178" s="223">
        <f t="shared" si="25"/>
        <v>41.011199999999995</v>
      </c>
      <c r="AA178" s="200"/>
    </row>
    <row r="179" spans="1:27">
      <c r="A179" s="200"/>
      <c r="B179" s="200"/>
      <c r="C179" s="200"/>
      <c r="D179" s="200"/>
      <c r="E179" s="200"/>
      <c r="F179" s="200"/>
      <c r="G179" s="200"/>
      <c r="H179" s="200"/>
      <c r="I179" s="200"/>
      <c r="J179" s="200"/>
      <c r="K179" s="200"/>
      <c r="L179" s="200"/>
      <c r="M179" s="200"/>
      <c r="N179" s="200"/>
      <c r="O179" s="200"/>
      <c r="P179" s="200"/>
      <c r="Q179" s="200"/>
      <c r="R179" s="200"/>
      <c r="S179" s="200"/>
      <c r="T179" s="253"/>
      <c r="U179" s="253"/>
      <c r="V179" s="253"/>
      <c r="W179" s="253"/>
      <c r="X179" s="254"/>
      <c r="Y179" s="223"/>
      <c r="Z179" s="260">
        <f>SUM(Z176:Z178)</f>
        <v>74.636799999999994</v>
      </c>
      <c r="AA179" s="200"/>
    </row>
    <row r="180" spans="1:27">
      <c r="A180" s="200"/>
      <c r="B180" s="200"/>
      <c r="C180" s="200"/>
      <c r="D180" s="200"/>
      <c r="E180" s="200"/>
      <c r="F180" s="200"/>
      <c r="G180" s="200"/>
      <c r="H180" s="200"/>
      <c r="I180" s="200"/>
      <c r="J180" s="200"/>
      <c r="K180" s="200"/>
      <c r="L180" s="200"/>
      <c r="M180" s="200"/>
      <c r="N180" s="200"/>
      <c r="O180" s="200"/>
      <c r="P180" s="200"/>
      <c r="Q180" s="200"/>
      <c r="R180" s="251" t="s">
        <v>653</v>
      </c>
      <c r="S180" s="200"/>
      <c r="T180" s="253"/>
      <c r="U180" s="253"/>
      <c r="V180" s="253"/>
      <c r="W180" s="253"/>
      <c r="X180" s="254"/>
      <c r="Y180" s="223"/>
      <c r="Z180" s="223"/>
      <c r="AA180" s="200"/>
    </row>
    <row r="181" spans="1:27">
      <c r="A181" s="200"/>
      <c r="B181" s="200"/>
      <c r="C181" s="200"/>
      <c r="D181" s="200"/>
      <c r="E181" s="200"/>
      <c r="F181" s="200"/>
      <c r="G181" s="200"/>
      <c r="H181" s="200"/>
      <c r="I181" s="200"/>
      <c r="J181" s="200"/>
      <c r="K181" s="200"/>
      <c r="L181" s="200"/>
      <c r="M181" s="200"/>
      <c r="N181" s="200"/>
      <c r="O181" s="200"/>
      <c r="P181" s="200"/>
      <c r="Q181" s="200"/>
      <c r="R181" s="200" t="s">
        <v>672</v>
      </c>
      <c r="S181" s="200"/>
      <c r="T181" s="253"/>
      <c r="U181" s="253"/>
      <c r="V181" s="253" t="s">
        <v>203</v>
      </c>
      <c r="W181" s="253"/>
      <c r="X181" s="254">
        <v>0.53</v>
      </c>
      <c r="Y181" s="223">
        <v>55.08</v>
      </c>
      <c r="Z181" s="223">
        <f t="shared" ref="Z181:Z186" si="26">X181*Y181</f>
        <v>29.192399999999999</v>
      </c>
      <c r="AA181" s="200"/>
    </row>
    <row r="182" spans="1:27">
      <c r="A182" s="200"/>
      <c r="B182" s="200"/>
      <c r="C182" s="200"/>
      <c r="D182" s="200"/>
      <c r="E182" s="200"/>
      <c r="F182" s="200"/>
      <c r="G182" s="200"/>
      <c r="H182" s="200"/>
      <c r="I182" s="200"/>
      <c r="J182" s="200"/>
      <c r="K182" s="200"/>
      <c r="L182" s="200"/>
      <c r="M182" s="200"/>
      <c r="N182" s="200"/>
      <c r="O182" s="200"/>
      <c r="P182" s="200"/>
      <c r="Q182" s="200"/>
      <c r="R182" s="200" t="s">
        <v>673</v>
      </c>
      <c r="S182" s="200"/>
      <c r="T182" s="253"/>
      <c r="U182" s="253"/>
      <c r="V182" s="253" t="s">
        <v>203</v>
      </c>
      <c r="W182" s="253"/>
      <c r="X182" s="254">
        <v>0.52</v>
      </c>
      <c r="Y182" s="223">
        <v>47</v>
      </c>
      <c r="Z182" s="223">
        <f t="shared" si="26"/>
        <v>24.44</v>
      </c>
      <c r="AA182" s="200"/>
    </row>
    <row r="183" spans="1:27">
      <c r="A183" s="200"/>
      <c r="B183" s="200"/>
      <c r="C183" s="200"/>
      <c r="D183" s="200"/>
      <c r="E183" s="200"/>
      <c r="F183" s="200"/>
      <c r="G183" s="200"/>
      <c r="H183" s="200"/>
      <c r="I183" s="200"/>
      <c r="J183" s="200"/>
      <c r="K183" s="200"/>
      <c r="L183" s="200"/>
      <c r="M183" s="200"/>
      <c r="N183" s="200"/>
      <c r="O183" s="200"/>
      <c r="P183" s="200"/>
      <c r="Q183" s="200"/>
      <c r="R183" s="200" t="s">
        <v>306</v>
      </c>
      <c r="S183" s="200"/>
      <c r="T183" s="253"/>
      <c r="U183" s="253"/>
      <c r="V183" s="253" t="s">
        <v>307</v>
      </c>
      <c r="W183" s="253"/>
      <c r="X183" s="254">
        <v>9.73</v>
      </c>
      <c r="Y183" s="223">
        <v>24.52</v>
      </c>
      <c r="Z183" s="223">
        <f t="shared" si="26"/>
        <v>238.5796</v>
      </c>
      <c r="AA183" s="200"/>
    </row>
    <row r="184" spans="1:27">
      <c r="A184" s="200"/>
      <c r="B184" s="200"/>
      <c r="C184" s="200"/>
      <c r="D184" s="200"/>
      <c r="E184" s="200"/>
      <c r="F184" s="200"/>
      <c r="G184" s="200"/>
      <c r="H184" s="200"/>
      <c r="I184" s="200"/>
      <c r="J184" s="200"/>
      <c r="K184" s="200"/>
      <c r="L184" s="200"/>
      <c r="M184" s="200"/>
      <c r="N184" s="200"/>
      <c r="O184" s="200"/>
      <c r="P184" s="200"/>
      <c r="Q184" s="200"/>
      <c r="R184" s="200" t="s">
        <v>655</v>
      </c>
      <c r="S184" s="200"/>
      <c r="T184" s="253"/>
      <c r="U184" s="253"/>
      <c r="V184" s="253" t="s">
        <v>203</v>
      </c>
      <c r="W184" s="253"/>
      <c r="X184" s="254">
        <v>0.186</v>
      </c>
      <c r="Y184" s="223">
        <v>6.14</v>
      </c>
      <c r="Z184" s="223">
        <f t="shared" si="26"/>
        <v>1.1420399999999999</v>
      </c>
      <c r="AA184" s="200"/>
    </row>
    <row r="185" spans="1:27">
      <c r="A185" s="200"/>
      <c r="B185" s="200"/>
      <c r="C185" s="200"/>
      <c r="D185" s="200"/>
      <c r="E185" s="200"/>
      <c r="F185" s="200"/>
      <c r="G185" s="200"/>
      <c r="H185" s="200"/>
      <c r="I185" s="200"/>
      <c r="J185" s="200"/>
      <c r="K185" s="200"/>
      <c r="L185" s="200"/>
      <c r="M185" s="200"/>
      <c r="N185" s="200"/>
      <c r="O185" s="200"/>
      <c r="P185" s="200"/>
      <c r="Q185" s="200"/>
      <c r="R185" s="200" t="s">
        <v>665</v>
      </c>
      <c r="S185" s="200"/>
      <c r="T185" s="253"/>
      <c r="U185" s="253"/>
      <c r="V185" s="253" t="s">
        <v>439</v>
      </c>
      <c r="W185" s="253"/>
      <c r="X185" s="254">
        <v>0.36</v>
      </c>
      <c r="Y185" s="223">
        <v>13.93</v>
      </c>
      <c r="Z185" s="223">
        <f t="shared" si="26"/>
        <v>5.0148000000000001</v>
      </c>
      <c r="AA185" s="200"/>
    </row>
    <row r="186" spans="1:27">
      <c r="A186" s="200"/>
      <c r="B186" s="200"/>
      <c r="C186" s="200"/>
      <c r="D186" s="200"/>
      <c r="E186" s="200"/>
      <c r="F186" s="200"/>
      <c r="G186" s="200"/>
      <c r="H186" s="200"/>
      <c r="I186" s="200"/>
      <c r="J186" s="200"/>
      <c r="K186" s="200"/>
      <c r="L186" s="200"/>
      <c r="M186" s="200"/>
      <c r="N186" s="200"/>
      <c r="O186" s="200"/>
      <c r="P186" s="200"/>
      <c r="Q186" s="200"/>
      <c r="R186" s="200" t="s">
        <v>674</v>
      </c>
      <c r="S186" s="200"/>
      <c r="T186" s="253"/>
      <c r="U186" s="253"/>
      <c r="V186" s="253" t="s">
        <v>439</v>
      </c>
      <c r="W186" s="253"/>
      <c r="X186" s="254">
        <v>1.5</v>
      </c>
      <c r="Y186" s="264">
        <v>27.88</v>
      </c>
      <c r="Z186" s="223">
        <f t="shared" si="26"/>
        <v>41.82</v>
      </c>
      <c r="AA186" s="200"/>
    </row>
    <row r="187" spans="1:27">
      <c r="A187" s="200"/>
      <c r="B187" s="200"/>
      <c r="C187" s="200"/>
      <c r="D187" s="200"/>
      <c r="E187" s="200"/>
      <c r="F187" s="200"/>
      <c r="G187" s="200"/>
      <c r="H187" s="200"/>
      <c r="I187" s="200"/>
      <c r="J187" s="200"/>
      <c r="K187" s="200"/>
      <c r="L187" s="200"/>
      <c r="M187" s="200"/>
      <c r="N187" s="200"/>
      <c r="O187" s="200"/>
      <c r="P187" s="200"/>
      <c r="Q187" s="200"/>
      <c r="R187" s="200"/>
      <c r="S187" s="200"/>
      <c r="T187" s="253"/>
      <c r="U187" s="253"/>
      <c r="V187" s="253"/>
      <c r="W187" s="253"/>
      <c r="X187" s="254"/>
      <c r="Y187" s="223"/>
      <c r="Z187" s="260">
        <f>SUM(Z181:Z186)</f>
        <v>340.18883999999997</v>
      </c>
      <c r="AA187" s="200"/>
    </row>
    <row r="188" spans="1:27">
      <c r="A188" s="200"/>
      <c r="B188" s="200"/>
      <c r="C188" s="200"/>
      <c r="D188" s="200"/>
      <c r="E188" s="200"/>
      <c r="F188" s="200"/>
      <c r="G188" s="200"/>
      <c r="H188" s="200"/>
      <c r="I188" s="200"/>
      <c r="J188" s="200"/>
      <c r="K188" s="200"/>
      <c r="L188" s="200"/>
      <c r="M188" s="200"/>
      <c r="N188" s="200"/>
      <c r="O188" s="200"/>
      <c r="P188" s="200"/>
      <c r="Q188" s="200"/>
      <c r="R188" s="251" t="s">
        <v>309</v>
      </c>
      <c r="S188" s="200"/>
      <c r="T188" s="253"/>
      <c r="U188" s="253"/>
      <c r="V188" s="253"/>
      <c r="W188" s="253"/>
      <c r="X188" s="254"/>
      <c r="Y188" s="200"/>
      <c r="Z188" s="200"/>
      <c r="AA188" s="200"/>
    </row>
    <row r="189" spans="1:27">
      <c r="A189" s="200"/>
      <c r="B189" s="200"/>
      <c r="C189" s="200"/>
      <c r="D189" s="200"/>
      <c r="E189" s="200"/>
      <c r="F189" s="200"/>
      <c r="G189" s="200"/>
      <c r="H189" s="200"/>
      <c r="I189" s="200"/>
      <c r="J189" s="200"/>
      <c r="K189" s="200"/>
      <c r="L189" s="200"/>
      <c r="M189" s="200"/>
      <c r="N189" s="200"/>
      <c r="O189" s="200"/>
      <c r="P189" s="200"/>
      <c r="Q189" s="200"/>
      <c r="R189" s="200" t="s">
        <v>310</v>
      </c>
      <c r="S189" s="200"/>
      <c r="T189" s="253"/>
      <c r="U189" s="253"/>
      <c r="V189" s="253" t="s">
        <v>311</v>
      </c>
      <c r="W189" s="253"/>
      <c r="X189" s="254">
        <v>3</v>
      </c>
      <c r="Y189" s="223">
        <f>Z179</f>
        <v>74.636799999999994</v>
      </c>
      <c r="Z189" s="223">
        <f>X189%*Y189</f>
        <v>2.2391039999999998</v>
      </c>
      <c r="AA189" s="200"/>
    </row>
    <row r="190" spans="1:27">
      <c r="A190" s="200"/>
      <c r="B190" s="200"/>
      <c r="C190" s="200"/>
      <c r="D190" s="200"/>
      <c r="E190" s="200"/>
      <c r="F190" s="200"/>
      <c r="G190" s="200"/>
      <c r="H190" s="200"/>
      <c r="I190" s="200"/>
      <c r="J190" s="200"/>
      <c r="K190" s="200"/>
      <c r="L190" s="200"/>
      <c r="M190" s="200"/>
      <c r="N190" s="200"/>
      <c r="O190" s="200"/>
      <c r="P190" s="200"/>
      <c r="Q190" s="200"/>
      <c r="R190" s="200" t="s">
        <v>667</v>
      </c>
      <c r="S190" s="200"/>
      <c r="T190" s="253"/>
      <c r="U190" s="253"/>
      <c r="V190" s="253" t="s">
        <v>337</v>
      </c>
      <c r="W190" s="253">
        <v>1</v>
      </c>
      <c r="X190" s="254">
        <f>W190*8/$T$173</f>
        <v>0.32</v>
      </c>
      <c r="Y190" s="200">
        <v>25.63</v>
      </c>
      <c r="Z190" s="223">
        <f t="shared" ref="Z190:Z191" si="27">X190*Y190</f>
        <v>8.2015999999999991</v>
      </c>
      <c r="AA190" s="200"/>
    </row>
    <row r="191" spans="1:27">
      <c r="A191" s="200"/>
      <c r="B191" s="200"/>
      <c r="C191" s="200"/>
      <c r="D191" s="200"/>
      <c r="E191" s="200"/>
      <c r="F191" s="200"/>
      <c r="G191" s="200"/>
      <c r="H191" s="200"/>
      <c r="I191" s="200"/>
      <c r="J191" s="200"/>
      <c r="K191" s="200"/>
      <c r="L191" s="200"/>
      <c r="M191" s="200"/>
      <c r="N191" s="200"/>
      <c r="O191" s="200"/>
      <c r="P191" s="200"/>
      <c r="Q191" s="200"/>
      <c r="R191" s="200" t="s">
        <v>675</v>
      </c>
      <c r="S191" s="200"/>
      <c r="T191" s="253"/>
      <c r="U191" s="253"/>
      <c r="V191" s="253" t="s">
        <v>337</v>
      </c>
      <c r="W191" s="253">
        <v>0.5</v>
      </c>
      <c r="X191" s="254">
        <f>W191*8/$T$173</f>
        <v>0.16</v>
      </c>
      <c r="Y191" s="200">
        <v>7.07</v>
      </c>
      <c r="Z191" s="223">
        <f t="shared" si="27"/>
        <v>1.1312</v>
      </c>
      <c r="AA191" s="200"/>
    </row>
    <row r="192" spans="1:27">
      <c r="A192" s="200"/>
      <c r="B192" s="200"/>
      <c r="C192" s="200"/>
      <c r="D192" s="200"/>
      <c r="E192" s="200"/>
      <c r="F192" s="200"/>
      <c r="G192" s="200"/>
      <c r="H192" s="200"/>
      <c r="I192" s="200"/>
      <c r="J192" s="200"/>
      <c r="K192" s="200"/>
      <c r="L192" s="200"/>
      <c r="M192" s="200"/>
      <c r="N192" s="200"/>
      <c r="O192" s="200"/>
      <c r="P192" s="200"/>
      <c r="Q192" s="244" t="s">
        <v>671</v>
      </c>
      <c r="R192" s="244" t="s">
        <v>671</v>
      </c>
      <c r="S192" s="244" t="s">
        <v>671</v>
      </c>
      <c r="T192" s="244" t="s">
        <v>671</v>
      </c>
      <c r="U192" s="244" t="s">
        <v>671</v>
      </c>
      <c r="V192" s="244" t="s">
        <v>671</v>
      </c>
      <c r="W192" s="244" t="s">
        <v>671</v>
      </c>
      <c r="X192" s="244" t="s">
        <v>671</v>
      </c>
      <c r="Y192" s="244" t="s">
        <v>671</v>
      </c>
      <c r="Z192" s="261">
        <f>SUM(Z189:Z191)</f>
        <v>11.571903999999998</v>
      </c>
      <c r="AA192" s="200"/>
    </row>
    <row r="193" spans="1:27">
      <c r="A193" s="200"/>
      <c r="B193" s="200"/>
      <c r="C193" s="200"/>
      <c r="D193" s="200"/>
      <c r="E193" s="200"/>
      <c r="F193" s="200"/>
      <c r="G193" s="200"/>
      <c r="H193" s="200"/>
      <c r="I193" s="200"/>
      <c r="J193" s="200"/>
      <c r="K193" s="200"/>
      <c r="L193" s="200"/>
      <c r="M193" s="200"/>
      <c r="N193" s="200"/>
      <c r="O193" s="200"/>
      <c r="P193" s="200"/>
      <c r="Q193" s="200"/>
      <c r="R193" s="200"/>
      <c r="S193" s="200"/>
      <c r="T193" s="200"/>
      <c r="U193" s="200"/>
      <c r="V193" s="200"/>
      <c r="W193" s="200"/>
      <c r="X193" s="200"/>
      <c r="Y193" s="200"/>
      <c r="Z193" s="200"/>
      <c r="AA193" s="200"/>
    </row>
    <row r="194" spans="1:27">
      <c r="A194" s="200"/>
      <c r="B194" s="200"/>
      <c r="C194" s="200"/>
      <c r="D194" s="200"/>
      <c r="E194" s="200"/>
      <c r="F194" s="200"/>
      <c r="G194" s="200"/>
      <c r="H194" s="200"/>
      <c r="I194" s="200"/>
      <c r="J194" s="200"/>
      <c r="K194" s="200"/>
      <c r="L194" s="200"/>
      <c r="M194" s="200"/>
      <c r="N194" s="200"/>
      <c r="O194" s="200"/>
      <c r="P194" s="200"/>
      <c r="Q194" s="250" t="s">
        <v>277</v>
      </c>
      <c r="R194" s="250"/>
      <c r="S194" s="250" t="s">
        <v>683</v>
      </c>
      <c r="T194" s="250"/>
      <c r="U194" s="250"/>
      <c r="V194" s="250"/>
      <c r="W194" s="200"/>
      <c r="X194" s="200"/>
      <c r="Y194" s="200"/>
      <c r="Z194" s="200"/>
      <c r="AA194" s="200"/>
    </row>
    <row r="195" spans="1:27">
      <c r="A195" s="200"/>
      <c r="B195" s="200"/>
      <c r="C195" s="200"/>
      <c r="D195" s="200"/>
      <c r="E195" s="200"/>
      <c r="F195" s="200"/>
      <c r="G195" s="200"/>
      <c r="H195" s="200"/>
      <c r="I195" s="200"/>
      <c r="J195" s="200"/>
      <c r="K195" s="200"/>
      <c r="L195" s="200"/>
      <c r="M195" s="200"/>
      <c r="N195" s="200"/>
      <c r="O195" s="200"/>
      <c r="P195" s="200"/>
      <c r="Q195" s="250" t="s">
        <v>278</v>
      </c>
      <c r="R195" s="250" t="s">
        <v>279</v>
      </c>
      <c r="S195" s="250" t="s">
        <v>280</v>
      </c>
      <c r="T195" s="262">
        <v>8</v>
      </c>
      <c r="U195" s="262" t="s">
        <v>281</v>
      </c>
      <c r="V195" s="262">
        <f>T195</f>
        <v>8</v>
      </c>
      <c r="W195" s="262" t="s">
        <v>282</v>
      </c>
      <c r="X195" s="250"/>
      <c r="Y195" s="250" t="s">
        <v>133</v>
      </c>
      <c r="Z195" s="260">
        <f>Z200+Z205+Z208</f>
        <v>75.114200000000011</v>
      </c>
      <c r="AA195" s="200"/>
    </row>
    <row r="196" spans="1:27">
      <c r="A196" s="200"/>
      <c r="B196" s="200"/>
      <c r="C196" s="200"/>
      <c r="D196" s="200"/>
      <c r="E196" s="200"/>
      <c r="F196" s="200"/>
      <c r="G196" s="200"/>
      <c r="H196" s="200"/>
      <c r="I196" s="200"/>
      <c r="J196" s="200"/>
      <c r="K196" s="200"/>
      <c r="L196" s="200"/>
      <c r="M196" s="200"/>
      <c r="N196" s="200"/>
      <c r="O196" s="200"/>
      <c r="P196" s="200"/>
      <c r="Q196" s="250" t="s">
        <v>283</v>
      </c>
      <c r="R196" s="250" t="s">
        <v>284</v>
      </c>
      <c r="S196" s="250"/>
      <c r="T196" s="253"/>
      <c r="U196" s="253"/>
      <c r="V196" s="262" t="s">
        <v>122</v>
      </c>
      <c r="W196" s="262" t="s">
        <v>285</v>
      </c>
      <c r="X196" s="250" t="s">
        <v>286</v>
      </c>
      <c r="Y196" s="250" t="s">
        <v>287</v>
      </c>
      <c r="Z196" s="250" t="s">
        <v>288</v>
      </c>
      <c r="AA196" s="200"/>
    </row>
    <row r="197" spans="1:27">
      <c r="A197" s="200"/>
      <c r="B197" s="200"/>
      <c r="C197" s="200"/>
      <c r="D197" s="200"/>
      <c r="E197" s="200"/>
      <c r="F197" s="200"/>
      <c r="G197" s="200"/>
      <c r="H197" s="200"/>
      <c r="I197" s="200"/>
      <c r="J197" s="200"/>
      <c r="K197" s="200"/>
      <c r="L197" s="200"/>
      <c r="M197" s="200"/>
      <c r="N197" s="200"/>
      <c r="O197" s="200"/>
      <c r="P197" s="200"/>
      <c r="Q197" s="200"/>
      <c r="R197" s="251" t="s">
        <v>289</v>
      </c>
      <c r="S197" s="200"/>
      <c r="T197" s="253"/>
      <c r="U197" s="253"/>
      <c r="V197" s="253"/>
      <c r="W197" s="253"/>
      <c r="X197" s="200"/>
      <c r="Y197" s="200"/>
      <c r="Z197" s="200"/>
      <c r="AA197" s="200"/>
    </row>
    <row r="198" spans="1:27">
      <c r="A198" s="200"/>
      <c r="B198" s="200"/>
      <c r="C198" s="200"/>
      <c r="D198" s="200"/>
      <c r="E198" s="200"/>
      <c r="F198" s="200"/>
      <c r="G198" s="200"/>
      <c r="H198" s="200"/>
      <c r="I198" s="200"/>
      <c r="J198" s="200"/>
      <c r="K198" s="200"/>
      <c r="L198" s="200"/>
      <c r="M198" s="200"/>
      <c r="N198" s="200"/>
      <c r="O198" s="200"/>
      <c r="P198" s="200"/>
      <c r="Q198" s="200"/>
      <c r="R198" s="200" t="s">
        <v>290</v>
      </c>
      <c r="S198" s="200"/>
      <c r="T198" s="253"/>
      <c r="U198" s="253"/>
      <c r="V198" s="253" t="s">
        <v>291</v>
      </c>
      <c r="W198" s="253">
        <v>1</v>
      </c>
      <c r="X198" s="254">
        <f>W198*8/$T$195</f>
        <v>1</v>
      </c>
      <c r="Y198" s="223">
        <v>28.94</v>
      </c>
      <c r="Z198" s="223">
        <f t="shared" ref="Z198:Z199" si="28">X198*Y198</f>
        <v>28.94</v>
      </c>
      <c r="AA198" s="200"/>
    </row>
    <row r="199" spans="1:27">
      <c r="A199" s="200"/>
      <c r="B199" s="200"/>
      <c r="C199" s="200"/>
      <c r="D199" s="200"/>
      <c r="E199" s="200"/>
      <c r="F199" s="200"/>
      <c r="G199" s="200"/>
      <c r="H199" s="200"/>
      <c r="I199" s="200"/>
      <c r="J199" s="200"/>
      <c r="K199" s="200"/>
      <c r="L199" s="200"/>
      <c r="M199" s="200"/>
      <c r="N199" s="200"/>
      <c r="O199" s="200"/>
      <c r="P199" s="200"/>
      <c r="Q199" s="200"/>
      <c r="R199" s="200" t="s">
        <v>292</v>
      </c>
      <c r="S199" s="200"/>
      <c r="T199" s="253"/>
      <c r="U199" s="253"/>
      <c r="V199" s="253" t="s">
        <v>291</v>
      </c>
      <c r="W199" s="253">
        <v>1</v>
      </c>
      <c r="X199" s="254">
        <f>W199*8/$T$195</f>
        <v>1</v>
      </c>
      <c r="Y199" s="223">
        <v>23.6</v>
      </c>
      <c r="Z199" s="223">
        <f t="shared" si="28"/>
        <v>23.6</v>
      </c>
      <c r="AA199" s="200"/>
    </row>
    <row r="200" spans="1:27">
      <c r="A200" s="200"/>
      <c r="B200" s="200"/>
      <c r="C200" s="200"/>
      <c r="D200" s="200"/>
      <c r="E200" s="200"/>
      <c r="F200" s="200"/>
      <c r="G200" s="200"/>
      <c r="H200" s="200"/>
      <c r="I200" s="200"/>
      <c r="J200" s="200"/>
      <c r="K200" s="200"/>
      <c r="L200" s="200"/>
      <c r="M200" s="200"/>
      <c r="N200" s="200"/>
      <c r="O200" s="200"/>
      <c r="P200" s="200"/>
      <c r="Q200" s="200"/>
      <c r="R200" s="200"/>
      <c r="S200" s="200"/>
      <c r="T200" s="253"/>
      <c r="U200" s="253"/>
      <c r="V200" s="253"/>
      <c r="W200" s="253"/>
      <c r="X200" s="254"/>
      <c r="Y200" s="223"/>
      <c r="Z200" s="260">
        <f>SUM(Z198:Z199)</f>
        <v>52.540000000000006</v>
      </c>
      <c r="AA200" s="200"/>
    </row>
    <row r="201" spans="1:27">
      <c r="A201" s="200"/>
      <c r="B201" s="200"/>
      <c r="C201" s="200"/>
      <c r="D201" s="200"/>
      <c r="E201" s="200"/>
      <c r="F201" s="200"/>
      <c r="G201" s="200"/>
      <c r="H201" s="200"/>
      <c r="I201" s="200"/>
      <c r="J201" s="200"/>
      <c r="K201" s="200"/>
      <c r="L201" s="200"/>
      <c r="M201" s="200"/>
      <c r="N201" s="200"/>
      <c r="O201" s="200"/>
      <c r="P201" s="200"/>
      <c r="Q201" s="200"/>
      <c r="R201" s="251" t="s">
        <v>653</v>
      </c>
      <c r="S201" s="200"/>
      <c r="T201" s="253"/>
      <c r="U201" s="253"/>
      <c r="V201" s="253"/>
      <c r="W201" s="253"/>
      <c r="X201" s="254"/>
      <c r="Y201" s="223"/>
      <c r="Z201" s="200"/>
      <c r="AA201" s="200"/>
    </row>
    <row r="202" spans="1:27">
      <c r="A202" s="200"/>
      <c r="B202" s="200"/>
      <c r="C202" s="200"/>
      <c r="D202" s="200"/>
      <c r="E202" s="200"/>
      <c r="F202" s="200"/>
      <c r="G202" s="200"/>
      <c r="H202" s="200"/>
      <c r="I202" s="200"/>
      <c r="J202" s="200"/>
      <c r="K202" s="200"/>
      <c r="L202" s="200"/>
      <c r="M202" s="200"/>
      <c r="N202" s="200"/>
      <c r="O202" s="200"/>
      <c r="P202" s="200"/>
      <c r="Q202" s="200"/>
      <c r="R202" s="200" t="s">
        <v>677</v>
      </c>
      <c r="S202" s="200"/>
      <c r="T202" s="253"/>
      <c r="U202" s="253"/>
      <c r="V202" s="253" t="s">
        <v>296</v>
      </c>
      <c r="W202" s="253"/>
      <c r="X202" s="254">
        <v>0.26</v>
      </c>
      <c r="Y202" s="223">
        <v>2.64</v>
      </c>
      <c r="Z202" s="223">
        <f t="shared" ref="Z202:Z204" si="29">X202*Y202</f>
        <v>0.68640000000000001</v>
      </c>
      <c r="AA202" s="200"/>
    </row>
    <row r="203" spans="1:27">
      <c r="A203" s="200"/>
      <c r="B203" s="200"/>
      <c r="C203" s="200"/>
      <c r="D203" s="200"/>
      <c r="E203" s="200"/>
      <c r="F203" s="200"/>
      <c r="G203" s="200"/>
      <c r="H203" s="200"/>
      <c r="I203" s="200"/>
      <c r="J203" s="200"/>
      <c r="K203" s="200"/>
      <c r="L203" s="200"/>
      <c r="M203" s="200"/>
      <c r="N203" s="200"/>
      <c r="O203" s="200"/>
      <c r="P203" s="200"/>
      <c r="Q203" s="200"/>
      <c r="R203" s="200" t="s">
        <v>301</v>
      </c>
      <c r="S203" s="200"/>
      <c r="T203" s="253"/>
      <c r="U203" s="253"/>
      <c r="V203" s="253" t="s">
        <v>296</v>
      </c>
      <c r="W203" s="253"/>
      <c r="X203" s="254">
        <v>0.16</v>
      </c>
      <c r="Y203" s="223">
        <v>5.51</v>
      </c>
      <c r="Z203" s="223">
        <f t="shared" si="29"/>
        <v>0.88159999999999994</v>
      </c>
      <c r="AA203" s="200"/>
    </row>
    <row r="204" spans="1:27">
      <c r="A204" s="200"/>
      <c r="B204" s="200"/>
      <c r="C204" s="200"/>
      <c r="D204" s="200"/>
      <c r="E204" s="200"/>
      <c r="F204" s="200"/>
      <c r="G204" s="200"/>
      <c r="H204" s="200"/>
      <c r="I204" s="200"/>
      <c r="J204" s="200"/>
      <c r="K204" s="200"/>
      <c r="L204" s="200"/>
      <c r="M204" s="200"/>
      <c r="N204" s="200"/>
      <c r="O204" s="200"/>
      <c r="P204" s="200"/>
      <c r="Q204" s="200"/>
      <c r="R204" s="200" t="s">
        <v>669</v>
      </c>
      <c r="S204" s="200"/>
      <c r="T204" s="253"/>
      <c r="U204" s="253"/>
      <c r="V204" s="253" t="s">
        <v>305</v>
      </c>
      <c r="W204" s="253"/>
      <c r="X204" s="254">
        <v>3.35</v>
      </c>
      <c r="Y204" s="223">
        <v>5.8</v>
      </c>
      <c r="Z204" s="223">
        <f t="shared" si="29"/>
        <v>19.43</v>
      </c>
      <c r="AA204" s="200"/>
    </row>
    <row r="205" spans="1:27">
      <c r="A205" s="200"/>
      <c r="B205" s="200"/>
      <c r="C205" s="200"/>
      <c r="D205" s="200"/>
      <c r="E205" s="200"/>
      <c r="F205" s="200"/>
      <c r="G205" s="200"/>
      <c r="H205" s="200"/>
      <c r="I205" s="200"/>
      <c r="J205" s="200"/>
      <c r="K205" s="200"/>
      <c r="L205" s="200"/>
      <c r="M205" s="200"/>
      <c r="N205" s="200"/>
      <c r="O205" s="200"/>
      <c r="P205" s="200"/>
      <c r="Q205" s="200"/>
      <c r="R205" s="200"/>
      <c r="S205" s="200"/>
      <c r="T205" s="253"/>
      <c r="U205" s="253"/>
      <c r="V205" s="253"/>
      <c r="W205" s="253"/>
      <c r="X205" s="254"/>
      <c r="Y205" s="223"/>
      <c r="Z205" s="260">
        <f>SUM(Z202:Z204)</f>
        <v>20.998000000000001</v>
      </c>
      <c r="AA205" s="200"/>
    </row>
    <row r="206" spans="1:27">
      <c r="A206" s="200"/>
      <c r="B206" s="200"/>
      <c r="C206" s="200"/>
      <c r="D206" s="200"/>
      <c r="E206" s="200"/>
      <c r="F206" s="200"/>
      <c r="G206" s="200"/>
      <c r="H206" s="200"/>
      <c r="I206" s="200"/>
      <c r="J206" s="200"/>
      <c r="K206" s="200"/>
      <c r="L206" s="200"/>
      <c r="M206" s="200"/>
      <c r="N206" s="200"/>
      <c r="O206" s="200"/>
      <c r="P206" s="200"/>
      <c r="Q206" s="200"/>
      <c r="R206" s="251" t="s">
        <v>309</v>
      </c>
      <c r="S206" s="200"/>
      <c r="T206" s="253"/>
      <c r="U206" s="253"/>
      <c r="V206" s="253"/>
      <c r="W206" s="253"/>
      <c r="X206" s="254"/>
      <c r="Y206" s="200"/>
      <c r="Z206" s="200"/>
      <c r="AA206" s="200"/>
    </row>
    <row r="207" spans="1:27">
      <c r="A207" s="200"/>
      <c r="B207" s="200"/>
      <c r="C207" s="200"/>
      <c r="D207" s="200"/>
      <c r="E207" s="200"/>
      <c r="F207" s="200"/>
      <c r="G207" s="200"/>
      <c r="H207" s="200"/>
      <c r="I207" s="200"/>
      <c r="J207" s="200"/>
      <c r="K207" s="200"/>
      <c r="L207" s="200"/>
      <c r="M207" s="200"/>
      <c r="N207" s="200"/>
      <c r="O207" s="200"/>
      <c r="P207" s="200"/>
      <c r="Q207" s="200"/>
      <c r="R207" s="200" t="s">
        <v>310</v>
      </c>
      <c r="S207" s="200"/>
      <c r="T207" s="200"/>
      <c r="U207" s="200"/>
      <c r="V207" s="200" t="s">
        <v>311</v>
      </c>
      <c r="W207" s="200"/>
      <c r="X207" s="254">
        <v>3</v>
      </c>
      <c r="Y207" s="200">
        <f>Z200</f>
        <v>52.540000000000006</v>
      </c>
      <c r="Z207" s="223">
        <f>X207%*Y207</f>
        <v>1.5762</v>
      </c>
      <c r="AA207" s="200"/>
    </row>
    <row r="208" spans="1:27">
      <c r="A208" s="200"/>
      <c r="B208" s="200"/>
      <c r="C208" s="200"/>
      <c r="D208" s="200"/>
      <c r="E208" s="200"/>
      <c r="F208" s="200"/>
      <c r="G208" s="200"/>
      <c r="H208" s="200"/>
      <c r="I208" s="200"/>
      <c r="J208" s="200"/>
      <c r="K208" s="200"/>
      <c r="L208" s="200"/>
      <c r="M208" s="200"/>
      <c r="N208" s="200"/>
      <c r="O208" s="200"/>
      <c r="P208" s="200"/>
      <c r="Q208" s="244" t="s">
        <v>671</v>
      </c>
      <c r="R208" s="244" t="s">
        <v>671</v>
      </c>
      <c r="S208" s="244" t="s">
        <v>671</v>
      </c>
      <c r="T208" s="244" t="s">
        <v>671</v>
      </c>
      <c r="U208" s="244" t="s">
        <v>671</v>
      </c>
      <c r="V208" s="244" t="s">
        <v>671</v>
      </c>
      <c r="W208" s="244" t="s">
        <v>671</v>
      </c>
      <c r="X208" s="263" t="s">
        <v>671</v>
      </c>
      <c r="Y208" s="244" t="s">
        <v>671</v>
      </c>
      <c r="Z208" s="261">
        <f>SUM(Z207)</f>
        <v>1.5762</v>
      </c>
      <c r="AA208" s="200"/>
    </row>
    <row r="209" spans="1:27">
      <c r="A209" s="200"/>
      <c r="B209" s="200"/>
      <c r="C209" s="200"/>
      <c r="D209" s="200"/>
      <c r="E209" s="200"/>
      <c r="F209" s="200"/>
      <c r="G209" s="200"/>
      <c r="H209" s="200"/>
      <c r="I209" s="200"/>
      <c r="J209" s="200"/>
      <c r="K209" s="200"/>
      <c r="L209" s="200"/>
      <c r="M209" s="200"/>
      <c r="N209" s="200"/>
      <c r="O209" s="200"/>
      <c r="P209" s="200"/>
      <c r="Q209" s="200"/>
      <c r="R209" s="200"/>
      <c r="S209" s="200"/>
      <c r="T209" s="200"/>
      <c r="U209" s="200"/>
      <c r="V209" s="200"/>
      <c r="W209" s="200"/>
      <c r="X209" s="200"/>
      <c r="Y209" s="200"/>
      <c r="Z209" s="200"/>
      <c r="AA209" s="200"/>
    </row>
    <row r="210" spans="1:27">
      <c r="A210" s="200"/>
      <c r="B210" s="200"/>
      <c r="C210" s="200"/>
      <c r="D210" s="200"/>
      <c r="E210" s="200"/>
      <c r="F210" s="200"/>
      <c r="G210" s="200"/>
      <c r="H210" s="200"/>
      <c r="I210" s="200"/>
      <c r="J210" s="200"/>
      <c r="K210" s="200"/>
      <c r="L210" s="200"/>
      <c r="M210" s="200"/>
      <c r="N210" s="200"/>
      <c r="O210" s="200"/>
      <c r="P210" s="200"/>
      <c r="Q210" s="200"/>
      <c r="R210" s="200"/>
      <c r="S210" s="200"/>
      <c r="T210" s="200"/>
      <c r="U210" s="200"/>
      <c r="V210" s="200"/>
      <c r="W210" s="200"/>
      <c r="X210" s="200"/>
      <c r="Y210" s="200"/>
      <c r="Z210" s="200"/>
      <c r="AA210" s="200"/>
    </row>
    <row r="211" spans="1:27">
      <c r="A211" s="200"/>
      <c r="B211" s="200"/>
      <c r="C211" s="200"/>
      <c r="D211" s="200"/>
      <c r="E211" s="200"/>
      <c r="F211" s="200"/>
      <c r="G211" s="200"/>
      <c r="H211" s="200"/>
      <c r="I211" s="200"/>
      <c r="J211" s="200"/>
      <c r="K211" s="200"/>
      <c r="L211" s="200"/>
      <c r="M211" s="200"/>
      <c r="N211" s="200"/>
      <c r="O211" s="200"/>
      <c r="P211" s="200"/>
      <c r="Q211" s="250" t="s">
        <v>277</v>
      </c>
      <c r="R211" s="250"/>
      <c r="S211" s="250" t="s">
        <v>506</v>
      </c>
      <c r="T211" s="250"/>
      <c r="U211" s="250"/>
      <c r="V211" s="250"/>
      <c r="W211" s="250"/>
      <c r="X211" s="200"/>
      <c r="Y211" s="200"/>
      <c r="Z211" s="200"/>
      <c r="AA211" s="200"/>
    </row>
    <row r="212" spans="1:27">
      <c r="A212" s="200"/>
      <c r="B212" s="200"/>
      <c r="C212" s="200"/>
      <c r="D212" s="200"/>
      <c r="E212" s="200"/>
      <c r="F212" s="200"/>
      <c r="G212" s="200"/>
      <c r="H212" s="200"/>
      <c r="I212" s="200"/>
      <c r="J212" s="200"/>
      <c r="K212" s="200"/>
      <c r="L212" s="200"/>
      <c r="M212" s="200"/>
      <c r="N212" s="200"/>
      <c r="O212" s="200"/>
      <c r="P212" s="200"/>
      <c r="Q212" s="250" t="s">
        <v>278</v>
      </c>
      <c r="R212" s="250" t="s">
        <v>678</v>
      </c>
      <c r="S212" s="250" t="s">
        <v>280</v>
      </c>
      <c r="T212" s="262">
        <v>250</v>
      </c>
      <c r="U212" s="262" t="s">
        <v>281</v>
      </c>
      <c r="V212" s="262">
        <f>T212</f>
        <v>250</v>
      </c>
      <c r="W212" s="262" t="s">
        <v>282</v>
      </c>
      <c r="X212" s="250"/>
      <c r="Y212" s="250" t="s">
        <v>296</v>
      </c>
      <c r="Z212" s="260">
        <f>Z217+Z221+Z225</f>
        <v>5.5639628445000007</v>
      </c>
      <c r="AA212" s="200"/>
    </row>
    <row r="213" spans="1:27">
      <c r="A213" s="200"/>
      <c r="B213" s="200"/>
      <c r="C213" s="200"/>
      <c r="D213" s="200"/>
      <c r="E213" s="200"/>
      <c r="F213" s="200"/>
      <c r="G213" s="200"/>
      <c r="H213" s="200"/>
      <c r="I213" s="200"/>
      <c r="J213" s="200"/>
      <c r="K213" s="200"/>
      <c r="L213" s="200"/>
      <c r="M213" s="200"/>
      <c r="N213" s="200"/>
      <c r="O213" s="200"/>
      <c r="P213" s="200"/>
      <c r="Q213" s="250" t="s">
        <v>283</v>
      </c>
      <c r="R213" s="250" t="s">
        <v>284</v>
      </c>
      <c r="S213" s="250"/>
      <c r="T213" s="253"/>
      <c r="U213" s="253"/>
      <c r="V213" s="262" t="s">
        <v>122</v>
      </c>
      <c r="W213" s="262" t="s">
        <v>285</v>
      </c>
      <c r="X213" s="250" t="s">
        <v>286</v>
      </c>
      <c r="Y213" s="250" t="s">
        <v>287</v>
      </c>
      <c r="Z213" s="250" t="s">
        <v>288</v>
      </c>
      <c r="AA213" s="200"/>
    </row>
    <row r="214" spans="1:27">
      <c r="A214" s="200"/>
      <c r="B214" s="200"/>
      <c r="C214" s="200"/>
      <c r="D214" s="200"/>
      <c r="E214" s="200"/>
      <c r="F214" s="200"/>
      <c r="G214" s="200"/>
      <c r="H214" s="200"/>
      <c r="I214" s="200"/>
      <c r="J214" s="200"/>
      <c r="K214" s="200"/>
      <c r="L214" s="200"/>
      <c r="M214" s="200"/>
      <c r="N214" s="200"/>
      <c r="O214" s="200"/>
      <c r="P214" s="200"/>
      <c r="Q214" s="200"/>
      <c r="R214" s="251" t="s">
        <v>289</v>
      </c>
      <c r="S214" s="200"/>
      <c r="T214" s="253"/>
      <c r="U214" s="253"/>
      <c r="V214" s="253"/>
      <c r="W214" s="253"/>
      <c r="X214" s="200"/>
      <c r="Y214" s="200"/>
      <c r="Z214" s="200"/>
      <c r="AA214" s="200"/>
    </row>
    <row r="215" spans="1:27">
      <c r="A215" s="200"/>
      <c r="B215" s="200"/>
      <c r="C215" s="200"/>
      <c r="D215" s="200"/>
      <c r="E215" s="200"/>
      <c r="F215" s="200"/>
      <c r="G215" s="200"/>
      <c r="H215" s="200"/>
      <c r="I215" s="200"/>
      <c r="J215" s="200"/>
      <c r="K215" s="200"/>
      <c r="L215" s="200"/>
      <c r="M215" s="200"/>
      <c r="N215" s="200"/>
      <c r="O215" s="200"/>
      <c r="P215" s="200"/>
      <c r="Q215" s="200"/>
      <c r="R215" s="200" t="s">
        <v>290</v>
      </c>
      <c r="S215" s="200"/>
      <c r="T215" s="253"/>
      <c r="U215" s="253"/>
      <c r="V215" s="253" t="s">
        <v>291</v>
      </c>
      <c r="W215" s="253">
        <v>1</v>
      </c>
      <c r="X215" s="254">
        <f>W215*8/$T$212</f>
        <v>3.2000000000000001E-2</v>
      </c>
      <c r="Y215" s="223">
        <v>28.94</v>
      </c>
      <c r="Z215" s="223">
        <f>X215*Y215</f>
        <v>0.92608000000000001</v>
      </c>
      <c r="AA215" s="200"/>
    </row>
    <row r="216" spans="1:27">
      <c r="A216" s="200"/>
      <c r="B216" s="200"/>
      <c r="C216" s="200"/>
      <c r="D216" s="200"/>
      <c r="E216" s="200"/>
      <c r="F216" s="200"/>
      <c r="G216" s="200"/>
      <c r="H216" s="200"/>
      <c r="I216" s="200"/>
      <c r="J216" s="200"/>
      <c r="K216" s="200"/>
      <c r="L216" s="200"/>
      <c r="M216" s="200"/>
      <c r="N216" s="200"/>
      <c r="O216" s="200"/>
      <c r="P216" s="200"/>
      <c r="Q216" s="200"/>
      <c r="R216" s="200" t="s">
        <v>679</v>
      </c>
      <c r="S216" s="200"/>
      <c r="T216" s="253"/>
      <c r="U216" s="253"/>
      <c r="V216" s="253" t="s">
        <v>291</v>
      </c>
      <c r="W216" s="253">
        <v>1</v>
      </c>
      <c r="X216" s="254">
        <f>W216*8/$T$212</f>
        <v>3.2000000000000001E-2</v>
      </c>
      <c r="Y216" s="223">
        <v>23.6</v>
      </c>
      <c r="Z216" s="223">
        <f>X216*Y216</f>
        <v>0.75520000000000009</v>
      </c>
      <c r="AA216" s="200"/>
    </row>
    <row r="217" spans="1:27">
      <c r="A217" s="200"/>
      <c r="B217" s="200"/>
      <c r="C217" s="200"/>
      <c r="D217" s="200"/>
      <c r="E217" s="200"/>
      <c r="F217" s="200"/>
      <c r="G217" s="200"/>
      <c r="H217" s="200"/>
      <c r="I217" s="200"/>
      <c r="J217" s="200"/>
      <c r="K217" s="200"/>
      <c r="L217" s="200"/>
      <c r="M217" s="200"/>
      <c r="N217" s="200"/>
      <c r="O217" s="200"/>
      <c r="P217" s="200"/>
      <c r="Q217" s="200"/>
      <c r="R217" s="200"/>
      <c r="S217" s="200"/>
      <c r="T217" s="253"/>
      <c r="U217" s="253"/>
      <c r="V217" s="253"/>
      <c r="W217" s="253"/>
      <c r="X217" s="254"/>
      <c r="Y217" s="223"/>
      <c r="Z217" s="260">
        <f>SUM(Z215:Z216)</f>
        <v>1.6812800000000001</v>
      </c>
      <c r="AA217" s="200"/>
    </row>
    <row r="218" spans="1:27">
      <c r="A218" s="200"/>
      <c r="B218" s="200"/>
      <c r="C218" s="200"/>
      <c r="D218" s="200"/>
      <c r="E218" s="200"/>
      <c r="F218" s="200"/>
      <c r="G218" s="200"/>
      <c r="H218" s="200"/>
      <c r="I218" s="200"/>
      <c r="J218" s="200"/>
      <c r="K218" s="200"/>
      <c r="L218" s="200"/>
      <c r="M218" s="200"/>
      <c r="N218" s="200"/>
      <c r="O218" s="200"/>
      <c r="P218" s="200"/>
      <c r="Q218" s="200"/>
      <c r="R218" s="251" t="s">
        <v>294</v>
      </c>
      <c r="S218" s="200"/>
      <c r="T218" s="253"/>
      <c r="U218" s="253"/>
      <c r="V218" s="253"/>
      <c r="W218" s="253"/>
      <c r="X218" s="254"/>
      <c r="Y218" s="223"/>
      <c r="Z218" s="200"/>
      <c r="AA218" s="200"/>
    </row>
    <row r="219" spans="1:27">
      <c r="A219" s="200"/>
      <c r="B219" s="200"/>
      <c r="C219" s="200"/>
      <c r="D219" s="200"/>
      <c r="E219" s="200"/>
      <c r="F219" s="200"/>
      <c r="G219" s="200"/>
      <c r="H219" s="200"/>
      <c r="I219" s="200"/>
      <c r="J219" s="200"/>
      <c r="K219" s="200"/>
      <c r="L219" s="200"/>
      <c r="M219" s="200"/>
      <c r="N219" s="200"/>
      <c r="O219" s="200"/>
      <c r="P219" s="200"/>
      <c r="Q219" s="200"/>
      <c r="R219" s="200" t="s">
        <v>295</v>
      </c>
      <c r="S219" s="200"/>
      <c r="T219" s="253"/>
      <c r="U219" s="253"/>
      <c r="V219" s="253" t="s">
        <v>296</v>
      </c>
      <c r="W219" s="253"/>
      <c r="X219" s="254">
        <v>0.03</v>
      </c>
      <c r="Y219" s="223">
        <v>2.64</v>
      </c>
      <c r="Z219" s="223">
        <f>X219*Y219</f>
        <v>7.9200000000000007E-2</v>
      </c>
      <c r="AA219" s="200"/>
    </row>
    <row r="220" spans="1:27">
      <c r="A220" s="200"/>
      <c r="B220" s="200"/>
      <c r="C220" s="200"/>
      <c r="D220" s="200"/>
      <c r="E220" s="200"/>
      <c r="F220" s="200"/>
      <c r="G220" s="200"/>
      <c r="H220" s="200"/>
      <c r="I220" s="200"/>
      <c r="J220" s="200"/>
      <c r="K220" s="200"/>
      <c r="L220" s="200"/>
      <c r="M220" s="200"/>
      <c r="N220" s="200"/>
      <c r="O220" s="200"/>
      <c r="P220" s="200"/>
      <c r="Q220" s="200"/>
      <c r="R220" s="200" t="s">
        <v>680</v>
      </c>
      <c r="S220" s="200"/>
      <c r="T220" s="253"/>
      <c r="U220" s="253"/>
      <c r="V220" s="253" t="s">
        <v>296</v>
      </c>
      <c r="W220" s="253"/>
      <c r="X220" s="254">
        <v>1.05</v>
      </c>
      <c r="Y220" s="223">
        <f>1012.71*3.379/1000</f>
        <v>3.4219470900000002</v>
      </c>
      <c r="Z220" s="223">
        <f>X220*Y220</f>
        <v>3.5930444445000003</v>
      </c>
      <c r="AA220" s="200"/>
    </row>
    <row r="221" spans="1:27">
      <c r="A221" s="200"/>
      <c r="B221" s="200"/>
      <c r="C221" s="200"/>
      <c r="D221" s="200"/>
      <c r="E221" s="200"/>
      <c r="F221" s="200"/>
      <c r="G221" s="200"/>
      <c r="H221" s="200"/>
      <c r="I221" s="200"/>
      <c r="J221" s="200"/>
      <c r="K221" s="200"/>
      <c r="L221" s="200"/>
      <c r="M221" s="200"/>
      <c r="N221" s="200"/>
      <c r="O221" s="200"/>
      <c r="P221" s="200"/>
      <c r="Q221" s="200"/>
      <c r="R221" s="200"/>
      <c r="S221" s="200"/>
      <c r="T221" s="253"/>
      <c r="U221" s="253"/>
      <c r="V221" s="253"/>
      <c r="W221" s="253"/>
      <c r="X221" s="254"/>
      <c r="Y221" s="223"/>
      <c r="Z221" s="260">
        <f>SUM(Z219:Z220)</f>
        <v>3.6722444445000004</v>
      </c>
      <c r="AA221" s="200"/>
    </row>
    <row r="222" spans="1:27">
      <c r="A222" s="200"/>
      <c r="B222" s="200"/>
      <c r="C222" s="200"/>
      <c r="D222" s="200"/>
      <c r="E222" s="200"/>
      <c r="F222" s="200"/>
      <c r="G222" s="200"/>
      <c r="H222" s="200"/>
      <c r="I222" s="200"/>
      <c r="J222" s="200"/>
      <c r="K222" s="200"/>
      <c r="L222" s="200"/>
      <c r="M222" s="200"/>
      <c r="N222" s="200"/>
      <c r="O222" s="200"/>
      <c r="P222" s="200"/>
      <c r="Q222" s="200"/>
      <c r="R222" s="251" t="s">
        <v>317</v>
      </c>
      <c r="S222" s="200"/>
      <c r="T222" s="253"/>
      <c r="U222" s="253"/>
      <c r="V222" s="253"/>
      <c r="W222" s="253"/>
      <c r="X222" s="254"/>
      <c r="Y222" s="223"/>
      <c r="Z222" s="200"/>
      <c r="AA222" s="200"/>
    </row>
    <row r="223" spans="1:27">
      <c r="A223" s="200"/>
      <c r="B223" s="200"/>
      <c r="C223" s="200"/>
      <c r="D223" s="200"/>
      <c r="E223" s="200"/>
      <c r="F223" s="200"/>
      <c r="G223" s="200"/>
      <c r="H223" s="200"/>
      <c r="I223" s="200"/>
      <c r="J223" s="200"/>
      <c r="K223" s="200"/>
      <c r="L223" s="200"/>
      <c r="M223" s="200"/>
      <c r="N223" s="200"/>
      <c r="O223" s="200"/>
      <c r="P223" s="200"/>
      <c r="Q223" s="200"/>
      <c r="R223" s="200" t="s">
        <v>310</v>
      </c>
      <c r="S223" s="200"/>
      <c r="T223" s="253"/>
      <c r="U223" s="253"/>
      <c r="V223" s="253" t="s">
        <v>311</v>
      </c>
      <c r="W223" s="253"/>
      <c r="X223" s="254">
        <v>3</v>
      </c>
      <c r="Y223" s="223">
        <f>Z217</f>
        <v>1.6812800000000001</v>
      </c>
      <c r="Z223" s="223">
        <f>X223%*Y223</f>
        <v>5.0438400000000001E-2</v>
      </c>
      <c r="AA223" s="200"/>
    </row>
    <row r="224" spans="1:27">
      <c r="A224" s="200"/>
      <c r="B224" s="200"/>
      <c r="C224" s="200"/>
      <c r="D224" s="200"/>
      <c r="E224" s="200"/>
      <c r="F224" s="200"/>
      <c r="G224" s="200"/>
      <c r="H224" s="200"/>
      <c r="I224" s="200"/>
      <c r="J224" s="200"/>
      <c r="K224" s="200"/>
      <c r="L224" s="200"/>
      <c r="M224" s="200"/>
      <c r="N224" s="200"/>
      <c r="O224" s="200"/>
      <c r="P224" s="200"/>
      <c r="Q224" s="200"/>
      <c r="R224" s="200" t="s">
        <v>681</v>
      </c>
      <c r="S224" s="200"/>
      <c r="T224" s="253"/>
      <c r="U224" s="253"/>
      <c r="V224" s="253" t="s">
        <v>291</v>
      </c>
      <c r="W224" s="253">
        <v>1</v>
      </c>
      <c r="X224" s="254">
        <f>W224*8/$T$212</f>
        <v>3.2000000000000001E-2</v>
      </c>
      <c r="Y224" s="264">
        <v>5</v>
      </c>
      <c r="Z224" s="223">
        <f>X224*Y224</f>
        <v>0.16</v>
      </c>
      <c r="AA224" s="200"/>
    </row>
    <row r="225" spans="1:27">
      <c r="A225" s="200"/>
      <c r="B225" s="200"/>
      <c r="C225" s="200"/>
      <c r="D225" s="200"/>
      <c r="E225" s="200"/>
      <c r="F225" s="200"/>
      <c r="G225" s="200"/>
      <c r="H225" s="200"/>
      <c r="I225" s="200"/>
      <c r="J225" s="200"/>
      <c r="K225" s="200"/>
      <c r="L225" s="200"/>
      <c r="M225" s="200"/>
      <c r="N225" s="200"/>
      <c r="O225" s="200"/>
      <c r="P225" s="200"/>
      <c r="Q225" s="244" t="s">
        <v>671</v>
      </c>
      <c r="R225" s="244" t="s">
        <v>671</v>
      </c>
      <c r="S225" s="244" t="s">
        <v>671</v>
      </c>
      <c r="T225" s="244" t="s">
        <v>671</v>
      </c>
      <c r="U225" s="244" t="s">
        <v>671</v>
      </c>
      <c r="V225" s="244" t="s">
        <v>671</v>
      </c>
      <c r="W225" s="244" t="s">
        <v>671</v>
      </c>
      <c r="X225" s="244" t="s">
        <v>671</v>
      </c>
      <c r="Y225" s="244" t="s">
        <v>671</v>
      </c>
      <c r="Z225" s="261">
        <f>SUM(Z223:Z224)</f>
        <v>0.2104384</v>
      </c>
      <c r="AA225" s="200"/>
    </row>
    <row r="226" spans="1:27">
      <c r="A226" s="200"/>
      <c r="B226" s="200"/>
      <c r="C226" s="200"/>
      <c r="D226" s="200"/>
      <c r="E226" s="200"/>
      <c r="F226" s="200"/>
      <c r="G226" s="200"/>
      <c r="H226" s="200"/>
      <c r="I226" s="200"/>
      <c r="J226" s="200"/>
      <c r="K226" s="200"/>
      <c r="L226" s="200"/>
      <c r="M226" s="200"/>
      <c r="N226" s="200"/>
      <c r="O226" s="200"/>
      <c r="P226" s="200"/>
      <c r="Q226" s="200"/>
      <c r="R226" s="200"/>
      <c r="S226" s="200"/>
      <c r="T226" s="200"/>
      <c r="U226" s="200"/>
      <c r="V226" s="200"/>
      <c r="W226" s="200"/>
      <c r="X226" s="200"/>
      <c r="Y226" s="200"/>
      <c r="Z226" s="200"/>
      <c r="AA226" s="200"/>
    </row>
    <row r="227" spans="1:27">
      <c r="A227" s="200"/>
      <c r="B227" s="200"/>
      <c r="C227" s="200"/>
      <c r="D227" s="200"/>
      <c r="E227" s="200"/>
      <c r="F227" s="200"/>
      <c r="G227" s="200"/>
      <c r="H227" s="200"/>
      <c r="I227" s="200"/>
      <c r="J227" s="200"/>
      <c r="K227" s="200"/>
      <c r="L227" s="200"/>
      <c r="M227" s="200"/>
      <c r="N227" s="200"/>
      <c r="O227" s="200"/>
      <c r="P227" s="200"/>
      <c r="Q227" s="250" t="s">
        <v>277</v>
      </c>
      <c r="R227" s="250"/>
      <c r="S227" s="250" t="s">
        <v>510</v>
      </c>
      <c r="T227" s="250"/>
      <c r="U227" s="250"/>
      <c r="V227" s="250"/>
      <c r="W227" s="250"/>
      <c r="X227" s="200"/>
      <c r="Y227" s="200"/>
      <c r="Z227" s="200"/>
      <c r="AA227" s="200"/>
    </row>
    <row r="228" spans="1:27">
      <c r="A228" s="200"/>
      <c r="B228" s="200"/>
      <c r="C228" s="200"/>
      <c r="D228" s="200"/>
      <c r="E228" s="200"/>
      <c r="F228" s="200"/>
      <c r="G228" s="200"/>
      <c r="H228" s="200"/>
      <c r="I228" s="200"/>
      <c r="J228" s="200"/>
      <c r="K228" s="200"/>
      <c r="L228" s="200"/>
      <c r="M228" s="200"/>
      <c r="N228" s="200"/>
      <c r="O228" s="200"/>
      <c r="P228" s="200"/>
      <c r="Q228" s="250" t="s">
        <v>278</v>
      </c>
      <c r="R228" s="250" t="s">
        <v>416</v>
      </c>
      <c r="S228" s="250" t="s">
        <v>280</v>
      </c>
      <c r="T228" s="262">
        <v>20</v>
      </c>
      <c r="U228" s="262" t="s">
        <v>281</v>
      </c>
      <c r="V228" s="262">
        <f>T228</f>
        <v>20</v>
      </c>
      <c r="W228" s="262" t="s">
        <v>282</v>
      </c>
      <c r="X228" s="250"/>
      <c r="Y228" s="250" t="s">
        <v>203</v>
      </c>
      <c r="Z228" s="260">
        <f>Z234+Z242+Z247</f>
        <v>438.22651999999994</v>
      </c>
      <c r="AA228" s="200"/>
    </row>
    <row r="229" spans="1:27">
      <c r="A229" s="200"/>
      <c r="B229" s="200"/>
      <c r="C229" s="200"/>
      <c r="D229" s="200"/>
      <c r="E229" s="200"/>
      <c r="F229" s="200"/>
      <c r="G229" s="200"/>
      <c r="H229" s="200"/>
      <c r="I229" s="200"/>
      <c r="J229" s="200"/>
      <c r="K229" s="200"/>
      <c r="L229" s="200"/>
      <c r="M229" s="200"/>
      <c r="N229" s="200"/>
      <c r="O229" s="200"/>
      <c r="P229" s="200"/>
      <c r="Q229" s="250" t="s">
        <v>283</v>
      </c>
      <c r="R229" s="250" t="s">
        <v>284</v>
      </c>
      <c r="S229" s="250"/>
      <c r="T229" s="253"/>
      <c r="U229" s="253"/>
      <c r="V229" s="262" t="s">
        <v>122</v>
      </c>
      <c r="W229" s="262" t="s">
        <v>285</v>
      </c>
      <c r="X229" s="250" t="s">
        <v>286</v>
      </c>
      <c r="Y229" s="250" t="s">
        <v>287</v>
      </c>
      <c r="Z229" s="250" t="s">
        <v>288</v>
      </c>
      <c r="AA229" s="200"/>
    </row>
    <row r="230" spans="1:27">
      <c r="A230" s="200"/>
      <c r="B230" s="200"/>
      <c r="C230" s="200"/>
      <c r="D230" s="200"/>
      <c r="E230" s="200"/>
      <c r="F230" s="200"/>
      <c r="G230" s="200"/>
      <c r="H230" s="200"/>
      <c r="I230" s="200"/>
      <c r="J230" s="200"/>
      <c r="K230" s="200"/>
      <c r="L230" s="200"/>
      <c r="M230" s="200"/>
      <c r="N230" s="200"/>
      <c r="O230" s="200"/>
      <c r="P230" s="200"/>
      <c r="Q230" s="200"/>
      <c r="R230" s="251" t="s">
        <v>289</v>
      </c>
      <c r="S230" s="200"/>
      <c r="T230" s="253"/>
      <c r="U230" s="253"/>
      <c r="V230" s="253"/>
      <c r="W230" s="253"/>
      <c r="X230" s="200"/>
      <c r="Y230" s="200"/>
      <c r="Z230" s="200"/>
      <c r="AA230" s="200"/>
    </row>
    <row r="231" spans="1:27">
      <c r="A231" s="200"/>
      <c r="B231" s="200"/>
      <c r="C231" s="200"/>
      <c r="D231" s="200"/>
      <c r="E231" s="200"/>
      <c r="F231" s="200"/>
      <c r="G231" s="200"/>
      <c r="H231" s="200"/>
      <c r="I231" s="200"/>
      <c r="J231" s="200"/>
      <c r="K231" s="200"/>
      <c r="L231" s="200"/>
      <c r="M231" s="200"/>
      <c r="N231" s="200"/>
      <c r="O231" s="200"/>
      <c r="P231" s="200"/>
      <c r="Q231" s="200"/>
      <c r="R231" s="200" t="s">
        <v>290</v>
      </c>
      <c r="S231" s="200"/>
      <c r="T231" s="253"/>
      <c r="U231" s="253"/>
      <c r="V231" s="253" t="s">
        <v>291</v>
      </c>
      <c r="W231" s="253">
        <v>2</v>
      </c>
      <c r="X231" s="254">
        <f>W231*8/$T$228</f>
        <v>0.8</v>
      </c>
      <c r="Y231" s="223">
        <v>28.94</v>
      </c>
      <c r="Z231" s="223">
        <f>X231*Y231</f>
        <v>23.152000000000001</v>
      </c>
      <c r="AA231" s="200"/>
    </row>
    <row r="232" spans="1:27">
      <c r="A232" s="200"/>
      <c r="B232" s="200"/>
      <c r="C232" s="200"/>
      <c r="D232" s="200"/>
      <c r="E232" s="200"/>
      <c r="F232" s="200"/>
      <c r="G232" s="200"/>
      <c r="H232" s="200"/>
      <c r="I232" s="200"/>
      <c r="J232" s="200"/>
      <c r="K232" s="200"/>
      <c r="L232" s="200"/>
      <c r="M232" s="200"/>
      <c r="N232" s="200"/>
      <c r="O232" s="200"/>
      <c r="P232" s="200"/>
      <c r="Q232" s="200"/>
      <c r="R232" s="200" t="s">
        <v>292</v>
      </c>
      <c r="S232" s="200"/>
      <c r="T232" s="253"/>
      <c r="U232" s="253"/>
      <c r="V232" s="253" t="s">
        <v>291</v>
      </c>
      <c r="W232" s="253">
        <v>1</v>
      </c>
      <c r="X232" s="254">
        <f>W232*8/$T$228</f>
        <v>0.4</v>
      </c>
      <c r="Y232" s="223">
        <v>23.6</v>
      </c>
      <c r="Z232" s="223">
        <f t="shared" ref="Z232:Z233" si="30">X232*Y232</f>
        <v>9.4400000000000013</v>
      </c>
      <c r="AA232" s="200"/>
    </row>
    <row r="233" spans="1:27">
      <c r="A233" s="200"/>
      <c r="B233" s="200"/>
      <c r="C233" s="200"/>
      <c r="D233" s="200"/>
      <c r="E233" s="200"/>
      <c r="F233" s="200"/>
      <c r="G233" s="200"/>
      <c r="H233" s="200"/>
      <c r="I233" s="200"/>
      <c r="J233" s="200"/>
      <c r="K233" s="200"/>
      <c r="L233" s="200"/>
      <c r="M233" s="200"/>
      <c r="N233" s="200"/>
      <c r="O233" s="200"/>
      <c r="P233" s="200"/>
      <c r="Q233" s="200"/>
      <c r="R233" s="200" t="s">
        <v>293</v>
      </c>
      <c r="S233" s="200"/>
      <c r="T233" s="253"/>
      <c r="U233" s="253"/>
      <c r="V233" s="253" t="s">
        <v>291</v>
      </c>
      <c r="W233" s="253">
        <v>6</v>
      </c>
      <c r="X233" s="254">
        <f>W233*8/$T$228</f>
        <v>2.4</v>
      </c>
      <c r="Y233" s="223">
        <v>21.36</v>
      </c>
      <c r="Z233" s="223">
        <f t="shared" si="30"/>
        <v>51.263999999999996</v>
      </c>
      <c r="AA233" s="200"/>
    </row>
    <row r="234" spans="1:27">
      <c r="A234" s="200"/>
      <c r="B234" s="200"/>
      <c r="C234" s="200"/>
      <c r="D234" s="200"/>
      <c r="E234" s="200"/>
      <c r="F234" s="200"/>
      <c r="G234" s="200"/>
      <c r="H234" s="200"/>
      <c r="I234" s="200"/>
      <c r="J234" s="200"/>
      <c r="K234" s="200"/>
      <c r="L234" s="200"/>
      <c r="M234" s="200"/>
      <c r="N234" s="200"/>
      <c r="O234" s="200"/>
      <c r="P234" s="200"/>
      <c r="Q234" s="200"/>
      <c r="R234" s="200"/>
      <c r="S234" s="200"/>
      <c r="T234" s="253"/>
      <c r="U234" s="253"/>
      <c r="V234" s="253"/>
      <c r="W234" s="253"/>
      <c r="X234" s="254"/>
      <c r="Y234" s="223"/>
      <c r="Z234" s="260">
        <f>SUM(Z231:Z233)</f>
        <v>83.855999999999995</v>
      </c>
      <c r="AA234" s="200"/>
    </row>
    <row r="235" spans="1:27">
      <c r="A235" s="200"/>
      <c r="B235" s="200"/>
      <c r="C235" s="200"/>
      <c r="D235" s="200"/>
      <c r="E235" s="200"/>
      <c r="F235" s="200"/>
      <c r="G235" s="200"/>
      <c r="H235" s="200"/>
      <c r="I235" s="200"/>
      <c r="J235" s="200"/>
      <c r="K235" s="200"/>
      <c r="L235" s="200"/>
      <c r="M235" s="200"/>
      <c r="N235" s="200"/>
      <c r="O235" s="200"/>
      <c r="P235" s="200"/>
      <c r="Q235" s="200"/>
      <c r="R235" s="251" t="s">
        <v>653</v>
      </c>
      <c r="S235" s="200"/>
      <c r="T235" s="253"/>
      <c r="U235" s="253"/>
      <c r="V235" s="253"/>
      <c r="W235" s="253"/>
      <c r="X235" s="254"/>
      <c r="Y235" s="223"/>
      <c r="Z235" s="200"/>
      <c r="AA235" s="200"/>
    </row>
    <row r="236" spans="1:27">
      <c r="A236" s="200"/>
      <c r="B236" s="200"/>
      <c r="C236" s="200"/>
      <c r="D236" s="200"/>
      <c r="E236" s="200"/>
      <c r="F236" s="200"/>
      <c r="G236" s="200"/>
      <c r="H236" s="200"/>
      <c r="I236" s="200"/>
      <c r="J236" s="200"/>
      <c r="K236" s="200"/>
      <c r="L236" s="200"/>
      <c r="M236" s="200"/>
      <c r="N236" s="200"/>
      <c r="O236" s="200"/>
      <c r="P236" s="200"/>
      <c r="Q236" s="200"/>
      <c r="R236" s="200" t="s">
        <v>672</v>
      </c>
      <c r="S236" s="200"/>
      <c r="T236" s="253"/>
      <c r="U236" s="253"/>
      <c r="V236" s="253" t="s">
        <v>203</v>
      </c>
      <c r="W236" s="253"/>
      <c r="X236" s="254">
        <v>0.53</v>
      </c>
      <c r="Y236" s="223">
        <v>55.08</v>
      </c>
      <c r="Z236" s="223">
        <f t="shared" ref="Z236:Z241" si="31">X236*Y236</f>
        <v>29.192399999999999</v>
      </c>
      <c r="AA236" s="200"/>
    </row>
    <row r="237" spans="1:27">
      <c r="A237" s="200"/>
      <c r="B237" s="200"/>
      <c r="C237" s="200"/>
      <c r="D237" s="200"/>
      <c r="E237" s="200"/>
      <c r="F237" s="200"/>
      <c r="G237" s="200"/>
      <c r="H237" s="200"/>
      <c r="I237" s="200"/>
      <c r="J237" s="200"/>
      <c r="K237" s="200"/>
      <c r="L237" s="200"/>
      <c r="M237" s="200"/>
      <c r="N237" s="200"/>
      <c r="O237" s="200"/>
      <c r="P237" s="200"/>
      <c r="Q237" s="200"/>
      <c r="R237" s="200" t="s">
        <v>673</v>
      </c>
      <c r="S237" s="200"/>
      <c r="T237" s="253"/>
      <c r="U237" s="253"/>
      <c r="V237" s="253" t="s">
        <v>203</v>
      </c>
      <c r="W237" s="253"/>
      <c r="X237" s="254">
        <v>0.52</v>
      </c>
      <c r="Y237" s="223">
        <v>47</v>
      </c>
      <c r="Z237" s="223">
        <f t="shared" si="31"/>
        <v>24.44</v>
      </c>
      <c r="AA237" s="200"/>
    </row>
    <row r="238" spans="1:27">
      <c r="A238" s="200"/>
      <c r="B238" s="200"/>
      <c r="C238" s="200"/>
      <c r="D238" s="200"/>
      <c r="E238" s="200"/>
      <c r="F238" s="200"/>
      <c r="G238" s="200"/>
      <c r="H238" s="200"/>
      <c r="I238" s="200"/>
      <c r="J238" s="200"/>
      <c r="K238" s="200"/>
      <c r="L238" s="200"/>
      <c r="M238" s="200"/>
      <c r="N238" s="200"/>
      <c r="O238" s="200"/>
      <c r="P238" s="200"/>
      <c r="Q238" s="200"/>
      <c r="R238" s="200" t="s">
        <v>306</v>
      </c>
      <c r="S238" s="200"/>
      <c r="T238" s="253"/>
      <c r="U238" s="253"/>
      <c r="V238" s="253" t="s">
        <v>307</v>
      </c>
      <c r="W238" s="253"/>
      <c r="X238" s="254">
        <v>9.73</v>
      </c>
      <c r="Y238" s="223">
        <v>24.52</v>
      </c>
      <c r="Z238" s="223">
        <f t="shared" si="31"/>
        <v>238.5796</v>
      </c>
      <c r="AA238" s="200"/>
    </row>
    <row r="239" spans="1:27">
      <c r="A239" s="200"/>
      <c r="B239" s="200"/>
      <c r="C239" s="200"/>
      <c r="D239" s="200"/>
      <c r="E239" s="200"/>
      <c r="F239" s="200"/>
      <c r="G239" s="200"/>
      <c r="H239" s="200"/>
      <c r="I239" s="200"/>
      <c r="J239" s="200"/>
      <c r="K239" s="200"/>
      <c r="L239" s="200"/>
      <c r="M239" s="200"/>
      <c r="N239" s="200"/>
      <c r="O239" s="200"/>
      <c r="P239" s="200"/>
      <c r="Q239" s="200"/>
      <c r="R239" s="200" t="s">
        <v>655</v>
      </c>
      <c r="S239" s="200"/>
      <c r="T239" s="253"/>
      <c r="U239" s="253"/>
      <c r="V239" s="253" t="s">
        <v>203</v>
      </c>
      <c r="W239" s="253"/>
      <c r="X239" s="254">
        <v>0.186</v>
      </c>
      <c r="Y239" s="223">
        <v>6.14</v>
      </c>
      <c r="Z239" s="223">
        <f t="shared" si="31"/>
        <v>1.1420399999999999</v>
      </c>
      <c r="AA239" s="200"/>
    </row>
    <row r="240" spans="1:27">
      <c r="A240" s="200"/>
      <c r="B240" s="200"/>
      <c r="C240" s="200"/>
      <c r="D240" s="200"/>
      <c r="E240" s="200"/>
      <c r="F240" s="200"/>
      <c r="G240" s="200"/>
      <c r="H240" s="200"/>
      <c r="I240" s="200"/>
      <c r="J240" s="200"/>
      <c r="K240" s="200"/>
      <c r="L240" s="200"/>
      <c r="M240" s="200"/>
      <c r="N240" s="200"/>
      <c r="O240" s="200"/>
      <c r="P240" s="200"/>
      <c r="Q240" s="200"/>
      <c r="R240" s="200" t="s">
        <v>665</v>
      </c>
      <c r="S240" s="200"/>
      <c r="T240" s="253"/>
      <c r="U240" s="253"/>
      <c r="V240" s="253" t="s">
        <v>439</v>
      </c>
      <c r="W240" s="253"/>
      <c r="X240" s="254">
        <v>0.36</v>
      </c>
      <c r="Y240" s="223">
        <v>13.93</v>
      </c>
      <c r="Z240" s="223">
        <f t="shared" si="31"/>
        <v>5.0148000000000001</v>
      </c>
      <c r="AA240" s="200"/>
    </row>
    <row r="241" spans="1:27">
      <c r="A241" s="200"/>
      <c r="B241" s="200"/>
      <c r="C241" s="200"/>
      <c r="D241" s="200"/>
      <c r="E241" s="200"/>
      <c r="F241" s="200"/>
      <c r="G241" s="200"/>
      <c r="H241" s="200"/>
      <c r="I241" s="200"/>
      <c r="J241" s="200"/>
      <c r="K241" s="200"/>
      <c r="L241" s="200"/>
      <c r="M241" s="200"/>
      <c r="N241" s="200"/>
      <c r="O241" s="200"/>
      <c r="P241" s="200"/>
      <c r="Q241" s="200"/>
      <c r="R241" s="200" t="s">
        <v>674</v>
      </c>
      <c r="S241" s="200"/>
      <c r="T241" s="253"/>
      <c r="U241" s="253"/>
      <c r="V241" s="253" t="s">
        <v>439</v>
      </c>
      <c r="W241" s="253"/>
      <c r="X241" s="254">
        <v>1.5</v>
      </c>
      <c r="Y241" s="264">
        <v>27.88</v>
      </c>
      <c r="Z241" s="223">
        <f t="shared" si="31"/>
        <v>41.82</v>
      </c>
      <c r="AA241" s="200"/>
    </row>
    <row r="242" spans="1:27">
      <c r="A242" s="200"/>
      <c r="B242" s="200"/>
      <c r="C242" s="200"/>
      <c r="D242" s="200"/>
      <c r="E242" s="200"/>
      <c r="F242" s="200"/>
      <c r="G242" s="200"/>
      <c r="H242" s="200"/>
      <c r="I242" s="200"/>
      <c r="J242" s="200"/>
      <c r="K242" s="200"/>
      <c r="L242" s="200"/>
      <c r="M242" s="200"/>
      <c r="N242" s="200"/>
      <c r="O242" s="200"/>
      <c r="P242" s="200"/>
      <c r="Q242" s="200"/>
      <c r="R242" s="200"/>
      <c r="S242" s="200"/>
      <c r="T242" s="253"/>
      <c r="U242" s="253"/>
      <c r="V242" s="253"/>
      <c r="W242" s="253"/>
      <c r="X242" s="254"/>
      <c r="Y242" s="223"/>
      <c r="Z242" s="260">
        <f>SUM(Z236:Z241)</f>
        <v>340.18883999999997</v>
      </c>
      <c r="AA242" s="200"/>
    </row>
    <row r="243" spans="1:27">
      <c r="A243" s="200"/>
      <c r="B243" s="200"/>
      <c r="C243" s="200"/>
      <c r="D243" s="200"/>
      <c r="E243" s="200"/>
      <c r="F243" s="200"/>
      <c r="G243" s="200"/>
      <c r="H243" s="200"/>
      <c r="I243" s="200"/>
      <c r="J243" s="200"/>
      <c r="K243" s="200"/>
      <c r="L243" s="200"/>
      <c r="M243" s="200"/>
      <c r="N243" s="200"/>
      <c r="O243" s="200"/>
      <c r="P243" s="200"/>
      <c r="Q243" s="200"/>
      <c r="R243" s="251" t="s">
        <v>309</v>
      </c>
      <c r="S243" s="200"/>
      <c r="T243" s="253"/>
      <c r="U243" s="253"/>
      <c r="V243" s="253"/>
      <c r="W243" s="253"/>
      <c r="X243" s="254"/>
      <c r="Y243" s="223"/>
      <c r="Z243" s="200"/>
      <c r="AA243" s="200"/>
    </row>
    <row r="244" spans="1:27">
      <c r="A244" s="200"/>
      <c r="B244" s="200"/>
      <c r="C244" s="200"/>
      <c r="D244" s="200"/>
      <c r="E244" s="200"/>
      <c r="F244" s="200"/>
      <c r="G244" s="200"/>
      <c r="H244" s="200"/>
      <c r="I244" s="200"/>
      <c r="J244" s="200"/>
      <c r="K244" s="200"/>
      <c r="L244" s="200"/>
      <c r="M244" s="200"/>
      <c r="N244" s="200"/>
      <c r="O244" s="200"/>
      <c r="P244" s="200"/>
      <c r="Q244" s="200"/>
      <c r="R244" s="200" t="s">
        <v>310</v>
      </c>
      <c r="S244" s="200"/>
      <c r="T244" s="253"/>
      <c r="U244" s="253"/>
      <c r="V244" s="253" t="s">
        <v>311</v>
      </c>
      <c r="W244" s="253"/>
      <c r="X244" s="254">
        <v>3</v>
      </c>
      <c r="Y244" s="223">
        <f>Z234</f>
        <v>83.855999999999995</v>
      </c>
      <c r="Z244" s="223">
        <f>X244%*Y244</f>
        <v>2.5156799999999997</v>
      </c>
      <c r="AA244" s="200"/>
    </row>
    <row r="245" spans="1:27">
      <c r="A245" s="200"/>
      <c r="B245" s="200"/>
      <c r="C245" s="200"/>
      <c r="D245" s="200"/>
      <c r="E245" s="200"/>
      <c r="F245" s="200"/>
      <c r="G245" s="200"/>
      <c r="H245" s="200"/>
      <c r="I245" s="200"/>
      <c r="J245" s="200"/>
      <c r="K245" s="200"/>
      <c r="L245" s="200"/>
      <c r="M245" s="200"/>
      <c r="N245" s="200"/>
      <c r="O245" s="200"/>
      <c r="P245" s="200"/>
      <c r="Q245" s="200"/>
      <c r="R245" s="200" t="s">
        <v>667</v>
      </c>
      <c r="S245" s="200"/>
      <c r="T245" s="253"/>
      <c r="U245" s="253"/>
      <c r="V245" s="253" t="s">
        <v>337</v>
      </c>
      <c r="W245" s="253">
        <v>1</v>
      </c>
      <c r="X245" s="254">
        <f>W245*8/$T$228</f>
        <v>0.4</v>
      </c>
      <c r="Y245" s="200">
        <v>25.63</v>
      </c>
      <c r="Z245" s="223">
        <f>X245*Y245</f>
        <v>10.252000000000001</v>
      </c>
      <c r="AA245" s="200"/>
    </row>
    <row r="246" spans="1:27">
      <c r="A246" s="200"/>
      <c r="B246" s="200"/>
      <c r="C246" s="200"/>
      <c r="D246" s="200"/>
      <c r="E246" s="200"/>
      <c r="F246" s="200"/>
      <c r="G246" s="200"/>
      <c r="H246" s="200"/>
      <c r="I246" s="200"/>
      <c r="J246" s="200"/>
      <c r="K246" s="200"/>
      <c r="L246" s="200"/>
      <c r="M246" s="200"/>
      <c r="N246" s="200"/>
      <c r="O246" s="200"/>
      <c r="P246" s="200"/>
      <c r="Q246" s="200"/>
      <c r="R246" s="200" t="s">
        <v>675</v>
      </c>
      <c r="S246" s="200"/>
      <c r="T246" s="253"/>
      <c r="U246" s="253"/>
      <c r="V246" s="253" t="s">
        <v>337</v>
      </c>
      <c r="W246" s="253">
        <v>0.5</v>
      </c>
      <c r="X246" s="254">
        <f>W246*8/$T$228</f>
        <v>0.2</v>
      </c>
      <c r="Y246" s="200">
        <v>7.07</v>
      </c>
      <c r="Z246" s="223">
        <f>X246*Y246</f>
        <v>1.4140000000000001</v>
      </c>
      <c r="AA246" s="200"/>
    </row>
    <row r="247" spans="1:27">
      <c r="A247" s="200"/>
      <c r="B247" s="200"/>
      <c r="C247" s="200"/>
      <c r="D247" s="200"/>
      <c r="E247" s="200"/>
      <c r="F247" s="200"/>
      <c r="G247" s="200"/>
      <c r="H247" s="200"/>
      <c r="I247" s="200"/>
      <c r="J247" s="200"/>
      <c r="K247" s="200"/>
      <c r="L247" s="200"/>
      <c r="M247" s="200"/>
      <c r="N247" s="200"/>
      <c r="O247" s="200"/>
      <c r="P247" s="200"/>
      <c r="Q247" s="244" t="s">
        <v>671</v>
      </c>
      <c r="R247" s="244" t="s">
        <v>671</v>
      </c>
      <c r="S247" s="244" t="s">
        <v>671</v>
      </c>
      <c r="T247" s="244" t="s">
        <v>671</v>
      </c>
      <c r="U247" s="244" t="s">
        <v>671</v>
      </c>
      <c r="V247" s="244" t="s">
        <v>671</v>
      </c>
      <c r="W247" s="244" t="s">
        <v>671</v>
      </c>
      <c r="X247" s="244" t="s">
        <v>671</v>
      </c>
      <c r="Y247" s="244" t="s">
        <v>671</v>
      </c>
      <c r="Z247" s="261">
        <f>SUM(Z244:Z246)</f>
        <v>14.18168</v>
      </c>
      <c r="AA247" s="200"/>
    </row>
    <row r="248" spans="1:27">
      <c r="A248" s="200"/>
      <c r="B248" s="200"/>
      <c r="C248" s="200"/>
      <c r="D248" s="200"/>
      <c r="E248" s="200"/>
      <c r="F248" s="200"/>
      <c r="G248" s="200"/>
      <c r="H248" s="200"/>
      <c r="I248" s="200"/>
      <c r="J248" s="200"/>
      <c r="K248" s="200"/>
      <c r="L248" s="200"/>
      <c r="M248" s="200"/>
      <c r="N248" s="200"/>
      <c r="O248" s="200"/>
      <c r="P248" s="200"/>
      <c r="Q248" s="200"/>
      <c r="R248" s="200"/>
      <c r="S248" s="200"/>
      <c r="T248" s="200"/>
      <c r="U248" s="200"/>
      <c r="V248" s="200"/>
      <c r="W248" s="200"/>
      <c r="X248" s="200"/>
      <c r="Y248" s="200"/>
      <c r="Z248" s="250"/>
      <c r="AA248" s="200"/>
    </row>
    <row r="249" spans="1:27">
      <c r="A249" s="200"/>
      <c r="B249" s="200"/>
      <c r="C249" s="200"/>
      <c r="D249" s="200"/>
      <c r="E249" s="200"/>
      <c r="F249" s="200"/>
      <c r="G249" s="200"/>
      <c r="H249" s="200"/>
      <c r="I249" s="200"/>
      <c r="J249" s="200"/>
      <c r="K249" s="200"/>
      <c r="L249" s="200"/>
      <c r="M249" s="200"/>
      <c r="N249" s="200"/>
      <c r="O249" s="200"/>
      <c r="P249" s="200"/>
      <c r="Q249" s="250" t="s">
        <v>277</v>
      </c>
      <c r="R249" s="250"/>
      <c r="S249" s="250" t="s">
        <v>512</v>
      </c>
      <c r="T249" s="250"/>
      <c r="U249" s="250"/>
      <c r="V249" s="250"/>
      <c r="W249" s="250"/>
      <c r="X249" s="250"/>
      <c r="Y249" s="200"/>
      <c r="Z249" s="200"/>
      <c r="AA249" s="200"/>
    </row>
    <row r="250" spans="1:27">
      <c r="A250" s="200"/>
      <c r="B250" s="200"/>
      <c r="C250" s="200"/>
      <c r="D250" s="200"/>
      <c r="E250" s="200"/>
      <c r="F250" s="200"/>
      <c r="G250" s="200"/>
      <c r="H250" s="200"/>
      <c r="I250" s="200"/>
      <c r="J250" s="200"/>
      <c r="K250" s="200"/>
      <c r="L250" s="200"/>
      <c r="M250" s="200"/>
      <c r="N250" s="200"/>
      <c r="O250" s="200"/>
      <c r="P250" s="200"/>
      <c r="Q250" s="250" t="s">
        <v>278</v>
      </c>
      <c r="R250" s="250" t="s">
        <v>279</v>
      </c>
      <c r="S250" s="250" t="s">
        <v>280</v>
      </c>
      <c r="T250" s="262">
        <v>20</v>
      </c>
      <c r="U250" s="262" t="s">
        <v>281</v>
      </c>
      <c r="V250" s="262">
        <f>T250</f>
        <v>20</v>
      </c>
      <c r="W250" s="262" t="s">
        <v>282</v>
      </c>
      <c r="X250" s="250"/>
      <c r="Y250" s="250" t="s">
        <v>133</v>
      </c>
      <c r="Z250" s="260">
        <f>Z255+Z260+Z263</f>
        <v>64.026960000000003</v>
      </c>
      <c r="AA250" s="200"/>
    </row>
    <row r="251" spans="1:27">
      <c r="A251" s="200"/>
      <c r="B251" s="200"/>
      <c r="C251" s="200"/>
      <c r="D251" s="200"/>
      <c r="E251" s="200"/>
      <c r="F251" s="200"/>
      <c r="G251" s="200"/>
      <c r="H251" s="200"/>
      <c r="I251" s="200"/>
      <c r="J251" s="200"/>
      <c r="K251" s="200"/>
      <c r="L251" s="200"/>
      <c r="M251" s="200"/>
      <c r="N251" s="200"/>
      <c r="O251" s="200"/>
      <c r="P251" s="200"/>
      <c r="Q251" s="250" t="s">
        <v>283</v>
      </c>
      <c r="R251" s="250" t="s">
        <v>284</v>
      </c>
      <c r="S251" s="250"/>
      <c r="T251" s="253"/>
      <c r="U251" s="253"/>
      <c r="V251" s="262" t="s">
        <v>122</v>
      </c>
      <c r="W251" s="262" t="s">
        <v>285</v>
      </c>
      <c r="X251" s="250" t="s">
        <v>286</v>
      </c>
      <c r="Y251" s="250" t="s">
        <v>287</v>
      </c>
      <c r="Z251" s="250" t="s">
        <v>288</v>
      </c>
      <c r="AA251" s="200"/>
    </row>
    <row r="252" spans="1:27">
      <c r="A252" s="200"/>
      <c r="B252" s="200"/>
      <c r="C252" s="200"/>
      <c r="D252" s="200"/>
      <c r="E252" s="200"/>
      <c r="F252" s="200"/>
      <c r="G252" s="200"/>
      <c r="H252" s="200"/>
      <c r="I252" s="200"/>
      <c r="J252" s="200"/>
      <c r="K252" s="200"/>
      <c r="L252" s="200"/>
      <c r="M252" s="200"/>
      <c r="N252" s="200"/>
      <c r="O252" s="200"/>
      <c r="P252" s="200"/>
      <c r="Q252" s="200"/>
      <c r="R252" s="251" t="s">
        <v>289</v>
      </c>
      <c r="S252" s="200"/>
      <c r="T252" s="253"/>
      <c r="U252" s="253"/>
      <c r="V252" s="253"/>
      <c r="W252" s="253"/>
      <c r="X252" s="200"/>
      <c r="Y252" s="200"/>
      <c r="Z252" s="200"/>
      <c r="AA252" s="200"/>
    </row>
    <row r="253" spans="1:27">
      <c r="A253" s="200"/>
      <c r="B253" s="200"/>
      <c r="C253" s="200"/>
      <c r="D253" s="200"/>
      <c r="E253" s="200"/>
      <c r="F253" s="200"/>
      <c r="G253" s="200"/>
      <c r="H253" s="200"/>
      <c r="I253" s="200"/>
      <c r="J253" s="200"/>
      <c r="K253" s="200"/>
      <c r="L253" s="200"/>
      <c r="M253" s="200"/>
      <c r="N253" s="200"/>
      <c r="O253" s="200"/>
      <c r="P253" s="200"/>
      <c r="Q253" s="200"/>
      <c r="R253" s="200" t="s">
        <v>290</v>
      </c>
      <c r="S253" s="200"/>
      <c r="T253" s="253"/>
      <c r="U253" s="253"/>
      <c r="V253" s="253" t="s">
        <v>291</v>
      </c>
      <c r="W253" s="253">
        <v>2</v>
      </c>
      <c r="X253" s="254">
        <f>W253*8/$T$250</f>
        <v>0.8</v>
      </c>
      <c r="Y253" s="223">
        <v>28.94</v>
      </c>
      <c r="Z253" s="223">
        <f>X253*Y253</f>
        <v>23.152000000000001</v>
      </c>
      <c r="AA253" s="200"/>
    </row>
    <row r="254" spans="1:27">
      <c r="A254" s="200"/>
      <c r="B254" s="200"/>
      <c r="C254" s="200"/>
      <c r="D254" s="200"/>
      <c r="E254" s="200"/>
      <c r="F254" s="200"/>
      <c r="G254" s="200"/>
      <c r="H254" s="200"/>
      <c r="I254" s="200"/>
      <c r="J254" s="200"/>
      <c r="K254" s="200"/>
      <c r="L254" s="200"/>
      <c r="M254" s="200"/>
      <c r="N254" s="200"/>
      <c r="O254" s="200"/>
      <c r="P254" s="200"/>
      <c r="Q254" s="200"/>
      <c r="R254" s="200" t="s">
        <v>292</v>
      </c>
      <c r="S254" s="200"/>
      <c r="T254" s="253"/>
      <c r="U254" s="253"/>
      <c r="V254" s="253" t="s">
        <v>291</v>
      </c>
      <c r="W254" s="253">
        <v>2</v>
      </c>
      <c r="X254" s="254">
        <f>W254*8/$T$250</f>
        <v>0.8</v>
      </c>
      <c r="Y254" s="223">
        <v>23.6</v>
      </c>
      <c r="Z254" s="223">
        <f>X254*Y254</f>
        <v>18.880000000000003</v>
      </c>
      <c r="AA254" s="200"/>
    </row>
    <row r="255" spans="1:27">
      <c r="A255" s="200"/>
      <c r="B255" s="200"/>
      <c r="C255" s="200"/>
      <c r="D255" s="200"/>
      <c r="E255" s="200"/>
      <c r="F255" s="200"/>
      <c r="G255" s="200"/>
      <c r="H255" s="200"/>
      <c r="I255" s="200"/>
      <c r="J255" s="200"/>
      <c r="K255" s="200"/>
      <c r="L255" s="200"/>
      <c r="M255" s="200"/>
      <c r="N255" s="200"/>
      <c r="O255" s="200"/>
      <c r="P255" s="200"/>
      <c r="Q255" s="200"/>
      <c r="R255" s="200"/>
      <c r="S255" s="200"/>
      <c r="T255" s="253"/>
      <c r="U255" s="253"/>
      <c r="V255" s="253"/>
      <c r="W255" s="253"/>
      <c r="X255" s="254"/>
      <c r="Y255" s="223"/>
      <c r="Z255" s="260">
        <f>SUM(Z253:Z254)</f>
        <v>42.032000000000004</v>
      </c>
      <c r="AA255" s="200"/>
    </row>
    <row r="256" spans="1:27">
      <c r="A256" s="200"/>
      <c r="B256" s="200"/>
      <c r="C256" s="200"/>
      <c r="D256" s="200"/>
      <c r="E256" s="200"/>
      <c r="F256" s="200"/>
      <c r="G256" s="200"/>
      <c r="H256" s="200"/>
      <c r="I256" s="200"/>
      <c r="J256" s="200"/>
      <c r="K256" s="200"/>
      <c r="L256" s="200"/>
      <c r="M256" s="200"/>
      <c r="N256" s="200"/>
      <c r="O256" s="200"/>
      <c r="P256" s="200"/>
      <c r="Q256" s="200"/>
      <c r="R256" s="251" t="s">
        <v>653</v>
      </c>
      <c r="S256" s="200"/>
      <c r="T256" s="253"/>
      <c r="U256" s="253"/>
      <c r="V256" s="253"/>
      <c r="W256" s="253"/>
      <c r="X256" s="254"/>
      <c r="Y256" s="223"/>
      <c r="Z256" s="200"/>
      <c r="AA256" s="200"/>
    </row>
    <row r="257" spans="1:27">
      <c r="A257" s="200"/>
      <c r="B257" s="200"/>
      <c r="C257" s="200"/>
      <c r="D257" s="200"/>
      <c r="E257" s="200"/>
      <c r="F257" s="200"/>
      <c r="G257" s="200"/>
      <c r="H257" s="200"/>
      <c r="I257" s="200"/>
      <c r="J257" s="200"/>
      <c r="K257" s="200"/>
      <c r="L257" s="200"/>
      <c r="M257" s="200"/>
      <c r="N257" s="200"/>
      <c r="O257" s="200"/>
      <c r="P257" s="200"/>
      <c r="Q257" s="200"/>
      <c r="R257" s="200" t="s">
        <v>677</v>
      </c>
      <c r="S257" s="200"/>
      <c r="T257" s="253"/>
      <c r="U257" s="253"/>
      <c r="V257" s="253" t="s">
        <v>296</v>
      </c>
      <c r="W257" s="253"/>
      <c r="X257" s="254">
        <v>0.16</v>
      </c>
      <c r="Y257" s="223">
        <v>2.64</v>
      </c>
      <c r="Z257" s="223">
        <f>X257*Y257</f>
        <v>0.42240000000000005</v>
      </c>
      <c r="AA257" s="200"/>
    </row>
    <row r="258" spans="1:27">
      <c r="A258" s="200"/>
      <c r="B258" s="200"/>
      <c r="C258" s="200"/>
      <c r="D258" s="200"/>
      <c r="E258" s="200"/>
      <c r="F258" s="200"/>
      <c r="G258" s="200"/>
      <c r="H258" s="200"/>
      <c r="I258" s="200"/>
      <c r="J258" s="200"/>
      <c r="K258" s="200"/>
      <c r="L258" s="200"/>
      <c r="M258" s="200"/>
      <c r="N258" s="200"/>
      <c r="O258" s="200"/>
      <c r="P258" s="200"/>
      <c r="Q258" s="200"/>
      <c r="R258" s="200" t="s">
        <v>301</v>
      </c>
      <c r="S258" s="200"/>
      <c r="T258" s="253"/>
      <c r="U258" s="253"/>
      <c r="V258" s="253" t="s">
        <v>296</v>
      </c>
      <c r="W258" s="253"/>
      <c r="X258" s="254">
        <v>0.16</v>
      </c>
      <c r="Y258" s="223">
        <v>5.51</v>
      </c>
      <c r="Z258" s="223">
        <f t="shared" ref="Z258:Z259" si="32">X258*Y258</f>
        <v>0.88159999999999994</v>
      </c>
      <c r="AA258" s="200"/>
    </row>
    <row r="259" spans="1:27">
      <c r="A259" s="200"/>
      <c r="B259" s="200"/>
      <c r="C259" s="200"/>
      <c r="D259" s="200"/>
      <c r="E259" s="200"/>
      <c r="F259" s="200"/>
      <c r="G259" s="200"/>
      <c r="H259" s="200"/>
      <c r="I259" s="200"/>
      <c r="J259" s="200"/>
      <c r="K259" s="200"/>
      <c r="L259" s="200"/>
      <c r="M259" s="200"/>
      <c r="N259" s="200"/>
      <c r="O259" s="200"/>
      <c r="P259" s="200"/>
      <c r="Q259" s="200"/>
      <c r="R259" s="200" t="s">
        <v>669</v>
      </c>
      <c r="S259" s="200"/>
      <c r="T259" s="253"/>
      <c r="U259" s="253"/>
      <c r="V259" s="253" t="s">
        <v>305</v>
      </c>
      <c r="W259" s="253"/>
      <c r="X259" s="254">
        <v>3.35</v>
      </c>
      <c r="Y259" s="223">
        <v>5.8</v>
      </c>
      <c r="Z259" s="223">
        <f t="shared" si="32"/>
        <v>19.43</v>
      </c>
      <c r="AA259" s="200"/>
    </row>
    <row r="260" spans="1:27">
      <c r="A260" s="200"/>
      <c r="B260" s="200"/>
      <c r="C260" s="200"/>
      <c r="D260" s="200"/>
      <c r="E260" s="200"/>
      <c r="F260" s="200"/>
      <c r="G260" s="200"/>
      <c r="H260" s="200"/>
      <c r="I260" s="200"/>
      <c r="J260" s="200"/>
      <c r="K260" s="200"/>
      <c r="L260" s="200"/>
      <c r="M260" s="200"/>
      <c r="N260" s="200"/>
      <c r="O260" s="200"/>
      <c r="P260" s="200"/>
      <c r="Q260" s="200"/>
      <c r="R260" s="200"/>
      <c r="S260" s="200"/>
      <c r="T260" s="253"/>
      <c r="U260" s="253"/>
      <c r="V260" s="253"/>
      <c r="W260" s="253"/>
      <c r="X260" s="254"/>
      <c r="Y260" s="200"/>
      <c r="Z260" s="260">
        <f>SUM(Z257:Z259)</f>
        <v>20.733999999999998</v>
      </c>
      <c r="AA260" s="200"/>
    </row>
    <row r="261" spans="1:27">
      <c r="A261" s="200"/>
      <c r="B261" s="200"/>
      <c r="C261" s="200"/>
      <c r="D261" s="200"/>
      <c r="E261" s="200"/>
      <c r="F261" s="200"/>
      <c r="G261" s="200"/>
      <c r="H261" s="200"/>
      <c r="I261" s="200"/>
      <c r="J261" s="200"/>
      <c r="K261" s="200"/>
      <c r="L261" s="200"/>
      <c r="M261" s="200"/>
      <c r="N261" s="200"/>
      <c r="O261" s="200"/>
      <c r="P261" s="200"/>
      <c r="Q261" s="200"/>
      <c r="R261" s="251" t="s">
        <v>309</v>
      </c>
      <c r="S261" s="200"/>
      <c r="T261" s="200"/>
      <c r="U261" s="200"/>
      <c r="V261" s="200"/>
      <c r="W261" s="200"/>
      <c r="X261" s="254"/>
      <c r="Y261" s="200"/>
      <c r="Z261" s="200"/>
      <c r="AA261" s="200"/>
    </row>
    <row r="262" spans="1:27">
      <c r="A262" s="200"/>
      <c r="B262" s="200"/>
      <c r="C262" s="200"/>
      <c r="D262" s="200"/>
      <c r="E262" s="200"/>
      <c r="F262" s="200"/>
      <c r="G262" s="200"/>
      <c r="H262" s="200"/>
      <c r="I262" s="200"/>
      <c r="J262" s="200"/>
      <c r="K262" s="200"/>
      <c r="L262" s="200"/>
      <c r="M262" s="200"/>
      <c r="N262" s="200"/>
      <c r="O262" s="200"/>
      <c r="P262" s="200"/>
      <c r="Q262" s="200"/>
      <c r="R262" s="200" t="s">
        <v>310</v>
      </c>
      <c r="S262" s="200"/>
      <c r="T262" s="200"/>
      <c r="U262" s="200"/>
      <c r="V262" s="200" t="s">
        <v>311</v>
      </c>
      <c r="W262" s="200"/>
      <c r="X262" s="254">
        <v>3</v>
      </c>
      <c r="Y262" s="223">
        <f>Z255</f>
        <v>42.032000000000004</v>
      </c>
      <c r="Z262" s="223">
        <f>X262%*Y262</f>
        <v>1.2609600000000001</v>
      </c>
      <c r="AA262" s="200"/>
    </row>
    <row r="263" spans="1:27">
      <c r="A263" s="200"/>
      <c r="B263" s="200"/>
      <c r="C263" s="200"/>
      <c r="D263" s="200"/>
      <c r="E263" s="200"/>
      <c r="F263" s="200"/>
      <c r="G263" s="200"/>
      <c r="H263" s="200"/>
      <c r="I263" s="200"/>
      <c r="J263" s="200"/>
      <c r="K263" s="200"/>
      <c r="L263" s="200"/>
      <c r="M263" s="200"/>
      <c r="N263" s="200"/>
      <c r="O263" s="200"/>
      <c r="P263" s="200"/>
      <c r="Q263" s="244" t="s">
        <v>671</v>
      </c>
      <c r="R263" s="244" t="s">
        <v>671</v>
      </c>
      <c r="S263" s="244" t="s">
        <v>671</v>
      </c>
      <c r="T263" s="244" t="s">
        <v>671</v>
      </c>
      <c r="U263" s="244" t="s">
        <v>671</v>
      </c>
      <c r="V263" s="244" t="s">
        <v>671</v>
      </c>
      <c r="W263" s="244" t="s">
        <v>671</v>
      </c>
      <c r="X263" s="244" t="s">
        <v>671</v>
      </c>
      <c r="Y263" s="244" t="s">
        <v>671</v>
      </c>
      <c r="Z263" s="261">
        <f>SUM(Z262)</f>
        <v>1.2609600000000001</v>
      </c>
      <c r="AA263" s="200"/>
    </row>
    <row r="264" spans="1:27">
      <c r="A264" s="200"/>
      <c r="B264" s="200"/>
      <c r="C264" s="200"/>
      <c r="D264" s="200"/>
      <c r="E264" s="200"/>
      <c r="F264" s="200"/>
      <c r="G264" s="200"/>
      <c r="H264" s="200"/>
      <c r="I264" s="200"/>
      <c r="J264" s="200"/>
      <c r="K264" s="200"/>
      <c r="L264" s="200"/>
      <c r="M264" s="200"/>
      <c r="N264" s="200"/>
      <c r="O264" s="200"/>
      <c r="P264" s="200"/>
      <c r="Q264" s="200"/>
      <c r="R264" s="200"/>
      <c r="S264" s="200"/>
      <c r="T264" s="200"/>
      <c r="U264" s="200"/>
      <c r="V264" s="200"/>
      <c r="W264" s="200"/>
      <c r="X264" s="200"/>
      <c r="Y264" s="200"/>
      <c r="Z264" s="250"/>
      <c r="AA264" s="200"/>
    </row>
    <row r="265" spans="1:27">
      <c r="A265" s="200"/>
      <c r="B265" s="200"/>
      <c r="C265" s="200"/>
      <c r="D265" s="200"/>
      <c r="E265" s="200"/>
      <c r="F265" s="200"/>
      <c r="G265" s="200"/>
      <c r="H265" s="200"/>
      <c r="I265" s="200"/>
      <c r="J265" s="200"/>
      <c r="K265" s="200"/>
      <c r="L265" s="200"/>
      <c r="M265" s="200"/>
      <c r="N265" s="200"/>
      <c r="O265" s="200"/>
      <c r="P265" s="200"/>
      <c r="Q265" s="250" t="s">
        <v>277</v>
      </c>
      <c r="R265" s="250"/>
      <c r="S265" s="250" t="s">
        <v>684</v>
      </c>
      <c r="T265" s="250"/>
      <c r="U265" s="250"/>
      <c r="V265" s="250"/>
      <c r="W265" s="250"/>
      <c r="X265" s="250"/>
      <c r="Y265" s="250"/>
      <c r="Z265" s="200"/>
      <c r="AA265" s="200"/>
    </row>
    <row r="266" spans="1:27">
      <c r="A266" s="200"/>
      <c r="B266" s="200"/>
      <c r="C266" s="200"/>
      <c r="D266" s="200"/>
      <c r="E266" s="200"/>
      <c r="F266" s="200"/>
      <c r="G266" s="200"/>
      <c r="H266" s="200"/>
      <c r="I266" s="200"/>
      <c r="J266" s="200"/>
      <c r="K266" s="200"/>
      <c r="L266" s="200"/>
      <c r="M266" s="200"/>
      <c r="N266" s="200"/>
      <c r="O266" s="200"/>
      <c r="P266" s="200"/>
      <c r="Q266" s="250" t="s">
        <v>278</v>
      </c>
      <c r="R266" s="250" t="s">
        <v>678</v>
      </c>
      <c r="S266" s="250" t="s">
        <v>280</v>
      </c>
      <c r="T266" s="262">
        <v>250</v>
      </c>
      <c r="U266" s="262" t="s">
        <v>281</v>
      </c>
      <c r="V266" s="262">
        <f>T266</f>
        <v>250</v>
      </c>
      <c r="W266" s="262" t="s">
        <v>282</v>
      </c>
      <c r="X266" s="250"/>
      <c r="Y266" s="250" t="s">
        <v>296</v>
      </c>
      <c r="Z266" s="260">
        <f>Z272+Z276+Z280</f>
        <v>5.5639628445000007</v>
      </c>
      <c r="AA266" s="200"/>
    </row>
    <row r="267" spans="1:27">
      <c r="A267" s="200"/>
      <c r="B267" s="200"/>
      <c r="C267" s="200"/>
      <c r="D267" s="200"/>
      <c r="E267" s="200"/>
      <c r="F267" s="200"/>
      <c r="G267" s="200"/>
      <c r="H267" s="200"/>
      <c r="I267" s="200"/>
      <c r="J267" s="200"/>
      <c r="K267" s="200"/>
      <c r="L267" s="200"/>
      <c r="M267" s="200"/>
      <c r="N267" s="200"/>
      <c r="O267" s="200"/>
      <c r="P267" s="200"/>
      <c r="Q267" s="250" t="s">
        <v>283</v>
      </c>
      <c r="R267" s="250" t="s">
        <v>284</v>
      </c>
      <c r="S267" s="250"/>
      <c r="T267" s="253"/>
      <c r="U267" s="253"/>
      <c r="V267" s="262" t="s">
        <v>122</v>
      </c>
      <c r="W267" s="262" t="s">
        <v>285</v>
      </c>
      <c r="X267" s="250" t="s">
        <v>286</v>
      </c>
      <c r="Y267" s="250" t="s">
        <v>287</v>
      </c>
      <c r="Z267" s="250" t="s">
        <v>288</v>
      </c>
      <c r="AA267" s="200"/>
    </row>
    <row r="268" spans="1:27">
      <c r="A268" s="200"/>
      <c r="B268" s="200"/>
      <c r="C268" s="200"/>
      <c r="D268" s="200"/>
      <c r="E268" s="200"/>
      <c r="F268" s="200"/>
      <c r="G268" s="200"/>
      <c r="H268" s="200"/>
      <c r="I268" s="200"/>
      <c r="J268" s="200"/>
      <c r="K268" s="200"/>
      <c r="L268" s="200"/>
      <c r="M268" s="200"/>
      <c r="N268" s="200"/>
      <c r="O268" s="200"/>
      <c r="P268" s="200"/>
      <c r="Q268" s="200"/>
      <c r="R268" s="251" t="s">
        <v>289</v>
      </c>
      <c r="S268" s="200"/>
      <c r="T268" s="253"/>
      <c r="U268" s="253"/>
      <c r="V268" s="253"/>
      <c r="W268" s="253"/>
      <c r="X268" s="200"/>
      <c r="Y268" s="200"/>
      <c r="Z268" s="200"/>
      <c r="AA268" s="200"/>
    </row>
    <row r="269" spans="1:27">
      <c r="A269" s="200"/>
      <c r="B269" s="200"/>
      <c r="C269" s="200"/>
      <c r="D269" s="200"/>
      <c r="E269" s="200"/>
      <c r="F269" s="200"/>
      <c r="G269" s="200"/>
      <c r="H269" s="200"/>
      <c r="I269" s="200"/>
      <c r="J269" s="200"/>
      <c r="K269" s="200"/>
      <c r="L269" s="200"/>
      <c r="M269" s="200"/>
      <c r="N269" s="200"/>
      <c r="O269" s="200"/>
      <c r="P269" s="200"/>
      <c r="Q269" s="200"/>
      <c r="R269" s="200" t="s">
        <v>290</v>
      </c>
      <c r="S269" s="200"/>
      <c r="T269" s="253"/>
      <c r="U269" s="253"/>
      <c r="V269" s="253" t="s">
        <v>291</v>
      </c>
      <c r="W269" s="253">
        <v>1</v>
      </c>
      <c r="X269" s="254">
        <f>W269*8/$T$266</f>
        <v>3.2000000000000001E-2</v>
      </c>
      <c r="Y269" s="223">
        <v>28.94</v>
      </c>
      <c r="Z269" s="223">
        <f>X269*Y269</f>
        <v>0.92608000000000001</v>
      </c>
      <c r="AA269" s="200"/>
    </row>
    <row r="270" spans="1:27">
      <c r="A270" s="200"/>
      <c r="B270" s="200"/>
      <c r="C270" s="200"/>
      <c r="D270" s="200"/>
      <c r="E270" s="200"/>
      <c r="F270" s="200"/>
      <c r="G270" s="200"/>
      <c r="H270" s="200"/>
      <c r="I270" s="200"/>
      <c r="J270" s="200"/>
      <c r="K270" s="200"/>
      <c r="L270" s="200"/>
      <c r="M270" s="200"/>
      <c r="N270" s="200"/>
      <c r="O270" s="200"/>
      <c r="P270" s="200"/>
      <c r="Q270" s="200"/>
      <c r="R270" s="200" t="s">
        <v>679</v>
      </c>
      <c r="S270" s="200"/>
      <c r="T270" s="253"/>
      <c r="U270" s="253"/>
      <c r="V270" s="253" t="s">
        <v>291</v>
      </c>
      <c r="W270" s="253">
        <v>1</v>
      </c>
      <c r="X270" s="254">
        <f>W270*8/$T$266</f>
        <v>3.2000000000000001E-2</v>
      </c>
      <c r="Y270" s="223">
        <v>23.6</v>
      </c>
      <c r="Z270" s="223">
        <f>X270*Y270</f>
        <v>0.75520000000000009</v>
      </c>
      <c r="AA270" s="200"/>
    </row>
    <row r="271" spans="1:27">
      <c r="A271" s="200"/>
      <c r="B271" s="200"/>
      <c r="C271" s="200"/>
      <c r="D271" s="200"/>
      <c r="E271" s="200"/>
      <c r="F271" s="200"/>
      <c r="G271" s="200"/>
      <c r="H271" s="200"/>
      <c r="I271" s="200"/>
      <c r="J271" s="200"/>
      <c r="K271" s="200"/>
      <c r="L271" s="200"/>
      <c r="M271" s="200"/>
      <c r="N271" s="200"/>
      <c r="O271" s="200"/>
      <c r="P271" s="200"/>
      <c r="Q271" s="200"/>
      <c r="R271" s="200"/>
      <c r="S271" s="200"/>
      <c r="T271" s="253"/>
      <c r="U271" s="253"/>
      <c r="V271" s="253"/>
      <c r="W271" s="253"/>
      <c r="X271" s="254"/>
      <c r="Y271" s="223"/>
      <c r="Z271" s="223"/>
      <c r="AA271" s="200"/>
    </row>
    <row r="272" spans="1:27">
      <c r="A272" s="200"/>
      <c r="B272" s="200"/>
      <c r="C272" s="200"/>
      <c r="D272" s="200"/>
      <c r="E272" s="200"/>
      <c r="F272" s="200"/>
      <c r="G272" s="200"/>
      <c r="H272" s="200"/>
      <c r="I272" s="200"/>
      <c r="J272" s="200"/>
      <c r="K272" s="200"/>
      <c r="L272" s="200"/>
      <c r="M272" s="200"/>
      <c r="N272" s="200"/>
      <c r="O272" s="200"/>
      <c r="P272" s="200"/>
      <c r="Q272" s="200"/>
      <c r="R272" s="200"/>
      <c r="S272" s="200"/>
      <c r="T272" s="253"/>
      <c r="U272" s="253"/>
      <c r="V272" s="253"/>
      <c r="W272" s="253"/>
      <c r="X272" s="254"/>
      <c r="Y272" s="223"/>
      <c r="Z272" s="260">
        <f>SUM(Z269:Z270)</f>
        <v>1.6812800000000001</v>
      </c>
      <c r="AA272" s="200"/>
    </row>
    <row r="273" spans="1:27">
      <c r="A273" s="200"/>
      <c r="B273" s="200"/>
      <c r="C273" s="200"/>
      <c r="D273" s="200"/>
      <c r="E273" s="200"/>
      <c r="F273" s="200"/>
      <c r="G273" s="200"/>
      <c r="H273" s="200"/>
      <c r="I273" s="200"/>
      <c r="J273" s="200"/>
      <c r="K273" s="200"/>
      <c r="L273" s="200"/>
      <c r="M273" s="200"/>
      <c r="N273" s="200"/>
      <c r="O273" s="200"/>
      <c r="P273" s="200"/>
      <c r="Q273" s="200"/>
      <c r="R273" s="251" t="s">
        <v>294</v>
      </c>
      <c r="S273" s="200"/>
      <c r="T273" s="253"/>
      <c r="U273" s="253"/>
      <c r="V273" s="253"/>
      <c r="W273" s="253"/>
      <c r="X273" s="254"/>
      <c r="Y273" s="223"/>
      <c r="Z273" s="223"/>
      <c r="AA273" s="200"/>
    </row>
    <row r="274" spans="1:27">
      <c r="A274" s="200"/>
      <c r="B274" s="200"/>
      <c r="C274" s="200"/>
      <c r="D274" s="200"/>
      <c r="E274" s="200"/>
      <c r="F274" s="200"/>
      <c r="G274" s="200"/>
      <c r="H274" s="200"/>
      <c r="I274" s="200"/>
      <c r="J274" s="200"/>
      <c r="K274" s="200"/>
      <c r="L274" s="200"/>
      <c r="M274" s="200"/>
      <c r="N274" s="200"/>
      <c r="O274" s="200"/>
      <c r="P274" s="200"/>
      <c r="Q274" s="200"/>
      <c r="R274" s="200" t="s">
        <v>295</v>
      </c>
      <c r="S274" s="200"/>
      <c r="T274" s="253"/>
      <c r="U274" s="253"/>
      <c r="V274" s="253" t="s">
        <v>296</v>
      </c>
      <c r="W274" s="253"/>
      <c r="X274" s="254">
        <v>0.03</v>
      </c>
      <c r="Y274" s="223">
        <v>2.64</v>
      </c>
      <c r="Z274" s="223">
        <f>X274*Y274</f>
        <v>7.9200000000000007E-2</v>
      </c>
      <c r="AA274" s="200"/>
    </row>
    <row r="275" spans="1:27">
      <c r="A275" s="200"/>
      <c r="B275" s="200"/>
      <c r="C275" s="200"/>
      <c r="D275" s="200"/>
      <c r="E275" s="200"/>
      <c r="F275" s="200"/>
      <c r="G275" s="200"/>
      <c r="H275" s="200"/>
      <c r="I275" s="200"/>
      <c r="J275" s="200"/>
      <c r="K275" s="200"/>
      <c r="L275" s="200"/>
      <c r="M275" s="200"/>
      <c r="N275" s="200"/>
      <c r="O275" s="200"/>
      <c r="P275" s="200"/>
      <c r="Q275" s="200"/>
      <c r="R275" s="200" t="s">
        <v>680</v>
      </c>
      <c r="S275" s="200"/>
      <c r="T275" s="253"/>
      <c r="U275" s="253"/>
      <c r="V275" s="253" t="s">
        <v>296</v>
      </c>
      <c r="W275" s="253"/>
      <c r="X275" s="254">
        <v>1.05</v>
      </c>
      <c r="Y275" s="223">
        <f>1012.71*3.379/1000</f>
        <v>3.4219470900000002</v>
      </c>
      <c r="Z275" s="223">
        <f>X275*Y275</f>
        <v>3.5930444445000003</v>
      </c>
      <c r="AA275" s="200"/>
    </row>
    <row r="276" spans="1:27">
      <c r="A276" s="200"/>
      <c r="B276" s="200"/>
      <c r="C276" s="200"/>
      <c r="D276" s="200"/>
      <c r="E276" s="200"/>
      <c r="F276" s="200"/>
      <c r="G276" s="200"/>
      <c r="H276" s="200"/>
      <c r="I276" s="200"/>
      <c r="J276" s="200"/>
      <c r="K276" s="200"/>
      <c r="L276" s="200"/>
      <c r="M276" s="200"/>
      <c r="N276" s="200"/>
      <c r="O276" s="200"/>
      <c r="P276" s="200"/>
      <c r="Q276" s="200"/>
      <c r="R276" s="200"/>
      <c r="S276" s="200"/>
      <c r="T276" s="253"/>
      <c r="U276" s="253"/>
      <c r="V276" s="253"/>
      <c r="W276" s="253"/>
      <c r="X276" s="254"/>
      <c r="Y276" s="223"/>
      <c r="Z276" s="260">
        <f>SUM(Z274:Z275)</f>
        <v>3.6722444445000004</v>
      </c>
      <c r="AA276" s="200"/>
    </row>
    <row r="277" spans="1:27">
      <c r="A277" s="200"/>
      <c r="B277" s="200"/>
      <c r="C277" s="200"/>
      <c r="D277" s="200"/>
      <c r="E277" s="200"/>
      <c r="F277" s="200"/>
      <c r="G277" s="200"/>
      <c r="H277" s="200"/>
      <c r="I277" s="200"/>
      <c r="J277" s="200"/>
      <c r="K277" s="200"/>
      <c r="L277" s="200"/>
      <c r="M277" s="200"/>
      <c r="N277" s="200"/>
      <c r="O277" s="200"/>
      <c r="P277" s="200"/>
      <c r="Q277" s="200"/>
      <c r="R277" s="251" t="s">
        <v>317</v>
      </c>
      <c r="S277" s="200"/>
      <c r="T277" s="253"/>
      <c r="U277" s="253"/>
      <c r="V277" s="253"/>
      <c r="W277" s="253"/>
      <c r="X277" s="254"/>
      <c r="Y277" s="223"/>
      <c r="Z277" s="223"/>
      <c r="AA277" s="200"/>
    </row>
    <row r="278" spans="1:27">
      <c r="A278" s="200"/>
      <c r="B278" s="200"/>
      <c r="C278" s="200"/>
      <c r="D278" s="200"/>
      <c r="E278" s="200"/>
      <c r="F278" s="200"/>
      <c r="G278" s="200"/>
      <c r="H278" s="200"/>
      <c r="I278" s="200"/>
      <c r="J278" s="200"/>
      <c r="K278" s="200"/>
      <c r="L278" s="200"/>
      <c r="M278" s="200"/>
      <c r="N278" s="200"/>
      <c r="O278" s="200"/>
      <c r="P278" s="200"/>
      <c r="Q278" s="200"/>
      <c r="R278" s="200" t="s">
        <v>310</v>
      </c>
      <c r="S278" s="200"/>
      <c r="T278" s="253"/>
      <c r="U278" s="253"/>
      <c r="V278" s="253" t="s">
        <v>311</v>
      </c>
      <c r="W278" s="253"/>
      <c r="X278" s="254">
        <v>3</v>
      </c>
      <c r="Y278" s="223">
        <f>Z272</f>
        <v>1.6812800000000001</v>
      </c>
      <c r="Z278" s="223">
        <f>X278%*Y278</f>
        <v>5.0438400000000001E-2</v>
      </c>
      <c r="AA278" s="200"/>
    </row>
    <row r="279" spans="1:27">
      <c r="A279" s="200"/>
      <c r="B279" s="200"/>
      <c r="C279" s="200"/>
      <c r="D279" s="200"/>
      <c r="E279" s="200"/>
      <c r="F279" s="200"/>
      <c r="G279" s="200"/>
      <c r="H279" s="200"/>
      <c r="I279" s="200"/>
      <c r="J279" s="200"/>
      <c r="K279" s="200"/>
      <c r="L279" s="200"/>
      <c r="M279" s="200"/>
      <c r="N279" s="200"/>
      <c r="O279" s="200"/>
      <c r="P279" s="200"/>
      <c r="Q279" s="200"/>
      <c r="R279" s="200" t="s">
        <v>681</v>
      </c>
      <c r="S279" s="200"/>
      <c r="T279" s="253"/>
      <c r="U279" s="253"/>
      <c r="V279" s="253" t="s">
        <v>291</v>
      </c>
      <c r="W279" s="253">
        <v>1</v>
      </c>
      <c r="X279" s="254">
        <f>W279*8/$T$266</f>
        <v>3.2000000000000001E-2</v>
      </c>
      <c r="Y279" s="264">
        <v>5</v>
      </c>
      <c r="Z279" s="223">
        <f>X279*Y279</f>
        <v>0.16</v>
      </c>
      <c r="AA279" s="200"/>
    </row>
    <row r="280" spans="1:27">
      <c r="A280" s="200"/>
      <c r="B280" s="200"/>
      <c r="C280" s="200"/>
      <c r="D280" s="200"/>
      <c r="E280" s="200"/>
      <c r="F280" s="200"/>
      <c r="G280" s="200"/>
      <c r="H280" s="200"/>
      <c r="I280" s="200"/>
      <c r="J280" s="200"/>
      <c r="K280" s="200"/>
      <c r="L280" s="200"/>
      <c r="M280" s="200"/>
      <c r="N280" s="200"/>
      <c r="O280" s="200"/>
      <c r="P280" s="200"/>
      <c r="Q280" s="244" t="s">
        <v>671</v>
      </c>
      <c r="R280" s="244" t="s">
        <v>671</v>
      </c>
      <c r="S280" s="244" t="s">
        <v>671</v>
      </c>
      <c r="T280" s="244" t="s">
        <v>671</v>
      </c>
      <c r="U280" s="244" t="s">
        <v>671</v>
      </c>
      <c r="V280" s="244" t="s">
        <v>671</v>
      </c>
      <c r="W280" s="244" t="s">
        <v>671</v>
      </c>
      <c r="X280" s="244" t="s">
        <v>671</v>
      </c>
      <c r="Y280" s="265" t="s">
        <v>671</v>
      </c>
      <c r="Z280" s="261">
        <f>SUM(Z278:Z279)</f>
        <v>0.2104384</v>
      </c>
      <c r="AA280" s="200"/>
    </row>
    <row r="281" spans="1:27">
      <c r="A281" s="200"/>
      <c r="B281" s="200"/>
      <c r="C281" s="200"/>
      <c r="D281" s="200"/>
      <c r="E281" s="200"/>
      <c r="F281" s="200"/>
      <c r="G281" s="200"/>
      <c r="H281" s="200"/>
      <c r="I281" s="200"/>
      <c r="J281" s="200"/>
      <c r="K281" s="200"/>
      <c r="L281" s="200"/>
      <c r="M281" s="200"/>
      <c r="N281" s="200"/>
      <c r="O281" s="200"/>
      <c r="P281" s="200"/>
      <c r="Q281" s="200"/>
      <c r="R281" s="200"/>
      <c r="S281" s="200"/>
      <c r="T281" s="200"/>
      <c r="U281" s="200"/>
      <c r="V281" s="200"/>
      <c r="W281" s="200"/>
      <c r="X281" s="200"/>
      <c r="Y281" s="223"/>
      <c r="Z281" s="223"/>
      <c r="AA281" s="200"/>
    </row>
    <row r="282" spans="1:27">
      <c r="A282" s="200"/>
      <c r="B282" s="200"/>
      <c r="C282" s="200"/>
      <c r="D282" s="200"/>
      <c r="E282" s="200"/>
      <c r="F282" s="200"/>
      <c r="G282" s="200"/>
      <c r="H282" s="200"/>
      <c r="I282" s="200"/>
      <c r="J282" s="200"/>
      <c r="K282" s="200"/>
      <c r="L282" s="200"/>
      <c r="M282" s="200"/>
      <c r="N282" s="200"/>
      <c r="O282" s="200"/>
      <c r="P282" s="200"/>
      <c r="Q282" s="200"/>
      <c r="R282" s="200"/>
      <c r="S282" s="200"/>
      <c r="T282" s="200"/>
      <c r="U282" s="200"/>
      <c r="V282" s="200"/>
      <c r="W282" s="200"/>
      <c r="X282" s="200"/>
      <c r="Y282" s="200"/>
      <c r="Z282" s="200"/>
      <c r="AA282" s="200"/>
    </row>
    <row r="283" spans="1:27">
      <c r="A283" s="200"/>
      <c r="B283" s="200"/>
      <c r="C283" s="200"/>
      <c r="D283" s="200"/>
      <c r="E283" s="200"/>
      <c r="F283" s="200"/>
      <c r="G283" s="200"/>
      <c r="H283" s="200"/>
      <c r="I283" s="200"/>
      <c r="J283" s="200"/>
      <c r="K283" s="200"/>
      <c r="L283" s="200"/>
      <c r="M283" s="200"/>
      <c r="N283" s="200"/>
      <c r="O283" s="200"/>
      <c r="P283" s="200"/>
      <c r="Q283" s="250"/>
      <c r="R283" s="250"/>
      <c r="S283" s="250"/>
      <c r="T283" s="250"/>
      <c r="U283" s="250"/>
      <c r="V283" s="250"/>
      <c r="W283" s="250"/>
      <c r="X283" s="200"/>
      <c r="Y283" s="200"/>
      <c r="Z283" s="200"/>
      <c r="AA283" s="200"/>
    </row>
    <row r="284" spans="1:27">
      <c r="A284" s="200"/>
      <c r="B284" s="200"/>
      <c r="C284" s="200"/>
      <c r="D284" s="200"/>
      <c r="E284" s="200"/>
      <c r="F284" s="200"/>
      <c r="G284" s="200"/>
      <c r="H284" s="200"/>
      <c r="I284" s="200"/>
      <c r="J284" s="200"/>
      <c r="K284" s="200"/>
      <c r="L284" s="200"/>
      <c r="M284" s="200"/>
      <c r="N284" s="200"/>
      <c r="O284" s="200"/>
      <c r="P284" s="200"/>
    </row>
    <row r="285" spans="1:27">
      <c r="A285" s="200"/>
      <c r="B285" s="200"/>
      <c r="C285" s="200"/>
      <c r="D285" s="200"/>
      <c r="E285" s="200"/>
      <c r="F285" s="200"/>
      <c r="G285" s="200"/>
      <c r="H285" s="200"/>
      <c r="I285" s="200"/>
      <c r="J285" s="200"/>
      <c r="K285" s="200"/>
      <c r="L285" s="200"/>
      <c r="M285" s="200"/>
      <c r="N285" s="200"/>
      <c r="O285" s="200"/>
      <c r="P285" s="200"/>
    </row>
    <row r="286" spans="1:27">
      <c r="A286" s="200"/>
      <c r="B286" s="200"/>
      <c r="C286" s="200"/>
      <c r="D286" s="200"/>
      <c r="E286" s="200"/>
      <c r="F286" s="200"/>
      <c r="G286" s="200"/>
      <c r="H286" s="200"/>
      <c r="I286" s="200"/>
      <c r="J286" s="200"/>
      <c r="K286" s="200"/>
      <c r="L286" s="200"/>
      <c r="M286" s="200"/>
      <c r="N286" s="200"/>
      <c r="O286" s="200"/>
      <c r="P286" s="200"/>
    </row>
    <row r="287" spans="1:27">
      <c r="A287" s="200"/>
      <c r="B287" s="200"/>
      <c r="C287" s="200"/>
      <c r="D287" s="200"/>
      <c r="E287" s="200"/>
      <c r="F287" s="200"/>
      <c r="G287" s="200"/>
      <c r="H287" s="200"/>
      <c r="I287" s="200"/>
      <c r="J287" s="200"/>
      <c r="K287" s="200"/>
      <c r="L287" s="200"/>
      <c r="M287" s="200"/>
      <c r="N287" s="200"/>
      <c r="O287" s="200"/>
      <c r="P287" s="200"/>
    </row>
    <row r="288" spans="1:27">
      <c r="A288" s="200"/>
      <c r="B288" s="200"/>
      <c r="C288" s="200"/>
      <c r="D288" s="200"/>
      <c r="E288" s="200"/>
      <c r="F288" s="200"/>
      <c r="G288" s="200"/>
      <c r="H288" s="200"/>
      <c r="I288" s="200"/>
      <c r="J288" s="200"/>
      <c r="K288" s="200"/>
      <c r="L288" s="200"/>
      <c r="M288" s="200"/>
      <c r="N288" s="200"/>
      <c r="O288" s="200"/>
      <c r="P288" s="200"/>
    </row>
    <row r="289" spans="1:27">
      <c r="A289" s="200"/>
      <c r="B289" s="200"/>
      <c r="C289" s="200"/>
      <c r="D289" s="200"/>
      <c r="E289" s="200"/>
      <c r="F289" s="200"/>
      <c r="G289" s="200"/>
      <c r="H289" s="200"/>
      <c r="I289" s="200"/>
      <c r="J289" s="200"/>
      <c r="K289" s="200"/>
      <c r="L289" s="200"/>
      <c r="M289" s="200"/>
      <c r="N289" s="200"/>
      <c r="O289" s="200"/>
      <c r="P289" s="200"/>
    </row>
    <row r="290" spans="1:27">
      <c r="A290" s="200"/>
      <c r="B290" s="200"/>
      <c r="C290" s="200"/>
      <c r="D290" s="200"/>
      <c r="E290" s="200"/>
      <c r="F290" s="200"/>
      <c r="G290" s="200"/>
      <c r="H290" s="200"/>
      <c r="I290" s="200"/>
      <c r="J290" s="200"/>
      <c r="K290" s="200"/>
      <c r="L290" s="200"/>
      <c r="M290" s="200"/>
      <c r="N290" s="200"/>
      <c r="O290" s="200"/>
      <c r="P290" s="200"/>
    </row>
    <row r="291" spans="1:27">
      <c r="A291" s="200"/>
      <c r="B291" s="200"/>
      <c r="C291" s="200"/>
      <c r="D291" s="200"/>
      <c r="E291" s="200"/>
      <c r="F291" s="200"/>
      <c r="G291" s="200"/>
      <c r="H291" s="200"/>
      <c r="I291" s="200"/>
      <c r="J291" s="200"/>
      <c r="K291" s="200"/>
      <c r="L291" s="200"/>
      <c r="M291" s="200"/>
      <c r="N291" s="200"/>
      <c r="O291" s="200"/>
      <c r="P291" s="200"/>
    </row>
    <row r="292" spans="1:27">
      <c r="A292" s="200"/>
      <c r="B292" s="200"/>
      <c r="C292" s="200"/>
      <c r="D292" s="200"/>
      <c r="E292" s="200"/>
      <c r="F292" s="200"/>
      <c r="G292" s="200"/>
      <c r="H292" s="200"/>
      <c r="I292" s="200"/>
      <c r="J292" s="200"/>
      <c r="K292" s="200"/>
      <c r="L292" s="200"/>
      <c r="M292" s="200"/>
      <c r="N292" s="200"/>
      <c r="O292" s="200"/>
      <c r="P292" s="200"/>
    </row>
    <row r="293" spans="1:27">
      <c r="A293" s="200"/>
      <c r="B293" s="200"/>
      <c r="C293" s="200"/>
      <c r="D293" s="200"/>
      <c r="E293" s="200"/>
      <c r="F293" s="200"/>
      <c r="G293" s="200"/>
      <c r="H293" s="200"/>
      <c r="I293" s="200"/>
      <c r="J293" s="200"/>
      <c r="K293" s="200"/>
      <c r="L293" s="200"/>
      <c r="M293" s="200"/>
      <c r="N293" s="200"/>
      <c r="O293" s="200"/>
      <c r="P293" s="200"/>
    </row>
    <row r="294" spans="1:27">
      <c r="A294" s="200"/>
      <c r="B294" s="200"/>
      <c r="C294" s="200"/>
      <c r="D294" s="200"/>
      <c r="E294" s="200"/>
      <c r="F294" s="200"/>
      <c r="G294" s="200"/>
      <c r="H294" s="200"/>
      <c r="I294" s="200"/>
      <c r="J294" s="200"/>
      <c r="K294" s="200"/>
      <c r="L294" s="200"/>
      <c r="M294" s="200"/>
      <c r="N294" s="200"/>
      <c r="O294" s="200"/>
      <c r="P294" s="200"/>
    </row>
    <row r="295" spans="1:27">
      <c r="A295" s="200"/>
      <c r="B295" s="200"/>
      <c r="C295" s="200"/>
      <c r="D295" s="200"/>
      <c r="E295" s="200"/>
      <c r="F295" s="200"/>
      <c r="G295" s="200"/>
      <c r="H295" s="200"/>
      <c r="I295" s="200"/>
      <c r="J295" s="200"/>
      <c r="K295" s="200"/>
      <c r="L295" s="200"/>
      <c r="M295" s="200"/>
      <c r="N295" s="200"/>
      <c r="O295" s="200"/>
      <c r="P295" s="200"/>
    </row>
    <row r="296" spans="1:27">
      <c r="A296" s="200"/>
      <c r="B296" s="200"/>
      <c r="C296" s="200"/>
      <c r="D296" s="200"/>
      <c r="E296" s="200"/>
      <c r="F296" s="200"/>
      <c r="G296" s="200"/>
      <c r="H296" s="200"/>
      <c r="I296" s="200"/>
      <c r="J296" s="200"/>
      <c r="K296" s="200"/>
      <c r="L296" s="200"/>
      <c r="M296" s="200"/>
      <c r="N296" s="200"/>
      <c r="O296" s="200"/>
      <c r="P296" s="200"/>
    </row>
    <row r="297" spans="1:27">
      <c r="A297" s="200"/>
      <c r="B297" s="200"/>
      <c r="C297" s="200"/>
      <c r="D297" s="200"/>
      <c r="E297" s="200"/>
      <c r="F297" s="200"/>
      <c r="G297" s="200"/>
      <c r="H297" s="200"/>
      <c r="I297" s="200"/>
      <c r="J297" s="200"/>
      <c r="K297" s="200"/>
      <c r="L297" s="200"/>
      <c r="M297" s="200"/>
      <c r="N297" s="200"/>
      <c r="O297" s="200"/>
      <c r="P297" s="200"/>
    </row>
    <row r="298" spans="1:27">
      <c r="A298" s="200"/>
      <c r="B298" s="200"/>
      <c r="C298" s="200"/>
      <c r="D298" s="200"/>
      <c r="E298" s="200"/>
      <c r="F298" s="200"/>
      <c r="G298" s="200"/>
      <c r="H298" s="200"/>
      <c r="I298" s="200"/>
      <c r="J298" s="200"/>
      <c r="K298" s="200"/>
      <c r="L298" s="200"/>
      <c r="M298" s="200"/>
      <c r="N298" s="200"/>
      <c r="O298" s="200"/>
      <c r="P298" s="200"/>
    </row>
    <row r="299" spans="1:27">
      <c r="A299" s="200"/>
      <c r="B299" s="200"/>
      <c r="C299" s="200"/>
      <c r="D299" s="200"/>
      <c r="E299" s="200"/>
      <c r="F299" s="200"/>
      <c r="G299" s="200"/>
      <c r="H299" s="200"/>
      <c r="I299" s="200"/>
      <c r="J299" s="200"/>
      <c r="K299" s="200"/>
      <c r="L299" s="200"/>
      <c r="M299" s="200"/>
      <c r="N299" s="200"/>
      <c r="O299" s="200"/>
      <c r="P299" s="200"/>
    </row>
    <row r="300" spans="1:27">
      <c r="A300" s="200"/>
      <c r="B300" s="200"/>
      <c r="C300" s="200"/>
      <c r="D300" s="200"/>
      <c r="E300" s="200"/>
      <c r="F300" s="200"/>
      <c r="G300" s="200"/>
      <c r="H300" s="200"/>
      <c r="I300" s="200"/>
      <c r="J300" s="200"/>
      <c r="K300" s="200"/>
      <c r="L300" s="200"/>
      <c r="M300" s="200"/>
      <c r="N300" s="200"/>
      <c r="O300" s="200"/>
      <c r="P300" s="200"/>
    </row>
    <row r="301" spans="1:27">
      <c r="A301" s="200"/>
      <c r="B301" s="200"/>
      <c r="C301" s="200"/>
      <c r="D301" s="200"/>
      <c r="E301" s="200"/>
      <c r="F301" s="200"/>
      <c r="G301" s="200"/>
      <c r="H301" s="200"/>
      <c r="I301" s="200"/>
      <c r="J301" s="200"/>
      <c r="K301" s="200"/>
      <c r="L301" s="200"/>
      <c r="M301" s="200"/>
      <c r="N301" s="200"/>
      <c r="O301" s="200"/>
      <c r="P301" s="200"/>
      <c r="Q301" s="250"/>
      <c r="R301" s="250"/>
      <c r="S301" s="250"/>
      <c r="T301" s="250"/>
      <c r="U301" s="250"/>
      <c r="V301" s="250"/>
      <c r="W301" s="250"/>
      <c r="X301" s="250"/>
      <c r="Y301" s="250"/>
      <c r="Z301" s="250"/>
      <c r="AA301" s="200"/>
    </row>
    <row r="302" spans="1:27">
      <c r="A302" s="200"/>
      <c r="B302" s="200"/>
      <c r="C302" s="200"/>
      <c r="D302" s="200"/>
      <c r="E302" s="200"/>
      <c r="F302" s="200"/>
      <c r="G302" s="200"/>
      <c r="H302" s="200"/>
      <c r="I302" s="200"/>
      <c r="J302" s="200"/>
      <c r="K302" s="200"/>
      <c r="L302" s="200"/>
      <c r="M302" s="200"/>
      <c r="N302" s="200"/>
      <c r="O302" s="200"/>
      <c r="P302" s="200"/>
      <c r="Q302" s="250"/>
      <c r="R302" s="250"/>
      <c r="S302" s="250"/>
      <c r="T302" s="200"/>
      <c r="U302" s="200"/>
      <c r="V302" s="250"/>
      <c r="W302" s="250"/>
      <c r="X302" s="250"/>
      <c r="Y302" s="250"/>
      <c r="Z302" s="250"/>
      <c r="AA302" s="200"/>
    </row>
    <row r="303" spans="1:27">
      <c r="A303" s="200"/>
      <c r="B303" s="200"/>
      <c r="C303" s="200"/>
      <c r="D303" s="200"/>
      <c r="E303" s="200"/>
      <c r="F303" s="200"/>
      <c r="G303" s="200"/>
      <c r="H303" s="200"/>
      <c r="I303" s="200"/>
      <c r="J303" s="200"/>
      <c r="K303" s="200"/>
      <c r="L303" s="200"/>
      <c r="M303" s="200"/>
      <c r="N303" s="200"/>
      <c r="O303" s="200"/>
      <c r="P303" s="200"/>
      <c r="Q303" s="200"/>
      <c r="R303" s="251"/>
      <c r="S303" s="200"/>
      <c r="T303" s="200"/>
      <c r="U303" s="200"/>
      <c r="V303" s="200"/>
      <c r="W303" s="200"/>
      <c r="X303" s="200"/>
      <c r="Y303" s="200"/>
      <c r="Z303" s="200"/>
      <c r="AA303" s="200"/>
    </row>
    <row r="304" spans="1:27">
      <c r="A304" s="200"/>
      <c r="B304" s="200"/>
      <c r="C304" s="200"/>
      <c r="D304" s="200"/>
      <c r="E304" s="200"/>
      <c r="F304" s="200"/>
      <c r="G304" s="200"/>
      <c r="H304" s="200"/>
      <c r="I304" s="200"/>
      <c r="J304" s="200"/>
      <c r="K304" s="200"/>
      <c r="L304" s="200"/>
      <c r="M304" s="200"/>
      <c r="N304" s="200"/>
      <c r="O304" s="200"/>
      <c r="P304" s="200"/>
      <c r="Q304" s="200"/>
      <c r="R304" s="200"/>
      <c r="S304" s="200"/>
      <c r="T304" s="200"/>
      <c r="U304" s="200"/>
      <c r="V304" s="200"/>
      <c r="W304" s="200"/>
      <c r="X304" s="200"/>
      <c r="Y304" s="200"/>
      <c r="Z304" s="200"/>
      <c r="AA304" s="200"/>
    </row>
    <row r="305" spans="1:27">
      <c r="A305" s="200"/>
      <c r="B305" s="200"/>
      <c r="C305" s="200"/>
      <c r="D305" s="200"/>
      <c r="E305" s="200"/>
      <c r="F305" s="200"/>
      <c r="G305" s="200"/>
      <c r="H305" s="200"/>
      <c r="I305" s="200"/>
      <c r="J305" s="200"/>
      <c r="K305" s="200"/>
      <c r="L305" s="200"/>
      <c r="M305" s="200"/>
      <c r="N305" s="200"/>
      <c r="O305" s="200"/>
      <c r="P305" s="200"/>
      <c r="Q305" s="200"/>
      <c r="R305" s="200"/>
      <c r="S305" s="200"/>
      <c r="T305" s="200"/>
      <c r="U305" s="200"/>
      <c r="V305" s="200"/>
      <c r="W305" s="200"/>
      <c r="X305" s="200"/>
      <c r="Y305" s="200"/>
      <c r="Z305" s="200"/>
      <c r="AA305" s="200"/>
    </row>
    <row r="306" spans="1:27">
      <c r="A306" s="200"/>
      <c r="B306" s="200"/>
      <c r="C306" s="200"/>
      <c r="D306" s="200"/>
      <c r="E306" s="200"/>
      <c r="F306" s="200"/>
      <c r="G306" s="200"/>
      <c r="H306" s="200"/>
      <c r="I306" s="200"/>
      <c r="J306" s="200"/>
      <c r="K306" s="200"/>
      <c r="L306" s="200"/>
      <c r="M306" s="200"/>
      <c r="N306" s="200"/>
      <c r="O306" s="200"/>
      <c r="P306" s="200"/>
      <c r="Q306" s="200"/>
      <c r="R306" s="200"/>
      <c r="S306" s="200"/>
      <c r="T306" s="200"/>
      <c r="U306" s="200"/>
      <c r="V306" s="200"/>
      <c r="W306" s="200"/>
      <c r="X306" s="200"/>
      <c r="Y306" s="200"/>
      <c r="Z306" s="200"/>
      <c r="AA306" s="200"/>
    </row>
    <row r="307" spans="1:27">
      <c r="A307" s="200"/>
      <c r="B307" s="200"/>
      <c r="C307" s="200"/>
      <c r="D307" s="200"/>
      <c r="E307" s="200"/>
      <c r="F307" s="200"/>
      <c r="G307" s="200"/>
      <c r="H307" s="200"/>
      <c r="I307" s="200"/>
      <c r="J307" s="200"/>
      <c r="K307" s="200"/>
      <c r="L307" s="200"/>
      <c r="M307" s="200"/>
      <c r="N307" s="200"/>
      <c r="O307" s="200"/>
      <c r="P307" s="200"/>
      <c r="Q307" s="200"/>
      <c r="R307" s="200"/>
      <c r="S307" s="200"/>
      <c r="T307" s="200"/>
      <c r="U307" s="200"/>
      <c r="V307" s="200"/>
      <c r="W307" s="200"/>
      <c r="X307" s="200"/>
      <c r="Y307" s="200"/>
      <c r="Z307" s="250"/>
      <c r="AA307" s="200"/>
    </row>
    <row r="308" spans="1:27">
      <c r="A308" s="200"/>
      <c r="B308" s="200"/>
      <c r="C308" s="200"/>
      <c r="D308" s="200"/>
      <c r="E308" s="200"/>
      <c r="F308" s="200"/>
      <c r="G308" s="200"/>
      <c r="H308" s="200"/>
      <c r="I308" s="200"/>
      <c r="J308" s="200"/>
      <c r="K308" s="200"/>
      <c r="L308" s="200"/>
      <c r="M308" s="200"/>
      <c r="N308" s="200"/>
      <c r="O308" s="200"/>
      <c r="P308" s="200"/>
      <c r="Q308" s="200"/>
      <c r="R308" s="251"/>
      <c r="S308" s="200"/>
      <c r="T308" s="200"/>
      <c r="U308" s="200"/>
      <c r="V308" s="200"/>
      <c r="W308" s="200"/>
      <c r="X308" s="200"/>
      <c r="Y308" s="200"/>
      <c r="Z308" s="200"/>
      <c r="AA308" s="200"/>
    </row>
    <row r="309" spans="1:27">
      <c r="A309" s="200"/>
      <c r="B309" s="200"/>
      <c r="C309" s="200"/>
      <c r="D309" s="200"/>
      <c r="E309" s="200"/>
      <c r="F309" s="200"/>
      <c r="G309" s="200"/>
      <c r="H309" s="200"/>
      <c r="I309" s="200"/>
      <c r="J309" s="200"/>
      <c r="K309" s="200"/>
      <c r="L309" s="200"/>
      <c r="M309" s="200"/>
      <c r="N309" s="200"/>
      <c r="O309" s="200"/>
      <c r="P309" s="200"/>
      <c r="Q309" s="200"/>
      <c r="R309" s="200"/>
      <c r="S309" s="200"/>
      <c r="T309" s="200"/>
      <c r="U309" s="200"/>
      <c r="V309" s="200"/>
      <c r="W309" s="200"/>
      <c r="X309" s="200"/>
      <c r="Y309" s="200"/>
      <c r="Z309" s="200"/>
      <c r="AA309" s="200"/>
    </row>
    <row r="310" spans="1:27">
      <c r="A310" s="200"/>
      <c r="B310" s="200"/>
      <c r="C310" s="200"/>
      <c r="D310" s="200"/>
      <c r="E310" s="200"/>
      <c r="F310" s="200"/>
      <c r="G310" s="200"/>
      <c r="H310" s="200"/>
      <c r="I310" s="200"/>
      <c r="J310" s="200"/>
      <c r="K310" s="200"/>
      <c r="L310" s="200"/>
      <c r="M310" s="200"/>
      <c r="N310" s="200"/>
      <c r="O310" s="200"/>
      <c r="P310" s="200"/>
      <c r="Q310" s="200"/>
      <c r="R310" s="200"/>
      <c r="S310" s="200"/>
      <c r="T310" s="200"/>
      <c r="U310" s="200"/>
      <c r="V310" s="200"/>
      <c r="W310" s="200"/>
      <c r="X310" s="200"/>
      <c r="Y310" s="200"/>
      <c r="Z310" s="200"/>
      <c r="AA310" s="200"/>
    </row>
    <row r="311" spans="1:27">
      <c r="A311" s="200"/>
      <c r="B311" s="200"/>
      <c r="C311" s="200"/>
      <c r="D311" s="200"/>
      <c r="E311" s="200"/>
      <c r="F311" s="200"/>
      <c r="G311" s="200"/>
      <c r="H311" s="200"/>
      <c r="I311" s="200"/>
      <c r="J311" s="200"/>
      <c r="K311" s="200"/>
      <c r="L311" s="200"/>
      <c r="M311" s="200"/>
      <c r="N311" s="200"/>
      <c r="O311" s="200"/>
      <c r="P311" s="200"/>
      <c r="Q311" s="200"/>
      <c r="R311" s="200"/>
      <c r="S311" s="200"/>
      <c r="T311" s="200"/>
      <c r="U311" s="200"/>
      <c r="V311" s="200"/>
      <c r="W311" s="200"/>
      <c r="X311" s="200"/>
      <c r="Y311" s="200"/>
      <c r="Z311" s="200"/>
      <c r="AA311" s="200"/>
    </row>
    <row r="312" spans="1:27">
      <c r="A312" s="200"/>
      <c r="B312" s="200"/>
      <c r="C312" s="200"/>
      <c r="D312" s="200"/>
      <c r="E312" s="200"/>
      <c r="F312" s="200"/>
      <c r="G312" s="200"/>
      <c r="H312" s="200"/>
      <c r="I312" s="200"/>
      <c r="J312" s="200"/>
      <c r="K312" s="200"/>
      <c r="L312" s="200"/>
      <c r="M312" s="200"/>
      <c r="N312" s="200"/>
      <c r="O312" s="200"/>
      <c r="P312" s="200"/>
      <c r="Q312" s="200"/>
      <c r="R312" s="200"/>
      <c r="S312" s="200"/>
      <c r="T312" s="200"/>
      <c r="U312" s="200"/>
      <c r="V312" s="200"/>
      <c r="W312" s="200"/>
      <c r="X312" s="200"/>
      <c r="Y312" s="200"/>
      <c r="Z312" s="200"/>
      <c r="AA312" s="200"/>
    </row>
    <row r="313" spans="1:27">
      <c r="A313" s="200"/>
      <c r="B313" s="200"/>
      <c r="C313" s="200"/>
      <c r="D313" s="200"/>
      <c r="E313" s="200"/>
      <c r="F313" s="200"/>
      <c r="G313" s="200"/>
      <c r="H313" s="200"/>
      <c r="I313" s="200"/>
      <c r="J313" s="200"/>
      <c r="K313" s="200"/>
      <c r="L313" s="200"/>
      <c r="M313" s="200"/>
      <c r="N313" s="200"/>
      <c r="O313" s="200"/>
      <c r="P313" s="200"/>
      <c r="Q313" s="200"/>
      <c r="R313" s="200"/>
      <c r="S313" s="200"/>
      <c r="T313" s="200"/>
      <c r="U313" s="200"/>
      <c r="V313" s="200"/>
      <c r="W313" s="200"/>
      <c r="X313" s="200"/>
      <c r="Y313" s="200"/>
      <c r="Z313" s="200"/>
      <c r="AA313" s="200"/>
    </row>
    <row r="314" spans="1:27">
      <c r="A314" s="200"/>
      <c r="B314" s="200"/>
      <c r="C314" s="200"/>
      <c r="D314" s="200"/>
      <c r="E314" s="200"/>
      <c r="F314" s="200"/>
      <c r="G314" s="200"/>
      <c r="H314" s="200"/>
      <c r="I314" s="200"/>
      <c r="J314" s="200"/>
      <c r="K314" s="200"/>
      <c r="L314" s="200"/>
      <c r="M314" s="200"/>
      <c r="N314" s="200"/>
      <c r="O314" s="200"/>
      <c r="P314" s="200"/>
      <c r="Q314" s="200"/>
      <c r="R314" s="200"/>
      <c r="S314" s="200"/>
      <c r="T314" s="200"/>
      <c r="U314" s="200"/>
      <c r="V314" s="200"/>
      <c r="W314" s="200"/>
      <c r="X314" s="200"/>
      <c r="Y314" s="200"/>
      <c r="Z314" s="250"/>
      <c r="AA314" s="200"/>
    </row>
    <row r="315" spans="1:27">
      <c r="A315" s="200"/>
      <c r="B315" s="200"/>
      <c r="C315" s="200"/>
      <c r="D315" s="200"/>
      <c r="E315" s="200"/>
      <c r="F315" s="200"/>
      <c r="G315" s="200"/>
      <c r="H315" s="200"/>
      <c r="I315" s="200"/>
      <c r="J315" s="200"/>
      <c r="K315" s="200"/>
      <c r="L315" s="200"/>
      <c r="M315" s="200"/>
      <c r="N315" s="200"/>
      <c r="O315" s="200"/>
      <c r="P315" s="200"/>
      <c r="Q315" s="200"/>
      <c r="R315" s="251"/>
      <c r="S315" s="200"/>
      <c r="T315" s="200"/>
      <c r="U315" s="200"/>
      <c r="V315" s="200"/>
      <c r="W315" s="200"/>
      <c r="X315" s="200"/>
      <c r="Y315" s="200"/>
      <c r="Z315" s="200"/>
      <c r="AA315" s="200"/>
    </row>
    <row r="316" spans="1:27">
      <c r="A316" s="200"/>
      <c r="B316" s="200"/>
      <c r="C316" s="200"/>
      <c r="D316" s="200"/>
      <c r="E316" s="200"/>
      <c r="F316" s="200"/>
      <c r="G316" s="200"/>
      <c r="H316" s="200"/>
      <c r="I316" s="200"/>
      <c r="J316" s="200"/>
      <c r="K316" s="200"/>
      <c r="L316" s="200"/>
      <c r="M316" s="200"/>
      <c r="N316" s="200"/>
      <c r="O316" s="200"/>
      <c r="P316" s="200"/>
      <c r="Q316" s="200"/>
      <c r="R316" s="200"/>
      <c r="S316" s="200"/>
      <c r="T316" s="200"/>
      <c r="U316" s="200"/>
      <c r="V316" s="200"/>
      <c r="W316" s="200"/>
      <c r="X316" s="200"/>
      <c r="Y316" s="200"/>
      <c r="Z316" s="200"/>
      <c r="AA316" s="200"/>
    </row>
    <row r="317" spans="1:27">
      <c r="A317" s="200"/>
      <c r="B317" s="200"/>
      <c r="C317" s="200"/>
      <c r="D317" s="200"/>
      <c r="E317" s="200"/>
      <c r="F317" s="200"/>
      <c r="G317" s="200"/>
      <c r="H317" s="200"/>
      <c r="I317" s="200"/>
      <c r="J317" s="200"/>
      <c r="K317" s="200"/>
      <c r="L317" s="200"/>
      <c r="M317" s="200"/>
      <c r="N317" s="200"/>
      <c r="O317" s="200"/>
      <c r="P317" s="200"/>
      <c r="Q317" s="200"/>
      <c r="R317" s="200"/>
      <c r="S317" s="200"/>
      <c r="T317" s="200"/>
      <c r="U317" s="200"/>
      <c r="V317" s="200"/>
      <c r="W317" s="200"/>
      <c r="X317" s="200"/>
      <c r="Y317" s="200"/>
      <c r="Z317" s="200"/>
      <c r="AA317" s="200"/>
    </row>
    <row r="318" spans="1:27">
      <c r="A318" s="200"/>
      <c r="B318" s="200"/>
      <c r="C318" s="200"/>
      <c r="D318" s="200"/>
      <c r="E318" s="200"/>
      <c r="F318" s="200"/>
      <c r="G318" s="200"/>
      <c r="H318" s="200"/>
      <c r="I318" s="200"/>
      <c r="J318" s="200"/>
      <c r="K318" s="200"/>
      <c r="L318" s="200"/>
      <c r="M318" s="200"/>
      <c r="N318" s="200"/>
      <c r="O318" s="200"/>
      <c r="P318" s="200"/>
      <c r="Q318" s="200"/>
      <c r="R318" s="200"/>
      <c r="S318" s="200"/>
      <c r="T318" s="200"/>
      <c r="U318" s="200"/>
      <c r="V318" s="200"/>
      <c r="W318" s="200"/>
      <c r="X318" s="200"/>
      <c r="Y318" s="200"/>
      <c r="Z318" s="200"/>
      <c r="AA318" s="200"/>
    </row>
    <row r="319" spans="1:27">
      <c r="A319" s="200"/>
      <c r="B319" s="200"/>
      <c r="C319" s="200"/>
      <c r="D319" s="200"/>
      <c r="E319" s="200"/>
      <c r="F319" s="200"/>
      <c r="G319" s="200"/>
      <c r="H319" s="200"/>
      <c r="I319" s="200"/>
      <c r="J319" s="200"/>
      <c r="K319" s="200"/>
      <c r="L319" s="200"/>
      <c r="M319" s="200"/>
      <c r="N319" s="200"/>
      <c r="O319" s="200"/>
      <c r="P319" s="200"/>
      <c r="Q319" s="244"/>
      <c r="R319" s="244"/>
      <c r="S319" s="244"/>
      <c r="T319" s="244"/>
      <c r="U319" s="244"/>
      <c r="V319" s="244"/>
      <c r="W319" s="244"/>
      <c r="X319" s="244"/>
      <c r="Y319" s="244"/>
      <c r="Z319" s="252"/>
      <c r="AA319" s="200"/>
    </row>
    <row r="320" spans="1:27">
      <c r="A320" s="200"/>
      <c r="B320" s="200"/>
      <c r="C320" s="200"/>
      <c r="D320" s="200"/>
      <c r="E320" s="200"/>
      <c r="F320" s="200"/>
      <c r="G320" s="200"/>
      <c r="H320" s="200"/>
      <c r="I320" s="200"/>
      <c r="J320" s="200"/>
      <c r="K320" s="200"/>
      <c r="L320" s="200"/>
      <c r="M320" s="200"/>
      <c r="N320" s="200"/>
      <c r="O320" s="200"/>
      <c r="P320" s="200"/>
      <c r="Q320" s="200"/>
      <c r="R320" s="200"/>
      <c r="S320" s="200"/>
      <c r="T320" s="200"/>
      <c r="U320" s="200"/>
      <c r="V320" s="200"/>
      <c r="W320" s="200"/>
      <c r="X320" s="200"/>
      <c r="Y320" s="200"/>
      <c r="Z320" s="200"/>
      <c r="AA320" s="200"/>
    </row>
    <row r="321" spans="1:27">
      <c r="A321" s="200"/>
      <c r="B321" s="200"/>
      <c r="C321" s="200"/>
      <c r="D321" s="200"/>
      <c r="E321" s="200"/>
      <c r="F321" s="200"/>
      <c r="G321" s="200"/>
      <c r="H321" s="200"/>
      <c r="I321" s="200"/>
      <c r="J321" s="200"/>
      <c r="K321" s="200"/>
      <c r="L321" s="200"/>
      <c r="M321" s="200"/>
      <c r="N321" s="200"/>
      <c r="O321" s="200"/>
      <c r="P321" s="200"/>
      <c r="Q321" s="250"/>
      <c r="R321" s="250"/>
      <c r="S321" s="250"/>
      <c r="T321" s="250"/>
      <c r="U321" s="250"/>
      <c r="V321" s="250"/>
      <c r="W321" s="250"/>
      <c r="X321" s="250"/>
      <c r="Y321" s="200"/>
      <c r="Z321" s="200"/>
      <c r="AA321" s="200"/>
    </row>
    <row r="322" spans="1:27">
      <c r="A322" s="200"/>
      <c r="B322" s="200"/>
      <c r="C322" s="200"/>
      <c r="D322" s="200"/>
      <c r="E322" s="200"/>
      <c r="F322" s="200"/>
      <c r="G322" s="200"/>
      <c r="H322" s="200"/>
      <c r="I322" s="200"/>
      <c r="J322" s="200"/>
      <c r="K322" s="200"/>
      <c r="L322" s="200"/>
      <c r="M322" s="200"/>
      <c r="N322" s="200"/>
      <c r="O322" s="200"/>
      <c r="P322" s="200"/>
      <c r="Q322" s="250"/>
      <c r="R322" s="250"/>
      <c r="S322" s="250"/>
      <c r="T322" s="250"/>
      <c r="U322" s="250"/>
      <c r="V322" s="250"/>
      <c r="W322" s="250"/>
      <c r="X322" s="250"/>
      <c r="Y322" s="250"/>
      <c r="Z322" s="250"/>
      <c r="AA322" s="200"/>
    </row>
    <row r="323" spans="1:27">
      <c r="A323" s="200"/>
      <c r="B323" s="200"/>
      <c r="C323" s="200"/>
      <c r="D323" s="200"/>
      <c r="E323" s="200"/>
      <c r="F323" s="200"/>
      <c r="G323" s="200"/>
      <c r="H323" s="200"/>
      <c r="I323" s="200"/>
      <c r="J323" s="200"/>
      <c r="K323" s="200"/>
      <c r="L323" s="200"/>
      <c r="M323" s="200"/>
      <c r="N323" s="200"/>
      <c r="O323" s="200"/>
      <c r="P323" s="200"/>
      <c r="Q323" s="250"/>
      <c r="R323" s="250"/>
      <c r="S323" s="250"/>
      <c r="T323" s="200"/>
      <c r="U323" s="200"/>
      <c r="V323" s="250"/>
      <c r="W323" s="250"/>
      <c r="X323" s="250"/>
      <c r="Y323" s="250"/>
      <c r="Z323" s="250"/>
      <c r="AA323" s="200"/>
    </row>
    <row r="324" spans="1:27">
      <c r="A324" s="200"/>
      <c r="B324" s="200"/>
      <c r="C324" s="200"/>
      <c r="D324" s="200"/>
      <c r="E324" s="200"/>
      <c r="F324" s="200"/>
      <c r="G324" s="200"/>
      <c r="H324" s="200"/>
      <c r="I324" s="200"/>
      <c r="J324" s="200"/>
      <c r="K324" s="200"/>
      <c r="L324" s="200"/>
      <c r="M324" s="200"/>
      <c r="N324" s="200"/>
      <c r="O324" s="200"/>
      <c r="P324" s="200"/>
      <c r="Q324" s="200"/>
      <c r="R324" s="251"/>
      <c r="S324" s="200"/>
      <c r="T324" s="200"/>
      <c r="U324" s="200"/>
      <c r="V324" s="200"/>
      <c r="W324" s="200"/>
      <c r="X324" s="200"/>
      <c r="Y324" s="200"/>
      <c r="Z324" s="200"/>
      <c r="AA324" s="200"/>
    </row>
    <row r="325" spans="1:27">
      <c r="A325" s="200"/>
      <c r="B325" s="200"/>
      <c r="C325" s="200"/>
      <c r="D325" s="200"/>
      <c r="E325" s="200"/>
      <c r="F325" s="200"/>
      <c r="G325" s="200"/>
      <c r="H325" s="200"/>
      <c r="I325" s="200"/>
      <c r="J325" s="200"/>
      <c r="K325" s="200"/>
      <c r="L325" s="200"/>
      <c r="M325" s="200"/>
      <c r="N325" s="200"/>
      <c r="O325" s="200"/>
      <c r="P325" s="200"/>
      <c r="Q325" s="200"/>
      <c r="R325" s="200"/>
      <c r="S325" s="200"/>
      <c r="T325" s="200"/>
      <c r="U325" s="200"/>
      <c r="V325" s="200"/>
      <c r="W325" s="200"/>
      <c r="X325" s="200"/>
      <c r="Y325" s="200"/>
      <c r="Z325" s="200"/>
      <c r="AA325" s="200"/>
    </row>
    <row r="326" spans="1:27">
      <c r="A326" s="200"/>
      <c r="B326" s="200"/>
      <c r="C326" s="200"/>
      <c r="D326" s="200"/>
      <c r="E326" s="200"/>
      <c r="F326" s="200"/>
      <c r="G326" s="200"/>
      <c r="H326" s="200"/>
      <c r="I326" s="200"/>
      <c r="J326" s="200"/>
      <c r="K326" s="200"/>
      <c r="L326" s="200"/>
      <c r="M326" s="200"/>
      <c r="N326" s="200"/>
      <c r="O326" s="200"/>
      <c r="P326" s="200"/>
      <c r="Q326" s="200"/>
      <c r="R326" s="200"/>
      <c r="S326" s="200"/>
      <c r="T326" s="200"/>
      <c r="U326" s="200"/>
      <c r="V326" s="200"/>
      <c r="W326" s="200"/>
      <c r="X326" s="200"/>
      <c r="Y326" s="200"/>
      <c r="Z326" s="200"/>
      <c r="AA326" s="200"/>
    </row>
    <row r="327" spans="1:27">
      <c r="A327" s="200"/>
      <c r="B327" s="200"/>
      <c r="C327" s="200"/>
      <c r="D327" s="200"/>
      <c r="E327" s="200"/>
      <c r="F327" s="200"/>
      <c r="G327" s="200"/>
      <c r="H327" s="200"/>
      <c r="I327" s="200"/>
      <c r="J327" s="200"/>
      <c r="K327" s="200"/>
      <c r="L327" s="200"/>
      <c r="M327" s="200"/>
      <c r="N327" s="200"/>
      <c r="O327" s="200"/>
      <c r="P327" s="200"/>
      <c r="Q327" s="200"/>
      <c r="R327" s="200"/>
      <c r="S327" s="200"/>
      <c r="T327" s="200"/>
      <c r="U327" s="200"/>
      <c r="V327" s="200"/>
      <c r="W327" s="200"/>
      <c r="X327" s="200"/>
      <c r="Y327" s="200"/>
      <c r="Z327" s="250"/>
      <c r="AA327" s="200"/>
    </row>
    <row r="328" spans="1:27">
      <c r="A328" s="200"/>
      <c r="B328" s="200"/>
      <c r="C328" s="200"/>
      <c r="D328" s="200"/>
      <c r="E328" s="200"/>
      <c r="F328" s="200"/>
      <c r="G328" s="200"/>
      <c r="H328" s="200"/>
      <c r="I328" s="200"/>
      <c r="J328" s="200"/>
      <c r="K328" s="200"/>
      <c r="L328" s="200"/>
      <c r="M328" s="200"/>
      <c r="N328" s="200"/>
      <c r="O328" s="200"/>
      <c r="P328" s="200"/>
      <c r="Q328" s="200"/>
      <c r="R328" s="251"/>
      <c r="S328" s="200"/>
      <c r="T328" s="200"/>
      <c r="U328" s="200"/>
      <c r="V328" s="200"/>
      <c r="W328" s="200"/>
      <c r="X328" s="200"/>
      <c r="Y328" s="200"/>
      <c r="Z328" s="200"/>
      <c r="AA328" s="200"/>
    </row>
    <row r="329" spans="1:27">
      <c r="A329" s="200"/>
      <c r="B329" s="200"/>
      <c r="C329" s="200"/>
      <c r="D329" s="200"/>
      <c r="E329" s="200"/>
      <c r="F329" s="200"/>
      <c r="G329" s="200"/>
      <c r="H329" s="200"/>
      <c r="I329" s="200"/>
      <c r="J329" s="200"/>
      <c r="K329" s="200"/>
      <c r="L329" s="200"/>
      <c r="M329" s="200"/>
      <c r="N329" s="200"/>
      <c r="O329" s="200"/>
      <c r="P329" s="200"/>
      <c r="Q329" s="200"/>
      <c r="R329" s="200"/>
      <c r="S329" s="200"/>
      <c r="T329" s="200"/>
      <c r="U329" s="200"/>
      <c r="V329" s="200"/>
      <c r="W329" s="200"/>
      <c r="X329" s="200"/>
      <c r="Y329" s="200"/>
      <c r="Z329" s="200"/>
      <c r="AA329" s="200"/>
    </row>
    <row r="330" spans="1:27">
      <c r="A330" s="200"/>
      <c r="B330" s="200"/>
      <c r="C330" s="200"/>
      <c r="D330" s="200"/>
      <c r="E330" s="200"/>
      <c r="F330" s="200"/>
      <c r="G330" s="200"/>
      <c r="H330" s="200"/>
      <c r="I330" s="200"/>
      <c r="J330" s="200"/>
      <c r="K330" s="200"/>
      <c r="L330" s="200"/>
      <c r="M330" s="200"/>
      <c r="N330" s="200"/>
      <c r="O330" s="200"/>
      <c r="P330" s="200"/>
      <c r="Q330" s="200"/>
      <c r="R330" s="200"/>
      <c r="S330" s="200"/>
      <c r="T330" s="200"/>
      <c r="U330" s="200"/>
      <c r="V330" s="200"/>
      <c r="W330" s="200"/>
      <c r="X330" s="200"/>
      <c r="Y330" s="200"/>
      <c r="Z330" s="200"/>
      <c r="AA330" s="200"/>
    </row>
    <row r="331" spans="1:27">
      <c r="A331" s="200"/>
      <c r="B331" s="200"/>
      <c r="C331" s="200"/>
      <c r="D331" s="200"/>
      <c r="E331" s="200"/>
      <c r="F331" s="200"/>
      <c r="G331" s="200"/>
      <c r="H331" s="200"/>
      <c r="I331" s="200"/>
      <c r="J331" s="200"/>
      <c r="K331" s="200"/>
      <c r="L331" s="200"/>
      <c r="M331" s="200"/>
      <c r="N331" s="200"/>
      <c r="O331" s="200"/>
      <c r="P331" s="200"/>
      <c r="Q331" s="200"/>
      <c r="R331" s="200"/>
      <c r="S331" s="200"/>
      <c r="T331" s="200"/>
      <c r="U331" s="200"/>
      <c r="V331" s="200"/>
      <c r="W331" s="200"/>
      <c r="X331" s="200"/>
      <c r="Y331" s="200"/>
      <c r="Z331" s="200"/>
      <c r="AA331" s="200"/>
    </row>
    <row r="332" spans="1:27">
      <c r="A332" s="200"/>
      <c r="B332" s="200"/>
      <c r="C332" s="200"/>
      <c r="D332" s="200"/>
      <c r="E332" s="200"/>
      <c r="F332" s="200"/>
      <c r="G332" s="200"/>
      <c r="H332" s="200"/>
      <c r="I332" s="200"/>
      <c r="J332" s="200"/>
      <c r="K332" s="200"/>
      <c r="L332" s="200"/>
      <c r="M332" s="200"/>
      <c r="N332" s="200"/>
      <c r="O332" s="200"/>
      <c r="P332" s="200"/>
      <c r="Q332" s="200"/>
      <c r="R332" s="200"/>
      <c r="S332" s="200"/>
      <c r="T332" s="200"/>
      <c r="U332" s="200"/>
      <c r="V332" s="200"/>
      <c r="W332" s="200"/>
      <c r="X332" s="200"/>
      <c r="Y332" s="200"/>
      <c r="Z332" s="250"/>
      <c r="AA332" s="200"/>
    </row>
    <row r="333" spans="1:27">
      <c r="A333" s="200"/>
      <c r="B333" s="200"/>
      <c r="C333" s="200"/>
      <c r="D333" s="200"/>
      <c r="E333" s="200"/>
      <c r="F333" s="200"/>
      <c r="G333" s="200"/>
      <c r="H333" s="200"/>
      <c r="I333" s="200"/>
      <c r="J333" s="200"/>
      <c r="K333" s="200"/>
      <c r="L333" s="200"/>
      <c r="M333" s="200"/>
      <c r="N333" s="200"/>
      <c r="O333" s="200"/>
      <c r="P333" s="200"/>
      <c r="Q333" s="200"/>
      <c r="R333" s="251"/>
      <c r="S333" s="200"/>
      <c r="T333" s="200"/>
      <c r="U333" s="200"/>
      <c r="V333" s="200"/>
      <c r="W333" s="200"/>
      <c r="X333" s="200"/>
      <c r="Y333" s="200"/>
      <c r="Z333" s="200"/>
      <c r="AA333" s="200"/>
    </row>
    <row r="334" spans="1:27">
      <c r="A334" s="200"/>
      <c r="B334" s="200"/>
      <c r="C334" s="200"/>
      <c r="D334" s="200"/>
      <c r="E334" s="200"/>
      <c r="F334" s="200"/>
      <c r="G334" s="200"/>
      <c r="H334" s="200"/>
      <c r="I334" s="200"/>
      <c r="J334" s="200"/>
      <c r="K334" s="200"/>
      <c r="L334" s="200"/>
      <c r="M334" s="200"/>
      <c r="N334" s="200"/>
      <c r="O334" s="200"/>
      <c r="P334" s="200"/>
      <c r="Q334" s="200"/>
      <c r="R334" s="200"/>
      <c r="S334" s="200"/>
      <c r="T334" s="200"/>
      <c r="U334" s="200"/>
      <c r="V334" s="200"/>
      <c r="W334" s="200"/>
      <c r="X334" s="200"/>
      <c r="Y334" s="200"/>
      <c r="Z334" s="200"/>
      <c r="AA334" s="200"/>
    </row>
    <row r="335" spans="1:27">
      <c r="A335" s="200"/>
      <c r="B335" s="200"/>
      <c r="C335" s="200"/>
      <c r="D335" s="200"/>
      <c r="E335" s="200"/>
      <c r="F335" s="200"/>
      <c r="G335" s="200"/>
      <c r="H335" s="200"/>
      <c r="I335" s="200"/>
      <c r="J335" s="200"/>
      <c r="K335" s="200"/>
      <c r="L335" s="200"/>
      <c r="M335" s="200"/>
      <c r="N335" s="200"/>
      <c r="O335" s="200"/>
      <c r="P335" s="200"/>
      <c r="Q335" s="244"/>
      <c r="R335" s="244"/>
      <c r="S335" s="244"/>
      <c r="T335" s="244"/>
      <c r="U335" s="244"/>
      <c r="V335" s="244"/>
      <c r="W335" s="244"/>
      <c r="X335" s="244"/>
      <c r="Y335" s="244"/>
      <c r="Z335" s="252"/>
      <c r="AA335" s="200"/>
    </row>
    <row r="336" spans="1:27">
      <c r="A336" s="200"/>
      <c r="B336" s="200"/>
      <c r="C336" s="200"/>
      <c r="D336" s="200"/>
      <c r="E336" s="200"/>
      <c r="F336" s="200"/>
      <c r="G336" s="200"/>
      <c r="H336" s="200"/>
      <c r="I336" s="200"/>
      <c r="J336" s="200"/>
      <c r="K336" s="200"/>
      <c r="L336" s="200"/>
      <c r="M336" s="200"/>
      <c r="N336" s="200"/>
      <c r="O336" s="200"/>
      <c r="P336" s="200"/>
      <c r="Q336" s="200"/>
      <c r="R336" s="200"/>
      <c r="S336" s="200"/>
      <c r="T336" s="200"/>
      <c r="U336" s="200"/>
      <c r="V336" s="200"/>
      <c r="W336" s="200"/>
      <c r="X336" s="200"/>
      <c r="Y336" s="200"/>
      <c r="Z336" s="200"/>
      <c r="AA336" s="200"/>
    </row>
    <row r="337" spans="1:27">
      <c r="A337" s="200"/>
      <c r="B337" s="200"/>
      <c r="C337" s="200"/>
      <c r="D337" s="200"/>
      <c r="E337" s="200"/>
      <c r="F337" s="200"/>
      <c r="G337" s="200"/>
      <c r="H337" s="200"/>
      <c r="I337" s="200"/>
      <c r="J337" s="200"/>
      <c r="K337" s="200"/>
      <c r="L337" s="200"/>
      <c r="M337" s="200"/>
      <c r="N337" s="200"/>
      <c r="O337" s="200"/>
      <c r="P337" s="200"/>
      <c r="Q337" s="250"/>
      <c r="R337" s="250"/>
      <c r="S337" s="250"/>
      <c r="T337" s="250"/>
      <c r="U337" s="250"/>
      <c r="V337" s="250"/>
      <c r="W337" s="250"/>
      <c r="X337" s="250"/>
      <c r="Y337" s="200"/>
      <c r="Z337" s="200"/>
      <c r="AA337" s="200"/>
    </row>
    <row r="338" spans="1:27">
      <c r="A338" s="200"/>
      <c r="B338" s="200"/>
      <c r="C338" s="200"/>
      <c r="D338" s="200"/>
      <c r="E338" s="200"/>
      <c r="F338" s="200"/>
      <c r="G338" s="200"/>
      <c r="H338" s="200"/>
      <c r="I338" s="200"/>
      <c r="J338" s="200"/>
      <c r="K338" s="200"/>
      <c r="L338" s="200"/>
      <c r="M338" s="200"/>
      <c r="N338" s="200"/>
      <c r="O338" s="200"/>
      <c r="P338" s="200"/>
      <c r="Q338" s="250"/>
      <c r="R338" s="250"/>
      <c r="S338" s="250"/>
      <c r="T338" s="250"/>
      <c r="U338" s="250"/>
      <c r="V338" s="250"/>
      <c r="W338" s="250"/>
      <c r="X338" s="250"/>
      <c r="Y338" s="250"/>
      <c r="Z338" s="250"/>
      <c r="AA338" s="200"/>
    </row>
    <row r="339" spans="1:27">
      <c r="A339" s="200"/>
      <c r="B339" s="200"/>
      <c r="C339" s="200"/>
      <c r="D339" s="200"/>
      <c r="E339" s="200"/>
      <c r="F339" s="200"/>
      <c r="G339" s="200"/>
      <c r="H339" s="200"/>
      <c r="I339" s="200"/>
      <c r="J339" s="200"/>
      <c r="K339" s="200"/>
      <c r="L339" s="200"/>
      <c r="M339" s="200"/>
      <c r="N339" s="200"/>
      <c r="O339" s="200"/>
      <c r="P339" s="200"/>
      <c r="Q339" s="250"/>
      <c r="R339" s="250"/>
      <c r="S339" s="250"/>
      <c r="T339" s="200"/>
      <c r="U339" s="200"/>
      <c r="V339" s="250"/>
      <c r="W339" s="250"/>
      <c r="X339" s="250"/>
      <c r="Y339" s="250"/>
      <c r="Z339" s="250"/>
      <c r="AA339" s="200"/>
    </row>
    <row r="340" spans="1:27">
      <c r="A340" s="200"/>
      <c r="B340" s="200"/>
      <c r="C340" s="200"/>
      <c r="D340" s="200"/>
      <c r="E340" s="200"/>
      <c r="F340" s="200"/>
      <c r="G340" s="200"/>
      <c r="H340" s="200"/>
      <c r="I340" s="200"/>
      <c r="J340" s="200"/>
      <c r="K340" s="200"/>
      <c r="L340" s="200"/>
      <c r="M340" s="200"/>
      <c r="N340" s="200"/>
      <c r="O340" s="200"/>
      <c r="P340" s="200"/>
      <c r="Q340" s="200"/>
      <c r="R340" s="251"/>
      <c r="S340" s="200"/>
      <c r="T340" s="200"/>
      <c r="U340" s="200"/>
      <c r="V340" s="200"/>
      <c r="W340" s="200"/>
      <c r="X340" s="200"/>
      <c r="Y340" s="200"/>
      <c r="Z340" s="200"/>
      <c r="AA340" s="200"/>
    </row>
    <row r="341" spans="1:27">
      <c r="A341" s="200"/>
      <c r="B341" s="200"/>
      <c r="C341" s="200"/>
      <c r="D341" s="200"/>
      <c r="E341" s="200"/>
      <c r="F341" s="200"/>
      <c r="G341" s="200"/>
      <c r="H341" s="200"/>
      <c r="I341" s="200"/>
      <c r="J341" s="200"/>
      <c r="K341" s="200"/>
      <c r="L341" s="200"/>
      <c r="M341" s="200"/>
      <c r="N341" s="200"/>
      <c r="O341" s="200"/>
      <c r="P341" s="200"/>
      <c r="Q341" s="200"/>
      <c r="R341" s="200"/>
      <c r="S341" s="200"/>
      <c r="T341" s="200"/>
      <c r="U341" s="200"/>
      <c r="V341" s="200"/>
      <c r="W341" s="200"/>
      <c r="X341" s="200"/>
      <c r="Y341" s="200"/>
      <c r="Z341" s="200"/>
      <c r="AA341" s="200"/>
    </row>
    <row r="342" spans="1:27">
      <c r="A342" s="200"/>
      <c r="B342" s="200"/>
      <c r="C342" s="200"/>
      <c r="D342" s="200"/>
      <c r="E342" s="200"/>
      <c r="F342" s="200"/>
      <c r="G342" s="200"/>
      <c r="H342" s="200"/>
      <c r="I342" s="200"/>
      <c r="J342" s="200"/>
      <c r="K342" s="200"/>
      <c r="L342" s="200"/>
      <c r="M342" s="200"/>
      <c r="N342" s="200"/>
      <c r="O342" s="200"/>
      <c r="P342" s="200"/>
      <c r="Q342" s="200"/>
      <c r="R342" s="200"/>
      <c r="S342" s="200"/>
      <c r="T342" s="200"/>
      <c r="U342" s="200"/>
      <c r="V342" s="200"/>
      <c r="W342" s="200"/>
      <c r="X342" s="200"/>
      <c r="Y342" s="200"/>
      <c r="Z342" s="200"/>
      <c r="AA342" s="200"/>
    </row>
    <row r="343" spans="1:27">
      <c r="A343" s="200"/>
      <c r="B343" s="200"/>
      <c r="C343" s="200"/>
      <c r="D343" s="200"/>
      <c r="E343" s="200"/>
      <c r="F343" s="200"/>
      <c r="G343" s="200"/>
      <c r="H343" s="200"/>
      <c r="I343" s="200"/>
      <c r="J343" s="200"/>
      <c r="K343" s="200"/>
      <c r="L343" s="200"/>
      <c r="M343" s="200"/>
      <c r="N343" s="200"/>
      <c r="O343" s="200"/>
      <c r="P343" s="200"/>
      <c r="Q343" s="200"/>
      <c r="R343" s="200"/>
      <c r="S343" s="200"/>
      <c r="T343" s="200"/>
      <c r="U343" s="200"/>
      <c r="V343" s="200"/>
      <c r="W343" s="200"/>
      <c r="X343" s="200"/>
      <c r="Y343" s="200"/>
      <c r="Z343" s="250"/>
      <c r="AA343" s="200"/>
    </row>
    <row r="344" spans="1:27">
      <c r="A344" s="200"/>
      <c r="B344" s="200"/>
      <c r="C344" s="200"/>
      <c r="D344" s="200"/>
      <c r="E344" s="200"/>
      <c r="F344" s="200"/>
      <c r="G344" s="200"/>
      <c r="H344" s="200"/>
      <c r="I344" s="200"/>
      <c r="J344" s="200"/>
      <c r="K344" s="200"/>
      <c r="L344" s="200"/>
      <c r="M344" s="200"/>
      <c r="N344" s="200"/>
      <c r="O344" s="200"/>
      <c r="P344" s="200"/>
      <c r="Q344" s="200"/>
      <c r="R344" s="251"/>
      <c r="S344" s="200"/>
      <c r="T344" s="200"/>
      <c r="U344" s="200"/>
      <c r="V344" s="200"/>
      <c r="W344" s="200"/>
      <c r="X344" s="200"/>
      <c r="Y344" s="200"/>
      <c r="Z344" s="200"/>
      <c r="AA344" s="200"/>
    </row>
    <row r="345" spans="1:27">
      <c r="A345" s="200"/>
      <c r="B345" s="200"/>
      <c r="C345" s="200"/>
      <c r="D345" s="200"/>
      <c r="E345" s="200"/>
      <c r="F345" s="200"/>
      <c r="G345" s="200"/>
      <c r="H345" s="200"/>
      <c r="I345" s="200"/>
      <c r="J345" s="200"/>
      <c r="K345" s="200"/>
      <c r="L345" s="200"/>
      <c r="M345" s="200"/>
      <c r="N345" s="200"/>
      <c r="O345" s="200"/>
      <c r="P345" s="200"/>
      <c r="Q345" s="200"/>
      <c r="R345" s="200"/>
      <c r="S345" s="200"/>
      <c r="T345" s="200"/>
      <c r="U345" s="200"/>
      <c r="V345" s="200"/>
      <c r="W345" s="200"/>
      <c r="X345" s="200"/>
      <c r="Y345" s="200"/>
      <c r="Z345" s="200"/>
      <c r="AA345" s="200"/>
    </row>
    <row r="346" spans="1:27">
      <c r="A346" s="200"/>
      <c r="B346" s="200"/>
      <c r="C346" s="200"/>
      <c r="D346" s="200"/>
      <c r="E346" s="200"/>
      <c r="F346" s="200"/>
      <c r="G346" s="200"/>
      <c r="H346" s="200"/>
      <c r="I346" s="200"/>
      <c r="J346" s="200"/>
      <c r="K346" s="200"/>
      <c r="L346" s="200"/>
      <c r="M346" s="200"/>
      <c r="N346" s="200"/>
      <c r="O346" s="200"/>
      <c r="P346" s="200"/>
      <c r="Q346" s="200"/>
      <c r="R346" s="200"/>
      <c r="S346" s="200"/>
      <c r="T346" s="200"/>
      <c r="U346" s="200"/>
      <c r="V346" s="200"/>
      <c r="W346" s="200"/>
      <c r="X346" s="200"/>
      <c r="Y346" s="200"/>
      <c r="Z346" s="200"/>
      <c r="AA346" s="200"/>
    </row>
    <row r="347" spans="1:27">
      <c r="A347" s="200"/>
      <c r="B347" s="200"/>
      <c r="C347" s="200"/>
      <c r="D347" s="200"/>
      <c r="E347" s="200"/>
      <c r="F347" s="200"/>
      <c r="G347" s="200"/>
      <c r="H347" s="200"/>
      <c r="I347" s="200"/>
      <c r="J347" s="200"/>
      <c r="K347" s="200"/>
      <c r="L347" s="200"/>
      <c r="M347" s="200"/>
      <c r="N347" s="200"/>
      <c r="O347" s="200"/>
      <c r="P347" s="200"/>
      <c r="Q347" s="200"/>
      <c r="R347" s="200"/>
      <c r="S347" s="200"/>
      <c r="T347" s="200"/>
      <c r="U347" s="200"/>
      <c r="V347" s="200"/>
      <c r="W347" s="200"/>
      <c r="X347" s="200"/>
      <c r="Y347" s="200"/>
      <c r="Z347" s="250"/>
      <c r="AA347" s="200"/>
    </row>
    <row r="348" spans="1:27">
      <c r="A348" s="200"/>
      <c r="B348" s="200"/>
      <c r="C348" s="200"/>
      <c r="D348" s="200"/>
      <c r="E348" s="200"/>
      <c r="F348" s="200"/>
      <c r="G348" s="200"/>
      <c r="H348" s="200"/>
      <c r="I348" s="200"/>
      <c r="J348" s="200"/>
      <c r="K348" s="200"/>
      <c r="L348" s="200"/>
      <c r="M348" s="200"/>
      <c r="N348" s="200"/>
      <c r="O348" s="200"/>
      <c r="P348" s="200"/>
      <c r="Q348" s="200"/>
      <c r="R348" s="251"/>
      <c r="S348" s="200"/>
      <c r="T348" s="200"/>
      <c r="U348" s="200"/>
      <c r="V348" s="200"/>
      <c r="W348" s="200"/>
      <c r="X348" s="200"/>
      <c r="Y348" s="200"/>
      <c r="Z348" s="200"/>
      <c r="AA348" s="200"/>
    </row>
    <row r="349" spans="1:27">
      <c r="A349" s="200"/>
      <c r="B349" s="200"/>
      <c r="C349" s="200"/>
      <c r="D349" s="200"/>
      <c r="E349" s="200"/>
      <c r="F349" s="200"/>
      <c r="G349" s="200"/>
      <c r="H349" s="200"/>
      <c r="I349" s="200"/>
      <c r="J349" s="200"/>
      <c r="K349" s="200"/>
      <c r="L349" s="200"/>
      <c r="M349" s="200"/>
      <c r="N349" s="200"/>
      <c r="O349" s="200"/>
      <c r="P349" s="200"/>
      <c r="Q349" s="200"/>
      <c r="R349" s="200"/>
      <c r="S349" s="200"/>
      <c r="T349" s="200"/>
      <c r="U349" s="200"/>
      <c r="V349" s="200"/>
      <c r="W349" s="200"/>
      <c r="X349" s="200"/>
      <c r="Y349" s="200"/>
      <c r="Z349" s="200"/>
      <c r="AA349" s="200"/>
    </row>
    <row r="350" spans="1:27">
      <c r="A350" s="200"/>
      <c r="B350" s="200"/>
      <c r="C350" s="200"/>
      <c r="D350" s="200"/>
      <c r="E350" s="200"/>
      <c r="F350" s="200"/>
      <c r="G350" s="200"/>
      <c r="H350" s="200"/>
      <c r="I350" s="200"/>
      <c r="J350" s="200"/>
      <c r="K350" s="200"/>
      <c r="L350" s="200"/>
      <c r="M350" s="200"/>
      <c r="N350" s="200"/>
      <c r="O350" s="200"/>
      <c r="P350" s="200"/>
      <c r="Q350" s="200"/>
      <c r="R350" s="200"/>
      <c r="S350" s="200"/>
      <c r="T350" s="200"/>
      <c r="U350" s="200"/>
      <c r="V350" s="200"/>
      <c r="W350" s="200"/>
      <c r="X350" s="200"/>
      <c r="Y350" s="248"/>
      <c r="Z350" s="200"/>
      <c r="AA350" s="200"/>
    </row>
    <row r="351" spans="1:27">
      <c r="A351" s="200"/>
      <c r="B351" s="200"/>
      <c r="C351" s="200"/>
      <c r="D351" s="200"/>
      <c r="E351" s="200"/>
      <c r="F351" s="200"/>
      <c r="G351" s="200"/>
      <c r="H351" s="200"/>
      <c r="I351" s="200"/>
      <c r="J351" s="200"/>
      <c r="K351" s="200"/>
      <c r="L351" s="200"/>
      <c r="M351" s="200"/>
      <c r="N351" s="200"/>
      <c r="O351" s="200"/>
      <c r="P351" s="200"/>
      <c r="Q351" s="244"/>
      <c r="R351" s="244"/>
      <c r="S351" s="244"/>
      <c r="T351" s="244"/>
      <c r="U351" s="244"/>
      <c r="V351" s="244"/>
      <c r="W351" s="244"/>
      <c r="X351" s="244"/>
      <c r="Y351" s="244"/>
      <c r="Z351" s="252"/>
      <c r="AA351" s="200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647D3-99E2-4676-B30C-945C4E45ECB2}">
  <sheetPr>
    <tabColor rgb="FFFFFF00"/>
  </sheetPr>
  <dimension ref="A2:Q165"/>
  <sheetViews>
    <sheetView topLeftCell="A62" workbookViewId="0">
      <selection activeCell="G60" sqref="G60"/>
    </sheetView>
  </sheetViews>
  <sheetFormatPr defaultRowHeight="15"/>
  <cols>
    <col min="4" max="4" width="19.5703125" customWidth="1"/>
    <col min="5" max="13" width="9.140625" bestFit="1" customWidth="1"/>
  </cols>
  <sheetData>
    <row r="2" spans="1:17">
      <c r="L2" s="25" t="s">
        <v>88</v>
      </c>
      <c r="M2" s="25">
        <f>'Datos iniciales '!D16</f>
        <v>120</v>
      </c>
    </row>
    <row r="3" spans="1:17">
      <c r="D3" s="4"/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25"/>
    </row>
    <row r="4" spans="1:17">
      <c r="A4" s="1"/>
      <c r="E4" s="10"/>
      <c r="F4" s="23"/>
      <c r="G4" s="21"/>
      <c r="H4" s="23"/>
      <c r="J4">
        <f>SUM(I5:I91)</f>
        <v>111698.94519675543</v>
      </c>
      <c r="L4" s="25" t="s">
        <v>1368</v>
      </c>
      <c r="M4" s="25">
        <f>J4/M2</f>
        <v>930.82454330629525</v>
      </c>
    </row>
    <row r="5" spans="1:17">
      <c r="A5" s="1" t="s">
        <v>755</v>
      </c>
      <c r="E5" s="10"/>
      <c r="G5" s="21"/>
    </row>
    <row r="6" spans="1:17">
      <c r="A6" t="s">
        <v>757</v>
      </c>
      <c r="E6" s="10">
        <v>0.28999999999999998</v>
      </c>
      <c r="F6" s="63" t="s">
        <v>133</v>
      </c>
      <c r="G6" s="21">
        <f>E6*$M$2</f>
        <v>34.799999999999997</v>
      </c>
      <c r="H6" s="12">
        <f>'APUS ARQUITECTURA'!J5</f>
        <v>135.824337926792</v>
      </c>
      <c r="I6">
        <f>G6*H6</f>
        <v>4726.6869598523608</v>
      </c>
    </row>
    <row r="7" spans="1:17">
      <c r="A7" t="s">
        <v>759</v>
      </c>
      <c r="E7" s="10">
        <v>0.23</v>
      </c>
      <c r="F7" s="63" t="s">
        <v>133</v>
      </c>
      <c r="G7" s="21">
        <f>E7*$M$2</f>
        <v>27.6</v>
      </c>
      <c r="H7" s="12">
        <f>'APUS ARQUITECTURA'!J32</f>
        <v>150.06569999999999</v>
      </c>
      <c r="I7">
        <f>G7*H7</f>
        <v>4141.8133200000002</v>
      </c>
    </row>
    <row r="8" spans="1:17">
      <c r="A8" t="s">
        <v>761</v>
      </c>
      <c r="E8" s="10">
        <v>0.08</v>
      </c>
      <c r="F8" s="63" t="s">
        <v>133</v>
      </c>
      <c r="G8" s="21">
        <f>E8*$M$2</f>
        <v>9.6</v>
      </c>
      <c r="H8" s="12">
        <f>'APUS ARQUITECTURA'!J50</f>
        <v>141.06679428571431</v>
      </c>
      <c r="I8">
        <f>G8*H8</f>
        <v>1354.2412251428573</v>
      </c>
    </row>
    <row r="9" spans="1:17" ht="15" customHeight="1">
      <c r="A9" t="s">
        <v>1386</v>
      </c>
      <c r="E9">
        <v>0</v>
      </c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Q9" s="12"/>
    </row>
    <row r="10" spans="1:17">
      <c r="A10" t="s">
        <v>765</v>
      </c>
      <c r="E10">
        <v>0</v>
      </c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M10" s="12"/>
    </row>
    <row r="11" spans="1:17">
      <c r="A11" s="20" t="s">
        <v>766</v>
      </c>
      <c r="E11" s="22"/>
      <c r="G11" s="21"/>
      <c r="H11" s="12"/>
    </row>
    <row r="12" spans="1:17">
      <c r="A12" s="1" t="s">
        <v>768</v>
      </c>
      <c r="G12" s="21"/>
      <c r="H12" s="12"/>
    </row>
    <row r="13" spans="1:17">
      <c r="A13" t="s">
        <v>770</v>
      </c>
      <c r="E13" s="12">
        <v>0.99</v>
      </c>
      <c r="F13" t="s">
        <v>133</v>
      </c>
      <c r="G13" s="21">
        <f>E13*$M$2</f>
        <v>118.8</v>
      </c>
      <c r="H13" s="12">
        <f>'APUS ARQUITECTURA'!J127</f>
        <v>27.122965133333338</v>
      </c>
      <c r="I13">
        <f>G13*H13</f>
        <v>3222.2082578400004</v>
      </c>
    </row>
    <row r="14" spans="1:17">
      <c r="A14" t="s">
        <v>772</v>
      </c>
      <c r="E14" s="12">
        <v>0.46</v>
      </c>
      <c r="F14" t="s">
        <v>133</v>
      </c>
      <c r="G14" s="21">
        <f>E14*$M$2</f>
        <v>55.2</v>
      </c>
      <c r="H14" s="12">
        <f>'APUS ARQUITECTURA'!J148</f>
        <v>35.840962666666663</v>
      </c>
      <c r="I14">
        <f>G14*H14</f>
        <v>1978.4211392</v>
      </c>
    </row>
    <row r="15" spans="1:17">
      <c r="A15" s="28" t="s">
        <v>774</v>
      </c>
      <c r="E15" s="12"/>
      <c r="G15" s="21"/>
      <c r="H15" s="12"/>
    </row>
    <row r="16" spans="1:17">
      <c r="A16" t="s">
        <v>776</v>
      </c>
      <c r="E16" s="12">
        <v>0</v>
      </c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</row>
    <row r="17" spans="1:9" ht="15" customHeight="1">
      <c r="A17" s="28" t="s">
        <v>778</v>
      </c>
      <c r="D17" s="10"/>
      <c r="F17" s="12"/>
      <c r="G17" s="21"/>
    </row>
    <row r="18" spans="1:9">
      <c r="A18" t="s">
        <v>780</v>
      </c>
      <c r="E18" s="10">
        <v>1</v>
      </c>
      <c r="F18" t="s">
        <v>203</v>
      </c>
      <c r="G18" s="21">
        <f>E18*$M$2</f>
        <v>120</v>
      </c>
      <c r="H18" s="12">
        <f>'APUS ARQUITECTURA'!J188</f>
        <v>212.28215533333332</v>
      </c>
      <c r="I18">
        <f>G18*H18</f>
        <v>25473.858639999999</v>
      </c>
    </row>
    <row r="19" spans="1:9">
      <c r="A19" t="s">
        <v>782</v>
      </c>
      <c r="E19">
        <v>0</v>
      </c>
      <c r="F19" t="s">
        <v>203</v>
      </c>
      <c r="G19" s="21">
        <f>E19*$M$2</f>
        <v>0</v>
      </c>
      <c r="H19" s="12">
        <f>'APUS ARQUITECTURA'!J212</f>
        <v>62.663358000000002</v>
      </c>
      <c r="I19">
        <f>G19*H19</f>
        <v>0</v>
      </c>
    </row>
    <row r="20" spans="1:9">
      <c r="A20" s="1" t="s">
        <v>783</v>
      </c>
      <c r="E20" s="10"/>
      <c r="G20" s="21"/>
    </row>
    <row r="21" spans="1:9">
      <c r="A21" t="s">
        <v>785</v>
      </c>
      <c r="E21">
        <v>1</v>
      </c>
      <c r="F21" t="s">
        <v>133</v>
      </c>
      <c r="G21" s="21">
        <f>E21*$M$2</f>
        <v>120</v>
      </c>
      <c r="H21" s="12">
        <f>'APUS ARQUITECTURA'!J232</f>
        <v>40.184685790000003</v>
      </c>
      <c r="I21">
        <f>G21*H21</f>
        <v>4822.1622948000004</v>
      </c>
    </row>
    <row r="22" spans="1:9" ht="15" customHeight="1">
      <c r="A22" t="s">
        <v>787</v>
      </c>
      <c r="E22">
        <v>1</v>
      </c>
      <c r="F22" t="s">
        <v>133</v>
      </c>
      <c r="G22" s="21">
        <f>E22*$M$2</f>
        <v>120</v>
      </c>
      <c r="H22" s="12">
        <f>'APUS ARQUITECTURA'!J252</f>
        <v>206.77337199999999</v>
      </c>
      <c r="I22">
        <f>G22*H22</f>
        <v>24812.804639999998</v>
      </c>
    </row>
    <row r="23" spans="1:9">
      <c r="A23" t="s">
        <v>789</v>
      </c>
      <c r="E23">
        <v>0</v>
      </c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</row>
    <row r="24" spans="1:9" ht="15" customHeight="1">
      <c r="A24" t="s">
        <v>791</v>
      </c>
      <c r="E24">
        <v>0</v>
      </c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</row>
    <row r="25" spans="1:9" ht="15" customHeight="1">
      <c r="A25" t="s">
        <v>793</v>
      </c>
      <c r="E25">
        <v>0</v>
      </c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</row>
    <row r="26" spans="1:9" ht="15" customHeight="1">
      <c r="A26" t="s">
        <v>1387</v>
      </c>
      <c r="E26">
        <v>0</v>
      </c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</row>
    <row r="27" spans="1:9" ht="15" customHeight="1">
      <c r="A27" s="1" t="s">
        <v>796</v>
      </c>
      <c r="G27" s="21"/>
    </row>
    <row r="28" spans="1:9" ht="15" customHeight="1">
      <c r="A28" t="s">
        <v>798</v>
      </c>
      <c r="E28">
        <v>0.04</v>
      </c>
      <c r="F28" t="s">
        <v>144</v>
      </c>
      <c r="G28" s="21">
        <f>E28*$M$2</f>
        <v>4.8</v>
      </c>
      <c r="H28" s="12">
        <f>'APUS ARQUITECTURA'!J347</f>
        <v>20.569980000000001</v>
      </c>
      <c r="I28">
        <f>G28*H28</f>
        <v>98.735904000000005</v>
      </c>
    </row>
    <row r="29" spans="1:9" ht="15" customHeight="1">
      <c r="A29" t="s">
        <v>800</v>
      </c>
      <c r="E29">
        <v>0.41</v>
      </c>
      <c r="F29" t="s">
        <v>144</v>
      </c>
      <c r="G29" s="21">
        <f>E29*$M$2</f>
        <v>49.199999999999996</v>
      </c>
      <c r="H29" s="12">
        <f>'APUS ARQUITECTURA'!J364</f>
        <v>26.687480000000001</v>
      </c>
      <c r="I29">
        <f>G29*H29</f>
        <v>1313.0240159999998</v>
      </c>
    </row>
    <row r="30" spans="1:9" ht="15" customHeight="1">
      <c r="A30" t="s">
        <v>802</v>
      </c>
      <c r="E30">
        <v>0.39</v>
      </c>
      <c r="F30" t="s">
        <v>144</v>
      </c>
      <c r="G30" s="21">
        <f>E30*$M$2</f>
        <v>46.800000000000004</v>
      </c>
      <c r="H30" s="12">
        <f>'APUS ARQUITECTURA'!J383</f>
        <v>36.537022000000007</v>
      </c>
      <c r="I30">
        <f>G30*H30</f>
        <v>1709.9326296000006</v>
      </c>
    </row>
    <row r="31" spans="1:9" ht="15" customHeight="1">
      <c r="A31" t="s">
        <v>804</v>
      </c>
      <c r="E31">
        <v>0</v>
      </c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</row>
    <row r="32" spans="1:9" ht="15" customHeight="1">
      <c r="A32" t="s">
        <v>806</v>
      </c>
      <c r="E32">
        <v>0</v>
      </c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</row>
    <row r="33" spans="1:12" ht="15" customHeight="1">
      <c r="A33" t="s">
        <v>808</v>
      </c>
      <c r="E33">
        <v>0</v>
      </c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</row>
    <row r="34" spans="1:12" ht="15" customHeight="1">
      <c r="A34" s="1" t="s">
        <v>809</v>
      </c>
      <c r="G34" s="21"/>
      <c r="H34" s="12"/>
    </row>
    <row r="35" spans="1:12" ht="15" customHeight="1">
      <c r="A35" t="s">
        <v>811</v>
      </c>
      <c r="E35">
        <v>0.05</v>
      </c>
      <c r="F35" t="s">
        <v>133</v>
      </c>
      <c r="G35" s="21">
        <f>E35*$M$2</f>
        <v>6</v>
      </c>
      <c r="H35" s="12">
        <f>'APUS ARQUITECTURA'!J449</f>
        <v>560.62260000000003</v>
      </c>
      <c r="I35">
        <f>G35*H35</f>
        <v>3363.7356</v>
      </c>
    </row>
    <row r="36" spans="1:12">
      <c r="A36" t="s">
        <v>813</v>
      </c>
      <c r="E36">
        <v>0.11</v>
      </c>
      <c r="F36" t="s">
        <v>133</v>
      </c>
      <c r="G36" s="21">
        <f>E36*$M$2</f>
        <v>13.2</v>
      </c>
      <c r="H36" s="12">
        <f>'APUS ARQUITECTURA'!J456</f>
        <v>367.87083424090611</v>
      </c>
      <c r="I36">
        <f>G36*H36</f>
        <v>4855.8950119799601</v>
      </c>
    </row>
    <row r="37" spans="1:12" ht="15" customHeight="1">
      <c r="A37" t="s">
        <v>815</v>
      </c>
      <c r="E37">
        <v>0</v>
      </c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</row>
    <row r="38" spans="1:12">
      <c r="A38" t="s">
        <v>817</v>
      </c>
      <c r="E38">
        <v>0.13</v>
      </c>
      <c r="F38" t="s">
        <v>144</v>
      </c>
      <c r="G38" s="21">
        <f>E38*$M$2</f>
        <v>15.600000000000001</v>
      </c>
      <c r="H38" s="12">
        <f>'APUS ARQUITECTURA'!J470</f>
        <v>622.13</v>
      </c>
      <c r="I38">
        <f>G38*H38</f>
        <v>9705.228000000001</v>
      </c>
      <c r="K38" s="31"/>
    </row>
    <row r="39" spans="1:12" ht="15" customHeight="1">
      <c r="A39" t="s">
        <v>819</v>
      </c>
      <c r="E39">
        <v>0</v>
      </c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</row>
    <row r="40" spans="1:12">
      <c r="A40" s="1" t="s">
        <v>820</v>
      </c>
      <c r="G40" s="21"/>
      <c r="K40" s="31"/>
    </row>
    <row r="41" spans="1:12" ht="15" customHeight="1">
      <c r="A41" t="s">
        <v>822</v>
      </c>
      <c r="E41">
        <v>1.48</v>
      </c>
      <c r="F41" t="s">
        <v>133</v>
      </c>
      <c r="G41" s="21">
        <f>E41*$M$2</f>
        <v>177.6</v>
      </c>
      <c r="H41" s="12">
        <f>'APUS ARQUITECTURA'!J484</f>
        <v>15.625164000000002</v>
      </c>
      <c r="I41">
        <f>G41*H41</f>
        <v>2775.0291264000002</v>
      </c>
      <c r="K41" s="31"/>
    </row>
    <row r="42" spans="1:12">
      <c r="A42" t="s">
        <v>824</v>
      </c>
      <c r="B42" s="105"/>
      <c r="C42" s="105"/>
      <c r="D42" s="105"/>
      <c r="E42">
        <v>0.59</v>
      </c>
      <c r="F42" s="105" t="s">
        <v>133</v>
      </c>
      <c r="G42" s="21">
        <f>E42*$M$2</f>
        <v>70.8</v>
      </c>
      <c r="H42" s="12">
        <f>'APUS ARQUITECTURA'!J504</f>
        <v>15.956285454545455</v>
      </c>
      <c r="I42">
        <f>G42*H42</f>
        <v>1129.7050101818181</v>
      </c>
    </row>
    <row r="43" spans="1:12">
      <c r="A43" s="1" t="s">
        <v>981</v>
      </c>
      <c r="G43" s="21"/>
      <c r="H43" s="12"/>
      <c r="L43" s="12"/>
    </row>
    <row r="44" spans="1:12" ht="15" customHeight="1">
      <c r="A44" t="s">
        <v>984</v>
      </c>
      <c r="F44" t="s">
        <v>1388</v>
      </c>
      <c r="G44" s="21">
        <f t="shared" ref="G44:G47" si="0">E44*$M$2</f>
        <v>0</v>
      </c>
      <c r="H44" s="12">
        <f>'APUS SANITARIAS'!J5</f>
        <v>193.33333333333331</v>
      </c>
      <c r="I44">
        <f>G44*H44</f>
        <v>0</v>
      </c>
    </row>
    <row r="45" spans="1:12" ht="15" customHeight="1">
      <c r="A45" t="s">
        <v>986</v>
      </c>
      <c r="F45" t="s">
        <v>1388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</row>
    <row r="46" spans="1:12" ht="15" customHeight="1">
      <c r="A46" t="s">
        <v>1022</v>
      </c>
      <c r="F46" t="s">
        <v>1388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</row>
    <row r="47" spans="1:12" ht="15" customHeight="1">
      <c r="A47" t="s">
        <v>990</v>
      </c>
      <c r="F47" t="s">
        <v>149</v>
      </c>
      <c r="G47" s="21">
        <f>E47*$M$2</f>
        <v>0</v>
      </c>
      <c r="H47" s="12">
        <f>'APUS SANITARIAS'!J26</f>
        <v>750</v>
      </c>
      <c r="I47">
        <f>G47*H47</f>
        <v>0</v>
      </c>
    </row>
    <row r="48" spans="1:12">
      <c r="A48" t="s">
        <v>1389</v>
      </c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</row>
    <row r="49" spans="1:9">
      <c r="A49" t="s">
        <v>1390</v>
      </c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</row>
    <row r="50" spans="1:9">
      <c r="A50" t="s">
        <v>998</v>
      </c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</row>
    <row r="51" spans="1:9">
      <c r="A51" t="s">
        <v>999</v>
      </c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</row>
    <row r="52" spans="1:9">
      <c r="A52" t="s">
        <v>1003</v>
      </c>
      <c r="E52">
        <v>0.1</v>
      </c>
      <c r="F52" t="s">
        <v>214</v>
      </c>
      <c r="G52" s="21">
        <f>E52*$M$2</f>
        <v>12</v>
      </c>
      <c r="H52" s="12">
        <f>'APUS SANITARIAS'!J91</f>
        <v>158.14803320874657</v>
      </c>
      <c r="I52">
        <f>G52*H52</f>
        <v>1897.7763985049587</v>
      </c>
    </row>
    <row r="53" spans="1:9">
      <c r="A53" t="s">
        <v>1006</v>
      </c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</row>
    <row r="54" spans="1:9">
      <c r="A54" t="s">
        <v>1008</v>
      </c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</row>
    <row r="55" spans="1:9">
      <c r="A55" t="s">
        <v>1011</v>
      </c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</row>
    <row r="56" spans="1:9">
      <c r="A56" t="s">
        <v>1014</v>
      </c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</row>
    <row r="57" spans="1:9">
      <c r="A57" t="s">
        <v>1016</v>
      </c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</row>
    <row r="58" spans="1:9">
      <c r="A58" s="1" t="s">
        <v>1051</v>
      </c>
    </row>
    <row r="59" spans="1:9">
      <c r="A59" t="s">
        <v>1054</v>
      </c>
      <c r="E59">
        <v>0.24</v>
      </c>
      <c r="F59" t="s">
        <v>214</v>
      </c>
      <c r="G59" s="21">
        <f>E59*$M$2</f>
        <v>28.799999999999997</v>
      </c>
      <c r="H59" s="12">
        <f>'APUS ELECTRICAS'!J5</f>
        <v>121.04310400000001</v>
      </c>
      <c r="I59">
        <f>G59*H59</f>
        <v>3486.0413951999999</v>
      </c>
    </row>
    <row r="60" spans="1:9">
      <c r="A60" t="s">
        <v>1056</v>
      </c>
      <c r="E60">
        <v>0.24</v>
      </c>
      <c r="F60" t="s">
        <v>214</v>
      </c>
      <c r="G60" s="21">
        <f>E60*$M$2</f>
        <v>28.799999999999997</v>
      </c>
      <c r="H60" s="12">
        <f>'APUS ELECTRICAS'!J26</f>
        <v>163.73838000000001</v>
      </c>
      <c r="I60">
        <f>G60*H60</f>
        <v>4715.665344</v>
      </c>
    </row>
    <row r="61" spans="1:9">
      <c r="A61" t="s">
        <v>1058</v>
      </c>
      <c r="E61">
        <v>0.24</v>
      </c>
      <c r="F61" t="s">
        <v>214</v>
      </c>
      <c r="G61" s="21">
        <f>E61*$M$2</f>
        <v>28.799999999999997</v>
      </c>
      <c r="H61" s="12">
        <f>'APUS ELECTRICAS'!J48</f>
        <v>118.30689999999998</v>
      </c>
      <c r="I61">
        <f>G61*H61</f>
        <v>3407.2387199999994</v>
      </c>
    </row>
    <row r="62" spans="1:9">
      <c r="A62" t="s">
        <v>1060</v>
      </c>
      <c r="E62">
        <v>0</v>
      </c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</row>
    <row r="63" spans="1:9">
      <c r="A63" s="1" t="s">
        <v>1061</v>
      </c>
    </row>
    <row r="64" spans="1:9">
      <c r="A64" t="s">
        <v>1063</v>
      </c>
      <c r="F64" t="s">
        <v>149</v>
      </c>
      <c r="G64" s="21">
        <f>E64*$M$2</f>
        <v>0</v>
      </c>
      <c r="H64" s="12">
        <f>'APUS ELECTRICAS'!J74</f>
        <v>396.14503200000001</v>
      </c>
      <c r="I64">
        <f>G64*H64</f>
        <v>0</v>
      </c>
    </row>
    <row r="65" spans="1:11">
      <c r="A65" t="s">
        <v>1065</v>
      </c>
      <c r="F65" t="s">
        <v>149</v>
      </c>
      <c r="G65" s="21">
        <f>E65*$M$2</f>
        <v>0</v>
      </c>
      <c r="H65" s="12">
        <f>'APUS ELECTRICAS'!J88</f>
        <v>105.9636</v>
      </c>
      <c r="I65">
        <f>G65*H65</f>
        <v>0</v>
      </c>
    </row>
    <row r="66" spans="1:11">
      <c r="A66" t="s">
        <v>1067</v>
      </c>
      <c r="E66">
        <v>0.01</v>
      </c>
      <c r="F66" t="s">
        <v>149</v>
      </c>
      <c r="G66" s="21">
        <f>E66*$M$2</f>
        <v>1.2</v>
      </c>
      <c r="H66" s="12">
        <f>'APUS ELECTRICAS'!J106</f>
        <v>143.11000000000001</v>
      </c>
      <c r="I66">
        <f>G66*H66</f>
        <v>171.732</v>
      </c>
    </row>
    <row r="67" spans="1:11" ht="15" customHeight="1">
      <c r="A67" t="s">
        <v>1069</v>
      </c>
      <c r="E67">
        <v>0</v>
      </c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</row>
    <row r="68" spans="1:11" ht="15" customHeight="1">
      <c r="K68" s="12"/>
    </row>
    <row r="69" spans="1:11" ht="15" customHeight="1"/>
    <row r="70" spans="1:11" ht="15" customHeight="1">
      <c r="A70" s="1" t="s">
        <v>1101</v>
      </c>
      <c r="G70" s="21"/>
      <c r="H70" s="12"/>
    </row>
    <row r="71" spans="1:11" ht="15" customHeight="1">
      <c r="A71" s="20" t="s">
        <v>1102</v>
      </c>
    </row>
    <row r="72" spans="1:11" ht="15" customHeight="1">
      <c r="A72" t="s">
        <v>1104</v>
      </c>
      <c r="E72">
        <v>1.2969283276450512E-2</v>
      </c>
      <c r="F72" t="s">
        <v>149</v>
      </c>
      <c r="G72" s="21">
        <f>E72*$M$2</f>
        <v>1.5563139931740615</v>
      </c>
      <c r="H72" s="61">
        <f>'APUS COMUNICACIONES'!J5</f>
        <v>279.85309999999998</v>
      </c>
      <c r="I72">
        <f>G72*H72</f>
        <v>435.53929556313994</v>
      </c>
    </row>
    <row r="73" spans="1:11" ht="15" customHeight="1">
      <c r="A73" t="s">
        <v>1106</v>
      </c>
      <c r="E73">
        <v>6.8259385665529011E-3</v>
      </c>
      <c r="F73" t="s">
        <v>149</v>
      </c>
      <c r="G73" s="21">
        <f t="shared" ref="G73:G82" si="2">E73*$M$2</f>
        <v>0.8191126279863481</v>
      </c>
      <c r="H73" s="61">
        <f>'APUS COMUNICACIONES'!J23</f>
        <v>95.843099999999993</v>
      </c>
      <c r="I73">
        <f>G73*H73</f>
        <v>78.506293515358351</v>
      </c>
    </row>
    <row r="74" spans="1:11">
      <c r="A74" t="s">
        <v>1108</v>
      </c>
      <c r="E74">
        <v>1.1604095563139932E-2</v>
      </c>
      <c r="F74" t="s">
        <v>149</v>
      </c>
      <c r="G74" s="21">
        <f t="shared" si="2"/>
        <v>1.3924914675767919</v>
      </c>
      <c r="H74" s="61">
        <f>'APUS COMUNICACIONES'!J41</f>
        <v>95.843099999999993</v>
      </c>
      <c r="I74">
        <f>G74*H74</f>
        <v>133.4606989761092</v>
      </c>
    </row>
    <row r="75" spans="1:11">
      <c r="A75" t="s">
        <v>1110</v>
      </c>
      <c r="E75">
        <v>3.2491467576791807E-3</v>
      </c>
      <c r="F75" t="s">
        <v>144</v>
      </c>
      <c r="G75" s="21">
        <f t="shared" si="2"/>
        <v>0.38989761092150171</v>
      </c>
      <c r="H75" s="61">
        <f>'APUS COMUNICACIONES'!J59</f>
        <v>26.403334000000001</v>
      </c>
      <c r="I75">
        <f>G75*H75</f>
        <v>10.294596846962458</v>
      </c>
    </row>
    <row r="76" spans="1:11">
      <c r="A76" t="s">
        <v>1112</v>
      </c>
      <c r="E76">
        <v>6.778839590443686E-2</v>
      </c>
      <c r="F76" t="s">
        <v>144</v>
      </c>
      <c r="G76" s="21">
        <f t="shared" si="2"/>
        <v>8.1346075085324223</v>
      </c>
      <c r="H76" s="61">
        <f>'APUS COMUNICACIONES'!J77</f>
        <v>25.004334</v>
      </c>
      <c r="I76">
        <f>G76*H76</f>
        <v>203.40044310225252</v>
      </c>
    </row>
    <row r="77" spans="1:11">
      <c r="A77" t="s">
        <v>1114</v>
      </c>
      <c r="E77">
        <v>0.2742457337883959</v>
      </c>
      <c r="F77" t="s">
        <v>144</v>
      </c>
      <c r="G77" s="21">
        <f t="shared" si="2"/>
        <v>32.909488054607507</v>
      </c>
      <c r="H77" s="61">
        <f>'APUS COMUNICACIONES'!J95</f>
        <v>19.232787999999999</v>
      </c>
      <c r="I77">
        <f>G77*H77</f>
        <v>632.94120694279854</v>
      </c>
    </row>
    <row r="78" spans="1:11">
      <c r="A78" t="s">
        <v>1116</v>
      </c>
      <c r="E78">
        <v>1.6109215017064845E-3</v>
      </c>
      <c r="F78" t="s">
        <v>144</v>
      </c>
      <c r="G78" s="21">
        <f t="shared" si="2"/>
        <v>0.19331058020477815</v>
      </c>
      <c r="H78" s="61">
        <f>'APUS COMUNICACIONES'!J113</f>
        <v>16.371788000000002</v>
      </c>
      <c r="I78">
        <f>G78*H78</f>
        <v>3.1648398372696249</v>
      </c>
    </row>
    <row r="79" spans="1:11">
      <c r="A79" t="s">
        <v>1118</v>
      </c>
      <c r="E79">
        <v>6.8259385665529011E-3</v>
      </c>
      <c r="F79" t="s">
        <v>149</v>
      </c>
      <c r="G79" s="21">
        <f t="shared" si="2"/>
        <v>0.8191126279863481</v>
      </c>
      <c r="H79" s="61">
        <f>'APUS COMUNICACIONES'!J131</f>
        <v>62.670152000000002</v>
      </c>
      <c r="I79">
        <f>G79*H79</f>
        <v>51.333912901023893</v>
      </c>
    </row>
    <row r="80" spans="1:11">
      <c r="A80" t="s">
        <v>1120</v>
      </c>
      <c r="E80">
        <v>1.2969283276450512E-2</v>
      </c>
      <c r="F80" t="s">
        <v>149</v>
      </c>
      <c r="G80" s="21">
        <f t="shared" si="2"/>
        <v>1.5563139931740615</v>
      </c>
      <c r="H80" s="61">
        <f>'APUS COMUNICACIONES'!J146</f>
        <v>58.850152000000008</v>
      </c>
      <c r="I80">
        <f>G80*H80</f>
        <v>91.589315058020489</v>
      </c>
    </row>
    <row r="81" spans="1:9">
      <c r="A81" t="s">
        <v>1122</v>
      </c>
      <c r="E81">
        <v>2.0477815699658703E-3</v>
      </c>
      <c r="F81" t="s">
        <v>149</v>
      </c>
      <c r="G81" s="21">
        <f t="shared" si="2"/>
        <v>0.24573378839590443</v>
      </c>
      <c r="H81" s="61">
        <f>'APUS COMUNICACIONES'!J161</f>
        <v>57.88015200000001</v>
      </c>
      <c r="I81">
        <f>G81*H81</f>
        <v>14.223109023890787</v>
      </c>
    </row>
    <row r="82" spans="1:9">
      <c r="A82" t="s">
        <v>1124</v>
      </c>
      <c r="E82">
        <v>1.2627986348122866E-2</v>
      </c>
      <c r="F82" t="s">
        <v>144</v>
      </c>
      <c r="G82" s="21">
        <f t="shared" si="2"/>
        <v>1.5153583617747439</v>
      </c>
      <c r="H82" s="61">
        <f>'APUS COMUNICACIONES'!J176</f>
        <v>99.340459999999993</v>
      </c>
      <c r="I82">
        <f>G82*H82</f>
        <v>150.53639672354947</v>
      </c>
    </row>
    <row r="83" spans="1:9">
      <c r="A83" s="89" t="s">
        <v>1125</v>
      </c>
    </row>
    <row r="84" spans="1:9">
      <c r="A84" s="89" t="s">
        <v>1155</v>
      </c>
    </row>
    <row r="85" spans="1:9">
      <c r="A85" t="s">
        <v>1159</v>
      </c>
      <c r="E85">
        <v>2.7303754266211604E-3</v>
      </c>
      <c r="F85" t="s">
        <v>149</v>
      </c>
      <c r="G85" s="21">
        <f t="shared" ref="G85:G86" si="3">E85*$M$2</f>
        <v>0.32764505119453924</v>
      </c>
      <c r="H85" s="12">
        <f>'APUS COMUNICACIONES'!J422</f>
        <v>633.69880000000001</v>
      </c>
      <c r="I85">
        <f>G85*H85</f>
        <v>207.6282757679181</v>
      </c>
    </row>
    <row r="86" spans="1:9">
      <c r="A86" t="s">
        <v>1161</v>
      </c>
      <c r="E86">
        <v>2.7303754266211604E-3</v>
      </c>
      <c r="F86" t="s">
        <v>149</v>
      </c>
      <c r="G86" s="21">
        <f>E86*$M$2</f>
        <v>0.32764505119453924</v>
      </c>
      <c r="H86" s="12">
        <f>'APUS COMUNICACIONES'!J440</f>
        <v>520.83879999999999</v>
      </c>
      <c r="I86">
        <f>G86*H86</f>
        <v>170.65025529010239</v>
      </c>
    </row>
    <row r="87" spans="1:9">
      <c r="A87" s="89" t="s">
        <v>1391</v>
      </c>
    </row>
    <row r="88" spans="1:9">
      <c r="A88" t="s">
        <v>1166</v>
      </c>
      <c r="E88">
        <v>6.8259385665529011E-3</v>
      </c>
      <c r="F88" t="s">
        <v>149</v>
      </c>
      <c r="G88" s="21">
        <f t="shared" ref="G88" si="4">E88*$M$2</f>
        <v>0.8191126279863481</v>
      </c>
      <c r="H88" s="12">
        <f>'APUS COMUNICACIONES'!J469</f>
        <v>367.66879999999998</v>
      </c>
      <c r="I88">
        <f>G88*H88</f>
        <v>301.16215699658699</v>
      </c>
    </row>
    <row r="89" spans="1:9">
      <c r="A89" s="89" t="s">
        <v>1167</v>
      </c>
    </row>
    <row r="90" spans="1:9">
      <c r="A90" t="s">
        <v>1171</v>
      </c>
      <c r="E90">
        <v>2.7303754266211604E-3</v>
      </c>
      <c r="F90" t="s">
        <v>149</v>
      </c>
      <c r="G90" s="21">
        <f t="shared" ref="G90:G91" si="5">E90*$M$2</f>
        <v>0.32764505119453924</v>
      </c>
      <c r="H90" s="12">
        <f>'APUS COMUNICACIONES'!J497</f>
        <v>96.144090000000006</v>
      </c>
      <c r="I90">
        <f>G90*H90</f>
        <v>31.50113529010239</v>
      </c>
    </row>
    <row r="91" spans="1:9">
      <c r="A91" t="s">
        <v>1173</v>
      </c>
      <c r="E91">
        <v>2.7303754266211604E-3</v>
      </c>
      <c r="F91" t="s">
        <v>149</v>
      </c>
      <c r="G91" s="21">
        <f t="shared" si="5"/>
        <v>0.32764505119453924</v>
      </c>
      <c r="H91" s="12">
        <f>'APUS COMUNICACIONES'!J513</f>
        <v>64.330690000000004</v>
      </c>
      <c r="I91">
        <f>G91*H91</f>
        <v>21.077632218430036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CF7F-C809-4CC7-B7CD-DD99CB44701D}">
  <sheetPr>
    <tabColor rgb="FFFFFF00"/>
  </sheetPr>
  <dimension ref="A2:T165"/>
  <sheetViews>
    <sheetView topLeftCell="A8" workbookViewId="0">
      <selection activeCell="E3" sqref="E3:J3"/>
    </sheetView>
  </sheetViews>
  <sheetFormatPr defaultRowHeight="15"/>
  <cols>
    <col min="4" max="4" width="19.5703125" customWidth="1"/>
    <col min="5" max="5" width="9.28515625" bestFit="1" customWidth="1"/>
  </cols>
  <sheetData>
    <row r="2" spans="1:15">
      <c r="L2" s="25" t="s">
        <v>88</v>
      </c>
      <c r="M2" s="25">
        <f>'Datos iniciales '!D17</f>
        <v>160</v>
      </c>
    </row>
    <row r="3" spans="1:15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25"/>
    </row>
    <row r="4" spans="1:15">
      <c r="A4" s="1"/>
      <c r="E4" s="10"/>
      <c r="F4" s="23"/>
      <c r="G4" s="21"/>
      <c r="H4" s="23"/>
      <c r="J4">
        <f>SUM(I5:I91)</f>
        <v>200348.49816588993</v>
      </c>
      <c r="L4" s="25" t="s">
        <v>1368</v>
      </c>
      <c r="M4" s="25">
        <f>J4/M2</f>
        <v>1252.1781135368121</v>
      </c>
    </row>
    <row r="5" spans="1:15">
      <c r="A5" s="1" t="s">
        <v>755</v>
      </c>
      <c r="E5" s="10"/>
      <c r="G5" s="21"/>
      <c r="O5" s="1"/>
    </row>
    <row r="6" spans="1:15">
      <c r="A6" t="s">
        <v>757</v>
      </c>
      <c r="E6" s="10">
        <v>0.52</v>
      </c>
      <c r="F6" s="63" t="s">
        <v>133</v>
      </c>
      <c r="G6" s="21">
        <f>E6*$M$2</f>
        <v>83.2</v>
      </c>
      <c r="H6" s="12">
        <f>'APUS ARQUITECTURA'!J5</f>
        <v>135.824337926792</v>
      </c>
      <c r="I6">
        <f>G6*H6</f>
        <v>11300.584915509095</v>
      </c>
    </row>
    <row r="7" spans="1:15">
      <c r="A7" t="s">
        <v>759</v>
      </c>
      <c r="E7" s="10">
        <v>0.39</v>
      </c>
      <c r="F7" s="63" t="s">
        <v>133</v>
      </c>
      <c r="G7" s="21">
        <f>E7*$M$2</f>
        <v>62.400000000000006</v>
      </c>
      <c r="H7" s="12">
        <f>'APUS ARQUITECTURA'!J32</f>
        <v>150.06569999999999</v>
      </c>
      <c r="I7">
        <f>G7*H7</f>
        <v>9364.0996800000012</v>
      </c>
    </row>
    <row r="8" spans="1:15">
      <c r="A8" t="s">
        <v>761</v>
      </c>
      <c r="E8" s="10"/>
      <c r="F8" s="63" t="s">
        <v>133</v>
      </c>
      <c r="G8" s="21">
        <f>E8*$M$2</f>
        <v>0</v>
      </c>
      <c r="H8" s="12">
        <f>'APUS ARQUITECTURA'!J50</f>
        <v>141.06679428571431</v>
      </c>
    </row>
    <row r="9" spans="1:15">
      <c r="A9" t="s">
        <v>763</v>
      </c>
      <c r="E9" s="10"/>
      <c r="F9" s="63" t="s">
        <v>133</v>
      </c>
      <c r="G9" s="21">
        <f t="shared" ref="G8:G10" si="0">E9*$M$2</f>
        <v>0</v>
      </c>
      <c r="H9" s="12">
        <f>'APUS ARQUITECTURA'!J74</f>
        <v>200.94213799999997</v>
      </c>
    </row>
    <row r="10" spans="1:15">
      <c r="A10" t="s">
        <v>765</v>
      </c>
      <c r="E10" s="10"/>
      <c r="F10" s="63" t="s">
        <v>133</v>
      </c>
      <c r="G10" s="21">
        <f t="shared" si="0"/>
        <v>0</v>
      </c>
      <c r="H10" s="12">
        <f>'APUS ARQUITECTURA'!J92</f>
        <v>300.22795400000001</v>
      </c>
    </row>
    <row r="11" spans="1:15">
      <c r="A11" s="20" t="s">
        <v>766</v>
      </c>
      <c r="E11" s="22"/>
      <c r="G11" s="21"/>
      <c r="H11" s="12"/>
      <c r="O11" s="20"/>
    </row>
    <row r="12" spans="1:15">
      <c r="A12" s="1" t="s">
        <v>768</v>
      </c>
      <c r="G12" s="21"/>
      <c r="H12" s="12"/>
      <c r="O12" s="1"/>
    </row>
    <row r="13" spans="1:15" ht="15" customHeight="1">
      <c r="A13" t="s">
        <v>770</v>
      </c>
      <c r="E13" s="12">
        <v>0.85</v>
      </c>
      <c r="F13" t="s">
        <v>133</v>
      </c>
      <c r="G13" s="21">
        <f>E13*$M$2</f>
        <v>136</v>
      </c>
      <c r="H13" s="12">
        <f>'APUS ARQUITECTURA'!J127</f>
        <v>27.122965133333338</v>
      </c>
      <c r="I13">
        <f>G13*H13</f>
        <v>3688.7232581333337</v>
      </c>
    </row>
    <row r="14" spans="1:15" ht="15" customHeight="1">
      <c r="A14" t="s">
        <v>772</v>
      </c>
      <c r="E14" s="12">
        <v>0.88</v>
      </c>
      <c r="F14" t="s">
        <v>133</v>
      </c>
      <c r="G14" s="21">
        <f>E14*$M$2</f>
        <v>140.80000000000001</v>
      </c>
      <c r="H14" s="12">
        <f>'APUS ARQUITECTURA'!J148</f>
        <v>35.840962666666663</v>
      </c>
      <c r="I14">
        <f>G14*H14</f>
        <v>5046.4075434666665</v>
      </c>
    </row>
    <row r="15" spans="1:15" ht="15" customHeight="1">
      <c r="A15" s="28" t="s">
        <v>774</v>
      </c>
      <c r="E15" s="12"/>
      <c r="G15" s="21"/>
      <c r="H15" s="12"/>
      <c r="O15" s="28"/>
    </row>
    <row r="16" spans="1:15">
      <c r="A16" t="s">
        <v>776</v>
      </c>
      <c r="E16" s="12">
        <v>0.41</v>
      </c>
      <c r="F16" t="s">
        <v>133</v>
      </c>
      <c r="G16" s="21">
        <f>E16*$M$2</f>
        <v>65.599999999999994</v>
      </c>
      <c r="H16" s="12">
        <f>'APUS ARQUITECTURA'!J168</f>
        <v>90.825879999999998</v>
      </c>
      <c r="I16">
        <f>G16*H16</f>
        <v>5958.1777279999997</v>
      </c>
    </row>
    <row r="17" spans="1:20">
      <c r="A17" s="28" t="s">
        <v>778</v>
      </c>
      <c r="D17" s="10"/>
      <c r="F17" s="12"/>
      <c r="G17" s="21"/>
      <c r="I17">
        <f t="shared" ref="I17:I67" si="1">G17*H17</f>
        <v>0</v>
      </c>
      <c r="O17" s="28"/>
      <c r="T17" s="12"/>
    </row>
    <row r="18" spans="1:20" ht="15" customHeight="1">
      <c r="A18" t="s">
        <v>780</v>
      </c>
      <c r="E18" s="10">
        <v>1</v>
      </c>
      <c r="F18" t="s">
        <v>203</v>
      </c>
      <c r="G18" s="21">
        <f>E18*$M$2</f>
        <v>160</v>
      </c>
      <c r="H18" s="12">
        <f>'APUS ARQUITECTURA'!J188</f>
        <v>212.28215533333332</v>
      </c>
      <c r="I18">
        <f t="shared" si="1"/>
        <v>33965.144853333331</v>
      </c>
    </row>
    <row r="19" spans="1:20" ht="15" customHeight="1">
      <c r="A19" t="s">
        <v>782</v>
      </c>
      <c r="E19" s="10"/>
      <c r="F19" t="s">
        <v>203</v>
      </c>
      <c r="G19" s="21"/>
      <c r="H19" s="12">
        <f>'APUS ARQUITECTURA'!J212</f>
        <v>62.663358000000002</v>
      </c>
      <c r="I19">
        <f t="shared" si="1"/>
        <v>0</v>
      </c>
    </row>
    <row r="20" spans="1:20">
      <c r="A20" s="1" t="s">
        <v>783</v>
      </c>
      <c r="E20" s="10"/>
      <c r="G20" s="21"/>
      <c r="I20">
        <f t="shared" si="1"/>
        <v>0</v>
      </c>
      <c r="O20" s="1"/>
    </row>
    <row r="21" spans="1:20" ht="15" customHeight="1">
      <c r="A21" t="s">
        <v>785</v>
      </c>
      <c r="E21">
        <v>1</v>
      </c>
      <c r="F21" t="s">
        <v>133</v>
      </c>
      <c r="G21" s="21">
        <f>E21*$M$2</f>
        <v>160</v>
      </c>
      <c r="H21" s="12">
        <f>'APUS ARQUITECTURA'!J232</f>
        <v>40.184685790000003</v>
      </c>
      <c r="I21">
        <f t="shared" si="1"/>
        <v>6429.5497264000005</v>
      </c>
    </row>
    <row r="22" spans="1:20" ht="15" customHeight="1">
      <c r="A22" t="s">
        <v>787</v>
      </c>
      <c r="E22">
        <v>1</v>
      </c>
      <c r="F22" t="s">
        <v>133</v>
      </c>
      <c r="G22" s="21">
        <f>E22*$M$2</f>
        <v>160</v>
      </c>
      <c r="H22" s="12">
        <f>'APUS ARQUITECTURA'!J252</f>
        <v>206.77337199999999</v>
      </c>
      <c r="I22">
        <f t="shared" si="1"/>
        <v>33083.739520000003</v>
      </c>
    </row>
    <row r="23" spans="1:20" ht="15" customHeight="1">
      <c r="A23" t="s">
        <v>789</v>
      </c>
      <c r="F23" t="s">
        <v>133</v>
      </c>
      <c r="G23" s="21">
        <f t="shared" ref="G23:G28" si="2">E23*$M$2</f>
        <v>0</v>
      </c>
      <c r="H23" s="12">
        <f>'APUS ARQUITECTURA'!J272</f>
        <v>102.65602799999999</v>
      </c>
      <c r="I23">
        <f t="shared" si="1"/>
        <v>0</v>
      </c>
    </row>
    <row r="24" spans="1:20" ht="15" customHeight="1">
      <c r="A24" t="s">
        <v>791</v>
      </c>
      <c r="F24" t="s">
        <v>133</v>
      </c>
      <c r="G24" s="21">
        <f t="shared" si="2"/>
        <v>0</v>
      </c>
      <c r="H24" s="12">
        <f>'APUS ARQUITECTURA'!J292</f>
        <v>47.432200000000002</v>
      </c>
      <c r="I24">
        <f t="shared" si="1"/>
        <v>0</v>
      </c>
    </row>
    <row r="25" spans="1:20" ht="15" customHeight="1">
      <c r="A25" t="s">
        <v>793</v>
      </c>
      <c r="F25" t="s">
        <v>133</v>
      </c>
      <c r="G25" s="21">
        <f t="shared" si="2"/>
        <v>0</v>
      </c>
      <c r="H25" s="12">
        <f>'APUS ARQUITECTURA'!J318</f>
        <v>51.986298000000005</v>
      </c>
      <c r="I25">
        <f t="shared" si="1"/>
        <v>0</v>
      </c>
    </row>
    <row r="26" spans="1:20" ht="15" customHeight="1">
      <c r="A26" t="s">
        <v>1387</v>
      </c>
      <c r="F26" t="s">
        <v>133</v>
      </c>
      <c r="G26" s="21">
        <f t="shared" si="2"/>
        <v>0</v>
      </c>
      <c r="H26" s="12">
        <f>'APUS ARQUITECTURA'!J340</f>
        <v>201.23</v>
      </c>
      <c r="I26">
        <f t="shared" si="1"/>
        <v>0</v>
      </c>
    </row>
    <row r="27" spans="1:20" ht="15" customHeight="1">
      <c r="A27" s="1" t="s">
        <v>796</v>
      </c>
      <c r="G27" s="21"/>
      <c r="I27">
        <f t="shared" si="1"/>
        <v>0</v>
      </c>
      <c r="O27" s="1"/>
    </row>
    <row r="28" spans="1:20" ht="15" customHeight="1">
      <c r="A28" t="s">
        <v>798</v>
      </c>
      <c r="F28" t="s">
        <v>144</v>
      </c>
      <c r="G28" s="21">
        <f t="shared" si="2"/>
        <v>0</v>
      </c>
      <c r="H28" s="12">
        <f>'APUS ARQUITECTURA'!J347</f>
        <v>20.569980000000001</v>
      </c>
      <c r="I28">
        <f t="shared" si="1"/>
        <v>0</v>
      </c>
    </row>
    <row r="29" spans="1:20" ht="15" customHeight="1">
      <c r="A29" t="s">
        <v>800</v>
      </c>
      <c r="E29">
        <v>0.41</v>
      </c>
      <c r="F29" t="s">
        <v>144</v>
      </c>
      <c r="G29" s="21">
        <f>E29*$M$2</f>
        <v>65.599999999999994</v>
      </c>
      <c r="H29" s="12">
        <f>'APUS ARQUITECTURA'!J364</f>
        <v>26.687480000000001</v>
      </c>
      <c r="I29">
        <f t="shared" si="1"/>
        <v>1750.6986879999999</v>
      </c>
    </row>
    <row r="30" spans="1:20" ht="15" customHeight="1">
      <c r="A30" t="s">
        <v>802</v>
      </c>
      <c r="E30">
        <v>0.24</v>
      </c>
      <c r="F30" t="s">
        <v>144</v>
      </c>
      <c r="G30" s="21">
        <f>E30*$M$2</f>
        <v>38.4</v>
      </c>
      <c r="H30" s="12">
        <f>'APUS ARQUITECTURA'!J383</f>
        <v>36.537022000000007</v>
      </c>
      <c r="I30">
        <f t="shared" si="1"/>
        <v>1403.0216448000003</v>
      </c>
    </row>
    <row r="31" spans="1:20" ht="15" customHeight="1">
      <c r="A31" t="s">
        <v>804</v>
      </c>
      <c r="F31" t="s">
        <v>144</v>
      </c>
      <c r="G31" s="21">
        <f t="shared" ref="G31:G32" si="3">E31*$M$2</f>
        <v>0</v>
      </c>
      <c r="H31" s="12">
        <f>'APUS ARQUITECTURA'!J403</f>
        <v>25</v>
      </c>
      <c r="I31">
        <f t="shared" si="1"/>
        <v>0</v>
      </c>
    </row>
    <row r="32" spans="1:20" ht="15" customHeight="1">
      <c r="A32" t="s">
        <v>806</v>
      </c>
      <c r="F32" t="s">
        <v>144</v>
      </c>
      <c r="G32" s="21">
        <f t="shared" si="3"/>
        <v>0</v>
      </c>
      <c r="H32" s="12">
        <f>'APUS ARQUITECTURA'!J410</f>
        <v>44.192746666666665</v>
      </c>
      <c r="I32">
        <f t="shared" si="1"/>
        <v>0</v>
      </c>
    </row>
    <row r="33" spans="1:20" ht="15" customHeight="1">
      <c r="A33" t="s">
        <v>808</v>
      </c>
      <c r="E33">
        <v>0.4</v>
      </c>
      <c r="F33" t="s">
        <v>144</v>
      </c>
      <c r="G33" s="21">
        <f>E33*$M$2</f>
        <v>64</v>
      </c>
      <c r="H33" s="12">
        <f>'APUS ARQUITECTURA'!J430</f>
        <v>84.438490000000002</v>
      </c>
      <c r="I33">
        <f t="shared" si="1"/>
        <v>5404.0633600000001</v>
      </c>
    </row>
    <row r="34" spans="1:20">
      <c r="A34" s="1" t="s">
        <v>809</v>
      </c>
      <c r="G34" s="21"/>
      <c r="H34" s="12"/>
      <c r="I34">
        <f t="shared" si="1"/>
        <v>0</v>
      </c>
      <c r="O34" s="1"/>
    </row>
    <row r="35" spans="1:20" ht="15" customHeight="1">
      <c r="A35" t="s">
        <v>811</v>
      </c>
      <c r="E35">
        <v>0.05</v>
      </c>
      <c r="F35" t="s">
        <v>133</v>
      </c>
      <c r="G35" s="21">
        <f>E35*$M$2</f>
        <v>8</v>
      </c>
      <c r="H35" s="12">
        <f>'APUS ARQUITECTURA'!J449</f>
        <v>560.62260000000003</v>
      </c>
      <c r="I35">
        <f t="shared" si="1"/>
        <v>4484.9808000000003</v>
      </c>
      <c r="K35" s="31"/>
    </row>
    <row r="36" spans="1:20">
      <c r="A36" t="s">
        <v>813</v>
      </c>
      <c r="E36">
        <v>0.25</v>
      </c>
      <c r="F36" t="s">
        <v>133</v>
      </c>
      <c r="G36" s="21">
        <f>E36*$M$2</f>
        <v>40</v>
      </c>
      <c r="H36" s="12">
        <f>'APUS ARQUITECTURA'!J456</f>
        <v>367.87083424090611</v>
      </c>
      <c r="I36">
        <f t="shared" si="1"/>
        <v>14714.833369636244</v>
      </c>
      <c r="K36" s="31"/>
    </row>
    <row r="37" spans="1:20">
      <c r="A37" t="s">
        <v>815</v>
      </c>
      <c r="F37" t="s">
        <v>133</v>
      </c>
      <c r="G37" s="21">
        <f t="shared" ref="G37:G39" si="4">E37*$M$2</f>
        <v>0</v>
      </c>
      <c r="H37" s="12">
        <f>'APUS ARQUITECTURA'!J463</f>
        <v>514.53719413716362</v>
      </c>
      <c r="I37">
        <f t="shared" si="1"/>
        <v>0</v>
      </c>
      <c r="K37" s="31"/>
    </row>
    <row r="38" spans="1:20">
      <c r="A38" t="s">
        <v>817</v>
      </c>
      <c r="E38">
        <v>0.13</v>
      </c>
      <c r="F38" t="s">
        <v>144</v>
      </c>
      <c r="G38" s="21">
        <f t="shared" si="4"/>
        <v>20.8</v>
      </c>
      <c r="H38" s="12">
        <f>'APUS ARQUITECTURA'!J470</f>
        <v>622.13</v>
      </c>
      <c r="I38">
        <f t="shared" si="1"/>
        <v>12940.304</v>
      </c>
      <c r="K38" s="31"/>
    </row>
    <row r="39" spans="1:20">
      <c r="A39" t="s">
        <v>819</v>
      </c>
      <c r="F39" t="s">
        <v>133</v>
      </c>
      <c r="G39" s="21">
        <f t="shared" si="4"/>
        <v>0</v>
      </c>
      <c r="H39" s="12">
        <f>'APUS ARQUITECTURA'!J477</f>
        <v>54.78</v>
      </c>
      <c r="I39">
        <f t="shared" si="1"/>
        <v>0</v>
      </c>
      <c r="K39" s="31"/>
    </row>
    <row r="40" spans="1:20">
      <c r="A40" s="1" t="s">
        <v>820</v>
      </c>
      <c r="G40" s="21"/>
      <c r="I40">
        <f t="shared" si="1"/>
        <v>0</v>
      </c>
      <c r="O40" s="1"/>
    </row>
    <row r="41" spans="1:20">
      <c r="A41" t="s">
        <v>822</v>
      </c>
      <c r="E41">
        <v>1.85</v>
      </c>
      <c r="F41" t="s">
        <v>133</v>
      </c>
      <c r="G41" s="21">
        <f>E41*$M$2</f>
        <v>296</v>
      </c>
      <c r="H41" s="12">
        <f>'APUS ARQUITECTURA'!J484</f>
        <v>15.625164000000002</v>
      </c>
      <c r="I41">
        <f t="shared" si="1"/>
        <v>4625.0485440000002</v>
      </c>
      <c r="L41" s="12"/>
    </row>
    <row r="42" spans="1:20" ht="15" customHeight="1">
      <c r="A42" t="s">
        <v>824</v>
      </c>
      <c r="B42" s="105"/>
      <c r="C42" s="105"/>
      <c r="D42" s="105"/>
      <c r="E42">
        <v>0.88</v>
      </c>
      <c r="F42" s="105" t="s">
        <v>133</v>
      </c>
      <c r="G42" s="21">
        <f>E42*$M$2</f>
        <v>140.80000000000001</v>
      </c>
      <c r="H42" s="12">
        <f>'APUS ARQUITECTURA'!J504</f>
        <v>15.956285454545455</v>
      </c>
      <c r="I42">
        <f t="shared" si="1"/>
        <v>2246.644992</v>
      </c>
      <c r="T42" s="105"/>
    </row>
    <row r="43" spans="1:20" ht="15" customHeight="1">
      <c r="A43" s="1" t="s">
        <v>981</v>
      </c>
      <c r="G43" s="21"/>
      <c r="H43" s="12"/>
      <c r="I43">
        <f t="shared" si="1"/>
        <v>0</v>
      </c>
      <c r="O43" s="1"/>
    </row>
    <row r="44" spans="1:20">
      <c r="A44" t="s">
        <v>984</v>
      </c>
      <c r="E44">
        <v>7.0000000000000007E-2</v>
      </c>
      <c r="F44" t="s">
        <v>1388</v>
      </c>
      <c r="G44" s="21">
        <f>E44*$M$2</f>
        <v>11.200000000000001</v>
      </c>
      <c r="H44" s="12">
        <f>'APUS SANITARIAS'!J5</f>
        <v>193.33333333333331</v>
      </c>
      <c r="I44">
        <f t="shared" si="1"/>
        <v>2165.3333333333335</v>
      </c>
    </row>
    <row r="45" spans="1:20">
      <c r="A45" t="s">
        <v>986</v>
      </c>
      <c r="E45">
        <v>7.0000000000000007E-2</v>
      </c>
      <c r="F45" t="s">
        <v>1388</v>
      </c>
      <c r="G45" s="21">
        <f>E45*$M$2</f>
        <v>11.200000000000001</v>
      </c>
      <c r="H45" s="12">
        <f>'APUS SANITARIAS'!J12</f>
        <v>192.42</v>
      </c>
      <c r="I45">
        <f>G45*H45</f>
        <v>2155.1040000000003</v>
      </c>
    </row>
    <row r="46" spans="1:20">
      <c r="A46" t="s">
        <v>1022</v>
      </c>
      <c r="E46">
        <v>7.0000000000000007E-2</v>
      </c>
      <c r="F46" t="s">
        <v>1388</v>
      </c>
      <c r="G46" s="21">
        <f>E46*$M$2</f>
        <v>11.200000000000001</v>
      </c>
      <c r="H46" s="12">
        <f>'APUS SANITARIAS'!J19</f>
        <v>67.521666666666661</v>
      </c>
      <c r="I46">
        <f>G46*H46</f>
        <v>756.24266666666665</v>
      </c>
    </row>
    <row r="47" spans="1:20">
      <c r="A47" t="s">
        <v>990</v>
      </c>
      <c r="F47" t="s">
        <v>154</v>
      </c>
      <c r="G47" s="21">
        <f t="shared" ref="G47:G57" si="5">E47*$M$2</f>
        <v>0</v>
      </c>
      <c r="H47" s="12">
        <f>'APUS SANITARIAS'!J26</f>
        <v>750</v>
      </c>
      <c r="I47">
        <f t="shared" si="1"/>
        <v>0</v>
      </c>
    </row>
    <row r="48" spans="1:20">
      <c r="A48" t="s">
        <v>1389</v>
      </c>
      <c r="E48">
        <v>7.0000000000000007E-2</v>
      </c>
      <c r="F48" t="s">
        <v>214</v>
      </c>
      <c r="G48" s="21">
        <f t="shared" si="5"/>
        <v>11.200000000000001</v>
      </c>
      <c r="H48" s="12">
        <f>'APUS SANITARIAS'!J32</f>
        <v>131.73781333333332</v>
      </c>
      <c r="I48">
        <f t="shared" si="1"/>
        <v>1475.4635093333334</v>
      </c>
    </row>
    <row r="49" spans="1:15">
      <c r="A49" t="s">
        <v>1390</v>
      </c>
      <c r="F49" t="s">
        <v>214</v>
      </c>
      <c r="G49" s="21">
        <f t="shared" si="5"/>
        <v>0</v>
      </c>
      <c r="H49" s="12">
        <f>'APUS SANITARIAS'!J50</f>
        <v>210.60376000000002</v>
      </c>
      <c r="I49">
        <f t="shared" si="1"/>
        <v>0</v>
      </c>
    </row>
    <row r="50" spans="1:15">
      <c r="A50" t="s">
        <v>998</v>
      </c>
      <c r="F50" t="s">
        <v>154</v>
      </c>
      <c r="G50" s="21">
        <f t="shared" si="5"/>
        <v>0</v>
      </c>
      <c r="H50" s="12">
        <f>'APUS SANITARIAS'!J69</f>
        <v>200</v>
      </c>
      <c r="I50">
        <f t="shared" si="1"/>
        <v>0</v>
      </c>
    </row>
    <row r="51" spans="1:15">
      <c r="A51" t="s">
        <v>999</v>
      </c>
      <c r="F51" t="s">
        <v>154</v>
      </c>
      <c r="G51" s="21">
        <f t="shared" si="5"/>
        <v>0</v>
      </c>
      <c r="H51" s="12">
        <f>'APUS SANITARIAS'!J76</f>
        <v>537.21710399999995</v>
      </c>
      <c r="I51">
        <f t="shared" si="1"/>
        <v>0</v>
      </c>
    </row>
    <row r="52" spans="1:15">
      <c r="A52" t="s">
        <v>1003</v>
      </c>
      <c r="E52">
        <v>0.1</v>
      </c>
      <c r="F52" t="s">
        <v>214</v>
      </c>
      <c r="G52" s="21">
        <f t="shared" si="5"/>
        <v>16</v>
      </c>
      <c r="H52" s="12">
        <f>'APUS SANITARIAS'!J91</f>
        <v>158.14803320874657</v>
      </c>
      <c r="I52">
        <f t="shared" si="1"/>
        <v>2530.3685313399451</v>
      </c>
    </row>
    <row r="53" spans="1:15">
      <c r="A53" t="s">
        <v>1006</v>
      </c>
      <c r="E53">
        <v>7.0000000000000007E-2</v>
      </c>
      <c r="F53" t="s">
        <v>214</v>
      </c>
      <c r="G53" s="21">
        <f t="shared" si="5"/>
        <v>11.200000000000001</v>
      </c>
      <c r="H53" s="12">
        <f>'APUS SANITARIAS'!J108</f>
        <v>138.64527999999999</v>
      </c>
      <c r="I53">
        <f t="shared" si="1"/>
        <v>1552.8271359999999</v>
      </c>
    </row>
    <row r="54" spans="1:15">
      <c r="A54" t="s">
        <v>1008</v>
      </c>
      <c r="E54">
        <v>7.0000000000000007E-2</v>
      </c>
      <c r="F54" t="s">
        <v>214</v>
      </c>
      <c r="G54" s="21">
        <f t="shared" si="5"/>
        <v>11.200000000000001</v>
      </c>
      <c r="H54" s="12">
        <f>'APUS SANITARIAS'!J127</f>
        <v>145.93577999999999</v>
      </c>
      <c r="I54">
        <f t="shared" si="1"/>
        <v>1634.480736</v>
      </c>
    </row>
    <row r="55" spans="1:15">
      <c r="A55" t="s">
        <v>1011</v>
      </c>
      <c r="E55">
        <v>7.0000000000000007E-2</v>
      </c>
      <c r="F55" t="s">
        <v>214</v>
      </c>
      <c r="G55" s="21">
        <f t="shared" si="5"/>
        <v>11.200000000000001</v>
      </c>
      <c r="H55" s="12">
        <f>'APUS SANITARIAS'!J145</f>
        <v>141.07118</v>
      </c>
      <c r="I55">
        <f t="shared" si="1"/>
        <v>1579.9972160000002</v>
      </c>
    </row>
    <row r="56" spans="1:15">
      <c r="A56" t="s">
        <v>1014</v>
      </c>
      <c r="F56" t="s">
        <v>149</v>
      </c>
      <c r="G56" s="21">
        <f t="shared" si="5"/>
        <v>0</v>
      </c>
      <c r="H56" s="12">
        <f>'APUS SANITARIAS'!J163</f>
        <v>214.33091999999999</v>
      </c>
      <c r="I56">
        <f t="shared" si="1"/>
        <v>0</v>
      </c>
    </row>
    <row r="57" spans="1:15">
      <c r="A57" t="s">
        <v>1016</v>
      </c>
      <c r="F57" t="s">
        <v>149</v>
      </c>
      <c r="G57" s="21">
        <f t="shared" si="5"/>
        <v>0</v>
      </c>
      <c r="H57" s="12">
        <f>'APUS SANITARIAS'!J178</f>
        <v>101.51374313638702</v>
      </c>
      <c r="I57">
        <f t="shared" si="1"/>
        <v>0</v>
      </c>
    </row>
    <row r="58" spans="1:15">
      <c r="A58" s="1" t="s">
        <v>1051</v>
      </c>
      <c r="I58">
        <f t="shared" si="1"/>
        <v>0</v>
      </c>
      <c r="O58" s="1"/>
    </row>
    <row r="59" spans="1:15">
      <c r="A59" t="s">
        <v>1054</v>
      </c>
      <c r="E59">
        <v>0.38</v>
      </c>
      <c r="F59" t="s">
        <v>214</v>
      </c>
      <c r="G59" s="21">
        <f>E59*$M$2</f>
        <v>60.8</v>
      </c>
      <c r="H59" s="12">
        <f>'APUS ELECTRICAS'!J5</f>
        <v>121.04310400000001</v>
      </c>
      <c r="I59">
        <f t="shared" si="1"/>
        <v>7359.4207232000008</v>
      </c>
    </row>
    <row r="60" spans="1:15">
      <c r="A60" t="s">
        <v>1056</v>
      </c>
      <c r="E60">
        <v>0.38</v>
      </c>
      <c r="F60" t="s">
        <v>214</v>
      </c>
      <c r="G60" s="21">
        <f t="shared" ref="G60:G67" si="6">E60*$M$2</f>
        <v>60.8</v>
      </c>
      <c r="H60" s="12">
        <f>'APUS ELECTRICAS'!J26</f>
        <v>163.73838000000001</v>
      </c>
      <c r="I60">
        <f t="shared" si="1"/>
        <v>9955.2935039999993</v>
      </c>
    </row>
    <row r="61" spans="1:15">
      <c r="A61" t="s">
        <v>1058</v>
      </c>
      <c r="E61">
        <v>0.38</v>
      </c>
      <c r="F61" t="s">
        <v>214</v>
      </c>
      <c r="G61" s="21">
        <f t="shared" si="6"/>
        <v>60.8</v>
      </c>
      <c r="H61" s="12">
        <f>'APUS ELECTRICAS'!J48</f>
        <v>118.30689999999998</v>
      </c>
      <c r="I61">
        <f t="shared" si="1"/>
        <v>7193.0595199999989</v>
      </c>
    </row>
    <row r="62" spans="1:15">
      <c r="A62" t="s">
        <v>1060</v>
      </c>
      <c r="F62" t="s">
        <v>214</v>
      </c>
      <c r="G62" s="21">
        <f t="shared" si="6"/>
        <v>0</v>
      </c>
      <c r="H62" s="12">
        <f>'APUS ELECTRICAS'!J66</f>
        <v>7.34</v>
      </c>
      <c r="I62">
        <f t="shared" si="1"/>
        <v>0</v>
      </c>
    </row>
    <row r="63" spans="1:15">
      <c r="A63" s="1" t="s">
        <v>1061</v>
      </c>
      <c r="I63">
        <f t="shared" si="1"/>
        <v>0</v>
      </c>
      <c r="O63" s="1"/>
    </row>
    <row r="64" spans="1:15">
      <c r="A64" t="s">
        <v>1063</v>
      </c>
      <c r="F64" t="s">
        <v>149</v>
      </c>
      <c r="G64" s="21">
        <f t="shared" si="6"/>
        <v>0</v>
      </c>
      <c r="H64" s="12">
        <f>'APUS ELECTRICAS'!J74</f>
        <v>396.14503200000001</v>
      </c>
      <c r="I64">
        <f t="shared" si="1"/>
        <v>0</v>
      </c>
    </row>
    <row r="65" spans="1:11" ht="15" customHeight="1">
      <c r="A65" t="s">
        <v>1065</v>
      </c>
      <c r="E65">
        <v>0.1</v>
      </c>
      <c r="F65" t="s">
        <v>149</v>
      </c>
      <c r="G65" s="21">
        <f t="shared" si="6"/>
        <v>16</v>
      </c>
      <c r="H65" s="12">
        <f>'APUS ELECTRICAS'!J88</f>
        <v>105.9636</v>
      </c>
      <c r="I65">
        <f t="shared" si="1"/>
        <v>1695.4176</v>
      </c>
      <c r="K65" s="12"/>
    </row>
    <row r="66" spans="1:11" ht="15" customHeight="1">
      <c r="A66" t="s">
        <v>1067</v>
      </c>
      <c r="E66">
        <v>0.01</v>
      </c>
      <c r="F66" t="s">
        <v>149</v>
      </c>
      <c r="G66" s="21">
        <f t="shared" si="6"/>
        <v>1.6</v>
      </c>
      <c r="H66" s="12">
        <f>'APUS ELECTRICAS'!J106</f>
        <v>143.11000000000001</v>
      </c>
      <c r="I66">
        <f t="shared" si="1"/>
        <v>228.97600000000003</v>
      </c>
      <c r="K66" s="12"/>
    </row>
    <row r="67" spans="1:11" ht="15" customHeight="1">
      <c r="A67" t="s">
        <v>1069</v>
      </c>
      <c r="E67">
        <v>0.02</v>
      </c>
      <c r="F67" t="s">
        <v>149</v>
      </c>
      <c r="G67" s="21">
        <f t="shared" si="6"/>
        <v>3.2</v>
      </c>
      <c r="H67" s="12">
        <f>'APUS ELECTRICAS'!J114</f>
        <v>86.816140000000019</v>
      </c>
      <c r="I67">
        <f t="shared" si="1"/>
        <v>277.81164800000005</v>
      </c>
      <c r="K67" s="12"/>
    </row>
    <row r="68" spans="1:11" ht="15" customHeight="1">
      <c r="G68" s="21"/>
    </row>
    <row r="69" spans="1:11" ht="15" customHeight="1">
      <c r="G69" s="21"/>
    </row>
    <row r="70" spans="1:11" ht="15" customHeight="1">
      <c r="A70" s="1" t="s">
        <v>1101</v>
      </c>
      <c r="H70" s="12"/>
    </row>
    <row r="71" spans="1:11" ht="15" customHeight="1">
      <c r="A71" s="20" t="s">
        <v>1102</v>
      </c>
    </row>
    <row r="72" spans="1:11" ht="15" customHeight="1">
      <c r="A72" t="s">
        <v>1104</v>
      </c>
      <c r="E72">
        <v>1.2969283276450499E-2</v>
      </c>
      <c r="F72" t="s">
        <v>149</v>
      </c>
      <c r="G72" s="21">
        <f>E72*$M$2</f>
        <v>2.0750853242320799</v>
      </c>
      <c r="H72" s="61">
        <f>'APUS COMUNICACIONES'!J5</f>
        <v>279.85309999999998</v>
      </c>
      <c r="I72">
        <f t="shared" ref="I72:I91" si="7">G72*H72</f>
        <v>580.71906075085269</v>
      </c>
    </row>
    <row r="73" spans="1:11" ht="15" customHeight="1">
      <c r="A73" t="s">
        <v>1106</v>
      </c>
      <c r="E73">
        <v>6.8259385665529002E-3</v>
      </c>
      <c r="F73" t="s">
        <v>149</v>
      </c>
      <c r="G73" s="21">
        <f t="shared" ref="G73:G82" si="8">E73*$M$2</f>
        <v>1.092150170648464</v>
      </c>
      <c r="H73" s="61">
        <f>'APUS COMUNICACIONES'!J23</f>
        <v>95.843099999999993</v>
      </c>
      <c r="I73">
        <f t="shared" si="7"/>
        <v>104.67505802047779</v>
      </c>
    </row>
    <row r="74" spans="1:11">
      <c r="A74" t="s">
        <v>1108</v>
      </c>
      <c r="E74">
        <v>1.1604095563139932E-2</v>
      </c>
      <c r="F74" t="s">
        <v>149</v>
      </c>
      <c r="G74" s="21">
        <f t="shared" si="8"/>
        <v>1.8566552901023892</v>
      </c>
      <c r="H74" s="61">
        <f>'APUS COMUNICACIONES'!J41</f>
        <v>95.843099999999993</v>
      </c>
      <c r="I74">
        <f t="shared" si="7"/>
        <v>177.94759863481229</v>
      </c>
    </row>
    <row r="75" spans="1:11">
      <c r="A75" t="s">
        <v>1110</v>
      </c>
      <c r="E75">
        <v>3.2491467576791807E-3</v>
      </c>
      <c r="F75" t="s">
        <v>144</v>
      </c>
      <c r="G75" s="21">
        <f t="shared" si="8"/>
        <v>0.51986348122866888</v>
      </c>
      <c r="H75" s="61">
        <f>'APUS COMUNICACIONES'!J59</f>
        <v>26.403334000000001</v>
      </c>
      <c r="I75">
        <f t="shared" si="7"/>
        <v>13.726129129283276</v>
      </c>
    </row>
    <row r="76" spans="1:11">
      <c r="A76" t="s">
        <v>1112</v>
      </c>
      <c r="E76">
        <v>6.778839590443686E-2</v>
      </c>
      <c r="F76" t="s">
        <v>144</v>
      </c>
      <c r="G76" s="21">
        <f t="shared" si="8"/>
        <v>10.846143344709898</v>
      </c>
      <c r="H76" s="61">
        <f>'APUS COMUNICACIONES'!J77</f>
        <v>25.004334</v>
      </c>
      <c r="I76">
        <f t="shared" si="7"/>
        <v>271.20059080300342</v>
      </c>
    </row>
    <row r="77" spans="1:11">
      <c r="A77" t="s">
        <v>1114</v>
      </c>
      <c r="E77">
        <v>0.2742457337883959</v>
      </c>
      <c r="F77" t="s">
        <v>144</v>
      </c>
      <c r="G77" s="21">
        <f t="shared" si="8"/>
        <v>43.879317406143343</v>
      </c>
      <c r="H77" s="61">
        <f>'APUS COMUNICACIONES'!J95</f>
        <v>19.232787999999999</v>
      </c>
      <c r="I77">
        <f t="shared" si="7"/>
        <v>843.9216092570648</v>
      </c>
    </row>
    <row r="78" spans="1:11">
      <c r="A78" t="s">
        <v>1116</v>
      </c>
      <c r="E78">
        <v>1.6109215017064845E-3</v>
      </c>
      <c r="F78" t="s">
        <v>144</v>
      </c>
      <c r="G78" s="21">
        <f t="shared" si="8"/>
        <v>0.25774744027303753</v>
      </c>
      <c r="H78" s="61">
        <f>'APUS COMUNICACIONES'!J113</f>
        <v>16.371788000000002</v>
      </c>
      <c r="I78">
        <f t="shared" si="7"/>
        <v>4.2197864496928332</v>
      </c>
    </row>
    <row r="79" spans="1:11">
      <c r="A79" t="s">
        <v>1118</v>
      </c>
      <c r="E79">
        <v>6.8259385665529011E-3</v>
      </c>
      <c r="F79" t="s">
        <v>149</v>
      </c>
      <c r="G79" s="21">
        <f t="shared" si="8"/>
        <v>1.0921501706484642</v>
      </c>
      <c r="H79" s="61">
        <f>'APUS COMUNICACIONES'!J131</f>
        <v>62.670152000000002</v>
      </c>
      <c r="I79">
        <f t="shared" si="7"/>
        <v>68.445217201365196</v>
      </c>
    </row>
    <row r="80" spans="1:11">
      <c r="A80" t="s">
        <v>1120</v>
      </c>
      <c r="E80">
        <v>1.2969283276450512E-2</v>
      </c>
      <c r="F80" t="s">
        <v>149</v>
      </c>
      <c r="G80" s="21">
        <f t="shared" si="8"/>
        <v>2.0750853242320817</v>
      </c>
      <c r="H80" s="61">
        <f>'APUS COMUNICACIONES'!J146</f>
        <v>58.850152000000008</v>
      </c>
      <c r="I80">
        <f t="shared" si="7"/>
        <v>122.11908674402731</v>
      </c>
    </row>
    <row r="81" spans="1:9">
      <c r="A81" t="s">
        <v>1122</v>
      </c>
      <c r="E81">
        <v>2.0477815699658703E-3</v>
      </c>
      <c r="F81" t="s">
        <v>149</v>
      </c>
      <c r="G81" s="21">
        <f t="shared" si="8"/>
        <v>0.32764505119453924</v>
      </c>
      <c r="H81" s="61">
        <f>'APUS COMUNICACIONES'!J161</f>
        <v>57.88015200000001</v>
      </c>
      <c r="I81">
        <f t="shared" si="7"/>
        <v>18.964145365187715</v>
      </c>
    </row>
    <row r="82" spans="1:9">
      <c r="A82" t="s">
        <v>1124</v>
      </c>
      <c r="E82">
        <v>1.2627986348122866E-2</v>
      </c>
      <c r="F82" t="s">
        <v>144</v>
      </c>
      <c r="G82" s="21">
        <f t="shared" si="8"/>
        <v>2.0204778156996586</v>
      </c>
      <c r="H82" s="61">
        <f>'APUS COMUNICACIONES'!J176</f>
        <v>99.340459999999993</v>
      </c>
      <c r="I82">
        <f t="shared" si="7"/>
        <v>200.7151956313993</v>
      </c>
    </row>
    <row r="83" spans="1:9">
      <c r="A83" s="89" t="s">
        <v>1125</v>
      </c>
    </row>
    <row r="84" spans="1:9">
      <c r="A84" s="89" t="s">
        <v>1155</v>
      </c>
    </row>
    <row r="85" spans="1:9">
      <c r="A85" t="s">
        <v>1159</v>
      </c>
      <c r="E85">
        <v>2.7303754266211604E-3</v>
      </c>
      <c r="F85" t="s">
        <v>149</v>
      </c>
      <c r="G85" s="21">
        <f t="shared" ref="G85:G86" si="9">E85*$M$2</f>
        <v>0.43686006825938567</v>
      </c>
      <c r="H85" s="12">
        <f>'APUS COMUNICACIONES'!J422</f>
        <v>633.69880000000001</v>
      </c>
      <c r="I85">
        <f t="shared" si="7"/>
        <v>276.83770102389082</v>
      </c>
    </row>
    <row r="86" spans="1:9">
      <c r="A86" t="s">
        <v>1161</v>
      </c>
      <c r="E86">
        <v>2.7303754266211604E-3</v>
      </c>
      <c r="F86" t="s">
        <v>149</v>
      </c>
      <c r="G86" s="21">
        <f>E86*$M$2</f>
        <v>0.43686006825938567</v>
      </c>
      <c r="H86" s="12">
        <f>'APUS COMUNICACIONES'!J440</f>
        <v>520.83879999999999</v>
      </c>
      <c r="I86">
        <f t="shared" si="7"/>
        <v>227.53367372013651</v>
      </c>
    </row>
    <row r="87" spans="1:9">
      <c r="A87" s="89" t="s">
        <v>1391</v>
      </c>
    </row>
    <row r="88" spans="1:9">
      <c r="A88" t="s">
        <v>1166</v>
      </c>
      <c r="E88">
        <v>6.8259385665529011E-3</v>
      </c>
      <c r="F88" t="s">
        <v>149</v>
      </c>
      <c r="G88" s="21">
        <f t="shared" ref="G88" si="10">E88*$M$2</f>
        <v>1.0921501706484642</v>
      </c>
      <c r="H88" s="12">
        <f>'APUS COMUNICACIONES'!J469</f>
        <v>367.66879999999998</v>
      </c>
      <c r="I88">
        <f t="shared" si="7"/>
        <v>401.54954266211604</v>
      </c>
    </row>
    <row r="89" spans="1:9">
      <c r="A89" s="89" t="s">
        <v>1167</v>
      </c>
    </row>
    <row r="90" spans="1:9">
      <c r="A90" t="s">
        <v>1171</v>
      </c>
      <c r="E90">
        <v>2.7303754266211604E-3</v>
      </c>
      <c r="F90" t="s">
        <v>149</v>
      </c>
      <c r="G90" s="21">
        <f t="shared" ref="G90:G91" si="11">E90*$M$2</f>
        <v>0.43686006825938567</v>
      </c>
      <c r="H90" s="12">
        <f>'APUS COMUNICACIONES'!J497</f>
        <v>96.144090000000006</v>
      </c>
      <c r="I90">
        <f t="shared" si="7"/>
        <v>42.001513720136522</v>
      </c>
    </row>
    <row r="91" spans="1:9">
      <c r="A91" t="s">
        <v>1173</v>
      </c>
      <c r="E91">
        <v>2.7303754266211604E-3</v>
      </c>
      <c r="F91" t="s">
        <v>149</v>
      </c>
      <c r="G91" s="21">
        <f t="shared" si="11"/>
        <v>0.43686006825938567</v>
      </c>
      <c r="H91" s="12">
        <f>'APUS COMUNICACIONES'!J513</f>
        <v>64.330690000000004</v>
      </c>
      <c r="I91">
        <f t="shared" si="7"/>
        <v>28.10350962457338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3561-8533-4A3A-B679-BD34548B4C65}">
  <sheetPr>
    <tabColor rgb="FFFFFF00"/>
  </sheetPr>
  <dimension ref="A2:BP165"/>
  <sheetViews>
    <sheetView workbookViewId="0">
      <selection activeCell="L12" sqref="L1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'!D18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8096.5840270081626</v>
      </c>
      <c r="L4" s="25" t="s">
        <v>1368</v>
      </c>
      <c r="M4" s="130">
        <f>J4/M2</f>
        <v>809.65840270081628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(((2*3.75)*3)-(0.75*2.1))/30</f>
        <v>0.69750000000000001</v>
      </c>
      <c r="F6" s="289" t="s">
        <v>133</v>
      </c>
      <c r="G6" s="21">
        <f>E6*$M$2</f>
        <v>6.9749999999999996</v>
      </c>
      <c r="H6" s="12">
        <f>'APUS ARQUITECTURA'!J5</f>
        <v>135.824337926792</v>
      </c>
      <c r="I6">
        <f>G6*H6</f>
        <v>947.37475703937412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>
        <f>(((8/2)*2)*3)/30</f>
        <v>0.8</v>
      </c>
      <c r="F7" s="289" t="s">
        <v>133</v>
      </c>
      <c r="G7" s="21">
        <f t="shared" ref="G7:G10" si="0">E7*$M$2</f>
        <v>8</v>
      </c>
      <c r="H7" s="12">
        <f>'APUS ARQUITECTURA'!J32</f>
        <v>150.06569999999999</v>
      </c>
      <c r="I7">
        <f t="shared" ref="I7:I10" si="1">G7*H7</f>
        <v>1200.5255999999999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/>
      <c r="F8" s="289" t="s">
        <v>133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4"/>
      <c r="F9" s="289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4"/>
      <c r="F10" s="289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((6.95*2*3)+(4.25*2*3)-(2.1*1))/30</f>
        <v>2.1700000000000004</v>
      </c>
      <c r="F13" s="19" t="s">
        <v>133</v>
      </c>
      <c r="G13" s="21">
        <f t="shared" ref="G13" si="2">E13*$M$2</f>
        <v>21.700000000000003</v>
      </c>
      <c r="H13" s="12">
        <f>'APUS ARQUITECTURA'!J127</f>
        <v>27.122965133333338</v>
      </c>
      <c r="I13">
        <f>G13*H13</f>
        <v>588.56834339333352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(((4.25+0.6)*3.3)+((1.4+0.6)*3))/30</f>
        <v>0.73349999999999993</v>
      </c>
      <c r="F14" s="19" t="s">
        <v>133</v>
      </c>
      <c r="G14" s="21">
        <f>E14*$M$2</f>
        <v>7.3349999999999991</v>
      </c>
      <c r="H14" s="12">
        <f>'APUS ARQUITECTURA'!J148</f>
        <v>35.840962666666663</v>
      </c>
      <c r="I14">
        <f>G14*H14</f>
        <v>262.89346115999996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F15" s="19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s="19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28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s="19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</v>
      </c>
      <c r="F19" s="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s="19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s="19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s="19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>
        <v>1</v>
      </c>
      <c r="F24" s="19" t="s">
        <v>133</v>
      </c>
      <c r="G24" s="21">
        <f>E24*$M$2</f>
        <v>10</v>
      </c>
      <c r="H24" s="12">
        <f>'APUS ARQUITECTURA'!J292</f>
        <v>47.432200000000002</v>
      </c>
      <c r="I24">
        <f>G24*H24</f>
        <v>474.322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s="19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795</v>
      </c>
      <c r="E26" s="124"/>
      <c r="F26" s="19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F27" s="19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s="19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s="1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s="19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s="19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s="19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s="19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F34" s="19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4">
        <f>2.1*1/30</f>
        <v>7.0000000000000007E-2</v>
      </c>
      <c r="F35" s="19" t="s">
        <v>133</v>
      </c>
      <c r="G35" s="21">
        <f>E35*$M$2</f>
        <v>0.70000000000000007</v>
      </c>
      <c r="H35" s="12">
        <f>'APUS ARQUITECTURA'!J449</f>
        <v>560.62260000000003</v>
      </c>
      <c r="I35">
        <f>G35*H35</f>
        <v>392.43582000000004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/>
      <c r="F36" s="19" t="s">
        <v>133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35"/>
      <c r="F37" s="19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4">
        <v>0.13</v>
      </c>
      <c r="F38" s="19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s="1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F40" s="19"/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E19+E13</f>
        <v>3.1700000000000004</v>
      </c>
      <c r="F41" s="19" t="s">
        <v>133</v>
      </c>
      <c r="G41" s="21">
        <f>E41*$M$2</f>
        <v>31.700000000000003</v>
      </c>
      <c r="H41" s="12">
        <f>'APUS ARQUITECTURA'!J484</f>
        <v>15.625164000000002</v>
      </c>
      <c r="I41">
        <f>G41*H41</f>
        <v>495.31769880000007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0.73349999999999993</v>
      </c>
      <c r="F42" s="290" t="s">
        <v>133</v>
      </c>
      <c r="G42" s="21">
        <f>E42*$M$2</f>
        <v>7.3349999999999991</v>
      </c>
      <c r="H42" s="12">
        <f>'APUS ARQUITECTURA'!J504</f>
        <v>15.956285454545455</v>
      </c>
      <c r="I42">
        <f>G42*H42</f>
        <v>117.0393538090909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F43" s="19"/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/>
      <c r="F44" s="19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/>
      <c r="F45" s="19" t="s">
        <v>1388</v>
      </c>
      <c r="G45" s="21">
        <f>E45*$M$2</f>
        <v>0</v>
      </c>
      <c r="H45" s="12">
        <f>'APUS SANITARIAS'!J12</f>
        <v>192.42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/>
      <c r="F46" s="19" t="s">
        <v>1388</v>
      </c>
      <c r="G46" s="21">
        <f>E46*$M$2</f>
        <v>0</v>
      </c>
      <c r="H46" s="12">
        <f>'APUS SANITARIAS'!J19</f>
        <v>67.521666666666661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s="19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s="19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s="1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s="19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s="19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s="19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s="19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s="19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s="19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s="19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s="19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F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6/30</f>
        <v>0.2</v>
      </c>
      <c r="F59" s="19" t="s">
        <v>214</v>
      </c>
      <c r="G59" s="21">
        <f t="shared" ref="G59:G62" si="3">E59*$M$2</f>
        <v>2</v>
      </c>
      <c r="H59" s="12">
        <f>'APUS ELECTRICAS'!J5</f>
        <v>121.04310400000001</v>
      </c>
      <c r="I59">
        <f>G59*H59</f>
        <v>242.08620800000003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6/30</f>
        <v>0.2</v>
      </c>
      <c r="F60" s="19" t="s">
        <v>214</v>
      </c>
      <c r="G60" s="21">
        <f t="shared" si="3"/>
        <v>2</v>
      </c>
      <c r="H60" s="12">
        <f>'APUS ELECTRICAS'!J26</f>
        <v>163.73838000000001</v>
      </c>
      <c r="I60">
        <f>G60*H60</f>
        <v>327.47676000000001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6/30</f>
        <v>0.2</v>
      </c>
      <c r="F61" s="19" t="s">
        <v>214</v>
      </c>
      <c r="G61" s="21">
        <f t="shared" si="3"/>
        <v>2</v>
      </c>
      <c r="H61" s="12">
        <f>'APUS ELECTRICAS'!J48</f>
        <v>118.30689999999998</v>
      </c>
      <c r="I61">
        <f>G61*H61</f>
        <v>236.61379999999997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s="19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F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(30/10)/30</f>
        <v>0.1</v>
      </c>
      <c r="F64" s="19" t="s">
        <v>149</v>
      </c>
      <c r="G64" s="21">
        <f>E64*$M$2</f>
        <v>1</v>
      </c>
      <c r="H64" s="12">
        <f>'APUS ELECTRICAS'!J74</f>
        <v>396.14503200000001</v>
      </c>
      <c r="I64">
        <f>G64*H64</f>
        <v>396.14503200000001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(30/10)/30</f>
        <v>0.1</v>
      </c>
      <c r="F65" s="19" t="s">
        <v>149</v>
      </c>
      <c r="G65" s="21">
        <f>E65*$M$2</f>
        <v>1</v>
      </c>
      <c r="H65" s="12">
        <f>'APUS ELECTRICAS'!J88</f>
        <v>105.9636</v>
      </c>
      <c r="I65">
        <f>G65*H65</f>
        <v>105.9636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s="19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s="19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F70" s="19"/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F71" s="19"/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s="19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4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s="19" t="s">
        <v>149</v>
      </c>
      <c r="G73" s="21">
        <f t="shared" ref="G73:G82" si="5">E73*$M$2</f>
        <v>6.8259385665529013E-2</v>
      </c>
      <c r="H73" s="61">
        <f>'APUS COMUNICACIONES'!J23</f>
        <v>95.843099999999993</v>
      </c>
      <c r="I73">
        <f t="shared" si="4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s="19" t="s">
        <v>149</v>
      </c>
      <c r="G74" s="21">
        <f t="shared" si="5"/>
        <v>0.11604095563139932</v>
      </c>
      <c r="H74" s="61">
        <f>'APUS COMUNICACIONES'!J41</f>
        <v>95.843099999999993</v>
      </c>
      <c r="I74">
        <f t="shared" si="4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s="19" t="s">
        <v>144</v>
      </c>
      <c r="G75" s="21">
        <f t="shared" si="5"/>
        <v>3.2491467576791805E-2</v>
      </c>
      <c r="H75" s="61">
        <f>'APUS COMUNICACIONES'!J59</f>
        <v>26.403334000000001</v>
      </c>
      <c r="I75">
        <f t="shared" si="4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s="19" t="s">
        <v>144</v>
      </c>
      <c r="G76" s="21">
        <f t="shared" si="5"/>
        <v>0.6778839590443686</v>
      </c>
      <c r="H76" s="61">
        <f>'APUS COMUNICACIONES'!J77</f>
        <v>25.004334</v>
      </c>
      <c r="I76">
        <f t="shared" si="4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s="19" t="s">
        <v>144</v>
      </c>
      <c r="G77" s="21">
        <f t="shared" si="5"/>
        <v>2.742457337883959</v>
      </c>
      <c r="H77" s="61">
        <f>'APUS COMUNICACIONES'!J95</f>
        <v>19.232787999999999</v>
      </c>
      <c r="I77">
        <f t="shared" si="4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s="19" t="s">
        <v>144</v>
      </c>
      <c r="G78" s="21">
        <f t="shared" si="5"/>
        <v>1.6109215017064846E-2</v>
      </c>
      <c r="H78" s="61">
        <f>'APUS COMUNICACIONES'!J113</f>
        <v>16.371788000000002</v>
      </c>
      <c r="I78">
        <f t="shared" si="4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s="19" t="s">
        <v>149</v>
      </c>
      <c r="G79" s="21">
        <f t="shared" si="5"/>
        <v>6.8259385665529013E-2</v>
      </c>
      <c r="H79" s="61">
        <f>'APUS COMUNICACIONES'!J131</f>
        <v>62.670152000000002</v>
      </c>
      <c r="I79">
        <f t="shared" si="4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s="19" t="s">
        <v>149</v>
      </c>
      <c r="G80" s="21">
        <f t="shared" si="5"/>
        <v>0.12969283276450511</v>
      </c>
      <c r="H80" s="61">
        <f>'APUS COMUNICACIONES'!J146</f>
        <v>58.850152000000008</v>
      </c>
      <c r="I80">
        <f t="shared" si="4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s="19" t="s">
        <v>149</v>
      </c>
      <c r="G81" s="21">
        <f t="shared" si="5"/>
        <v>2.0477815699658702E-2</v>
      </c>
      <c r="H81" s="61">
        <f>'APUS COMUNICACIONES'!J161</f>
        <v>57.88015200000001</v>
      </c>
      <c r="I81">
        <f t="shared" si="4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s="19" t="s">
        <v>144</v>
      </c>
      <c r="G82" s="21">
        <f t="shared" si="5"/>
        <v>0.12627986348122866</v>
      </c>
      <c r="H82" s="61">
        <f>'APUS COMUNICACIONES'!J176</f>
        <v>99.340459999999993</v>
      </c>
      <c r="I82">
        <f t="shared" si="4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F83" s="19"/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  <c r="F84" s="19"/>
    </row>
    <row r="85" spans="1:68">
      <c r="A85" t="s">
        <v>1159</v>
      </c>
      <c r="E85">
        <v>2.7303754266211604E-3</v>
      </c>
      <c r="F85" s="19" t="s">
        <v>149</v>
      </c>
      <c r="G85" s="21">
        <f t="shared" ref="G85:G86" si="6">E85*$M$2</f>
        <v>2.7303754266211604E-2</v>
      </c>
      <c r="H85" s="12">
        <f>'APUS COMUNICACIONES'!J422</f>
        <v>633.69880000000001</v>
      </c>
      <c r="I85">
        <f t="shared" si="4"/>
        <v>17.302356313993176</v>
      </c>
    </row>
    <row r="86" spans="1:68">
      <c r="A86" t="s">
        <v>1161</v>
      </c>
      <c r="E86">
        <v>2.7303754266211604E-3</v>
      </c>
      <c r="F86" s="19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4"/>
        <v>14.220854607508532</v>
      </c>
    </row>
    <row r="87" spans="1:68">
      <c r="A87" s="89" t="s">
        <v>1391</v>
      </c>
      <c r="F87" s="19"/>
    </row>
    <row r="88" spans="1:68">
      <c r="A88" t="s">
        <v>1166</v>
      </c>
      <c r="E88">
        <v>6.8259385665529011E-3</v>
      </c>
      <c r="F88" s="19" t="s">
        <v>149</v>
      </c>
      <c r="G88" s="21">
        <f t="shared" ref="G88" si="7">E88*$M$2</f>
        <v>6.8259385665529013E-2</v>
      </c>
      <c r="H88" s="12">
        <f>'APUS COMUNICACIONES'!J469</f>
        <v>367.66879999999998</v>
      </c>
      <c r="I88">
        <f t="shared" si="4"/>
        <v>25.096846416382252</v>
      </c>
    </row>
    <row r="89" spans="1:68">
      <c r="A89" s="89" t="s">
        <v>1167</v>
      </c>
      <c r="F89" s="19"/>
    </row>
    <row r="90" spans="1:68">
      <c r="A90" t="s">
        <v>1171</v>
      </c>
      <c r="E90">
        <v>2.7303754266211604E-3</v>
      </c>
      <c r="F90" s="19" t="s">
        <v>149</v>
      </c>
      <c r="G90" s="21">
        <f t="shared" ref="G90:G91" si="8">E90*$M$2</f>
        <v>2.7303754266211604E-2</v>
      </c>
      <c r="H90" s="12">
        <f>'APUS COMUNICACIONES'!J497</f>
        <v>96.144090000000006</v>
      </c>
      <c r="I90">
        <f t="shared" si="4"/>
        <v>2.6250946075085326</v>
      </c>
    </row>
    <row r="91" spans="1:68">
      <c r="A91" t="s">
        <v>1173</v>
      </c>
      <c r="E91">
        <v>2.7303754266211604E-3</v>
      </c>
      <c r="F91" s="19" t="s">
        <v>149</v>
      </c>
      <c r="G91" s="21">
        <f t="shared" si="8"/>
        <v>2.7303754266211604E-2</v>
      </c>
      <c r="H91" s="12">
        <f>'APUS COMUNICACIONES'!J513</f>
        <v>64.330690000000004</v>
      </c>
      <c r="I91">
        <f t="shared" si="4"/>
        <v>1.7564693515358363</v>
      </c>
    </row>
    <row r="92" spans="1:68">
      <c r="F92" s="19"/>
    </row>
    <row r="93" spans="1:68">
      <c r="F93" s="19"/>
    </row>
    <row r="94" spans="1:68">
      <c r="F94" s="19"/>
    </row>
    <row r="95" spans="1:68">
      <c r="F95" s="19"/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9A043-DD18-4C4F-A93F-75FCA163545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'!D19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9560.4039902390214</v>
      </c>
      <c r="L4" s="25" t="s">
        <v>1368</v>
      </c>
      <c r="M4" s="130">
        <f>J4/M2</f>
        <v>956.04039902390218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6.95*3/(2*150)</f>
        <v>6.9500000000000006E-2</v>
      </c>
      <c r="F6" s="63" t="s">
        <v>133</v>
      </c>
      <c r="G6" s="21">
        <f>E6*$M$2</f>
        <v>0.69500000000000006</v>
      </c>
      <c r="H6" s="12">
        <f>'APUS ARQUITECTURA'!J5</f>
        <v>135.824337926792</v>
      </c>
      <c r="I6">
        <f>G6*H6</f>
        <v>94.397914859120448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>
        <f>((6.95*3)/150)</f>
        <v>0.13900000000000001</v>
      </c>
      <c r="F7" s="63" t="s">
        <v>133</v>
      </c>
      <c r="G7" s="21">
        <f t="shared" ref="G7:G10" si="0">E7*$M$2</f>
        <v>1.3900000000000001</v>
      </c>
      <c r="H7" s="12">
        <f>'APUS ARQUITECTURA'!J32</f>
        <v>150.06569999999999</v>
      </c>
      <c r="I7">
        <f t="shared" ref="I7:I10" si="1">G7*H7</f>
        <v>208.59132300000002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>
        <f>((2.8*10*3)-(6*1)-(3*2.8*1)-(4*2*2.1))/150</f>
        <v>0.35199999999999998</v>
      </c>
      <c r="F8" s="63" t="s">
        <v>133</v>
      </c>
      <c r="G8" s="21">
        <f t="shared" si="0"/>
        <v>3.5199999999999996</v>
      </c>
      <c r="H8" s="12">
        <f>'APUS ARQUITECTURA'!J50</f>
        <v>141.06679428571431</v>
      </c>
      <c r="I8">
        <f t="shared" si="1"/>
        <v>496.55511588571432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7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7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((21.85*3)+(6.95*3)+(3*6.95/2)-(2.8*10*3)+(20*0.2*3))/150</f>
        <v>0.16550000000000001</v>
      </c>
      <c r="F13" t="s">
        <v>133</v>
      </c>
      <c r="G13" s="21">
        <f t="shared" ref="G13" si="2">E13*$M$2</f>
        <v>1.655</v>
      </c>
      <c r="H13" s="12">
        <f>'APUS ARQUITECTURA'!J127</f>
        <v>27.122965133333338</v>
      </c>
      <c r="I13">
        <f>G13*H13</f>
        <v>44.888507295666678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6.95*3.3/150</f>
        <v>0.15289999999999998</v>
      </c>
      <c r="F14" t="s">
        <v>133</v>
      </c>
      <c r="G14" s="21">
        <f>E14*$M$2</f>
        <v>1.5289999999999999</v>
      </c>
      <c r="H14" s="12">
        <f>'APUS ARQUITECTURA'!J148</f>
        <v>35.840962666666663</v>
      </c>
      <c r="I14">
        <f>G14*H14</f>
        <v>54.800831917333326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>
        <v>1</v>
      </c>
      <c r="F18" t="s">
        <v>203</v>
      </c>
      <c r="G18" s="21">
        <f>E18*$M$2</f>
        <v>10</v>
      </c>
      <c r="H18" s="12">
        <f>'APUS ARQUITECTURA'!J188</f>
        <v>212.28215533333332</v>
      </c>
      <c r="I18">
        <f>G18*H18</f>
        <v>2122.8215533333332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/>
      <c r="F19" t="s">
        <v>203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f>1</f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>
        <f>1</f>
        <v>1</v>
      </c>
      <c r="F22" t="s">
        <v>133</v>
      </c>
      <c r="G22" s="21">
        <f>E22*$M$2</f>
        <v>10</v>
      </c>
      <c r="H22" s="12">
        <f>'APUS ARQUITECTURA'!J252</f>
        <v>206.77337199999999</v>
      </c>
      <c r="I22">
        <f>G22*H22</f>
        <v>2067.7337200000002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>
        <f>((21.84*2)+(6.95*2)-(2*4))*2/150</f>
        <v>0.66106666666666669</v>
      </c>
      <c r="F30" t="s">
        <v>144</v>
      </c>
      <c r="G30" s="21">
        <f>E30*$M$2</f>
        <v>6.6106666666666669</v>
      </c>
      <c r="H30" s="12">
        <f>'APUS ARQUITECTURA'!J383</f>
        <v>36.537022000000007</v>
      </c>
      <c r="I30">
        <f>G30*H30</f>
        <v>241.53407343466674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4*2*2.1/150</f>
        <v>0.112</v>
      </c>
      <c r="F35" t="s">
        <v>133</v>
      </c>
      <c r="G35" s="21">
        <f>E35*$M$2</f>
        <v>1.1200000000000001</v>
      </c>
      <c r="H35" s="12">
        <f>'APUS ARQUITECTURA'!J449</f>
        <v>560.62260000000003</v>
      </c>
      <c r="I35">
        <f>G35*H35</f>
        <v>627.89731200000006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((2*3)+(2.8*3))/150</f>
        <v>9.5999999999999988E-2</v>
      </c>
      <c r="F36" t="s">
        <v>133</v>
      </c>
      <c r="G36" s="21">
        <f>E36*$M$2</f>
        <v>0.95999999999999985</v>
      </c>
      <c r="H36" s="12">
        <f>'APUS ARQUITECTURA'!J456</f>
        <v>367.87083424090611</v>
      </c>
      <c r="I36">
        <f>G36*H36</f>
        <v>353.15600087126978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E18+E19+E13</f>
        <v>1.1655</v>
      </c>
      <c r="F41" t="s">
        <v>133</v>
      </c>
      <c r="G41" s="21">
        <f>E41*$M$2</f>
        <v>11.654999999999999</v>
      </c>
      <c r="H41" s="12">
        <f>'APUS ARQUITECTURA'!J484</f>
        <v>15.625164000000002</v>
      </c>
      <c r="I41">
        <f>G41*H41</f>
        <v>182.11128642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0.15289999999999998</v>
      </c>
      <c r="F42" s="105" t="s">
        <v>133</v>
      </c>
      <c r="G42" s="21">
        <f>E42*$M$2</f>
        <v>1.5289999999999999</v>
      </c>
      <c r="H42" s="12">
        <f>'APUS ARQUITECTURA'!J504</f>
        <v>15.956285454545455</v>
      </c>
      <c r="I42">
        <f>G42*H42</f>
        <v>24.397160459999998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>
        <f>1/150</f>
        <v>6.6666666666666671E-3</v>
      </c>
      <c r="F44" t="s">
        <v>1388</v>
      </c>
      <c r="G44" s="21">
        <f>E44*$M$2</f>
        <v>6.6666666666666666E-2</v>
      </c>
      <c r="H44" s="12">
        <f>'APUS SANITARIAS'!J5</f>
        <v>193.33333333333331</v>
      </c>
      <c r="I44">
        <f>G44*H44</f>
        <v>12.888888888888888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>
        <f>1/150</f>
        <v>6.6666666666666671E-3</v>
      </c>
      <c r="F45" t="s">
        <v>1388</v>
      </c>
      <c r="G45" s="21">
        <f>E45*$M$2</f>
        <v>6.6666666666666666E-2</v>
      </c>
      <c r="H45" s="12">
        <f>'APUS SANITARIAS'!J12</f>
        <v>192.42</v>
      </c>
      <c r="I45">
        <f>G45*H45</f>
        <v>12.827999999999999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>
        <f>1/150</f>
        <v>6.6666666666666671E-3</v>
      </c>
      <c r="F46" t="s">
        <v>1388</v>
      </c>
      <c r="G46" s="21">
        <f>E46*$M$2</f>
        <v>6.6666666666666666E-2</v>
      </c>
      <c r="H46" s="12">
        <f>'APUS SANITARIAS'!J19</f>
        <v>67.521666666666661</v>
      </c>
      <c r="I46">
        <f>G46*H46</f>
        <v>4.5014444444444441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>
        <f>1/150</f>
        <v>6.6666666666666671E-3</v>
      </c>
      <c r="F48" t="s">
        <v>214</v>
      </c>
      <c r="G48" s="21">
        <f>E48*$M$2</f>
        <v>6.6666666666666666E-2</v>
      </c>
      <c r="H48" s="12">
        <f>'APUS SANITARIAS'!J32</f>
        <v>131.73781333333332</v>
      </c>
      <c r="I48">
        <f>G48*H48</f>
        <v>8.7825208888888877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>
        <f>1/150</f>
        <v>6.6666666666666671E-3</v>
      </c>
      <c r="F53" t="s">
        <v>214</v>
      </c>
      <c r="G53" s="21">
        <f>E53*$M$2</f>
        <v>6.6666666666666666E-2</v>
      </c>
      <c r="H53" s="12">
        <f>'APUS SANITARIAS'!J108</f>
        <v>138.64527999999999</v>
      </c>
      <c r="I53">
        <f>G53*H53</f>
        <v>9.243018666666666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>
        <f t="shared" ref="E54:E55" si="3">1/150</f>
        <v>6.6666666666666671E-3</v>
      </c>
      <c r="F54" t="s">
        <v>214</v>
      </c>
      <c r="G54" s="21">
        <f>E54*$M$2</f>
        <v>6.6666666666666666E-2</v>
      </c>
      <c r="H54" s="12">
        <f>'APUS SANITARIAS'!J127</f>
        <v>145.93577999999999</v>
      </c>
      <c r="I54">
        <f>G54*H54</f>
        <v>9.7290519999999994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>
        <f t="shared" si="3"/>
        <v>6.6666666666666671E-3</v>
      </c>
      <c r="F55" t="s">
        <v>214</v>
      </c>
      <c r="G55" s="21">
        <f>E55*$M$2</f>
        <v>6.6666666666666666E-2</v>
      </c>
      <c r="H55" s="12">
        <f>'APUS SANITARIAS'!J145</f>
        <v>141.07118</v>
      </c>
      <c r="I55">
        <f>G55*H55</f>
        <v>9.4047453333333326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29/150</f>
        <v>0.19333333333333333</v>
      </c>
      <c r="F59" t="s">
        <v>214</v>
      </c>
      <c r="G59" s="21">
        <f t="shared" ref="G59:G62" si="4">E59*$M$2</f>
        <v>1.9333333333333333</v>
      </c>
      <c r="H59" s="12">
        <f>'APUS ELECTRICAS'!J5</f>
        <v>121.04310400000001</v>
      </c>
      <c r="I59">
        <f>G59*H59</f>
        <v>234.01666773333335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29/150</f>
        <v>0.19333333333333333</v>
      </c>
      <c r="F60" t="s">
        <v>214</v>
      </c>
      <c r="G60" s="21">
        <f t="shared" si="4"/>
        <v>1.9333333333333333</v>
      </c>
      <c r="H60" s="12">
        <f>'APUS ELECTRICAS'!J26</f>
        <v>163.73838000000001</v>
      </c>
      <c r="I60">
        <f>G60*H60</f>
        <v>316.56086800000003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29/150</f>
        <v>0.19333333333333333</v>
      </c>
      <c r="F61" t="s">
        <v>214</v>
      </c>
      <c r="G61" s="21">
        <f t="shared" si="4"/>
        <v>1.9333333333333333</v>
      </c>
      <c r="H61" s="12">
        <f>'APUS ELECTRICAS'!J48</f>
        <v>118.30689999999998</v>
      </c>
      <c r="I61">
        <f>G61*H61</f>
        <v>228.72667333333331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 t="shared" si="4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v>0.1</v>
      </c>
      <c r="F64" t="s">
        <v>149</v>
      </c>
      <c r="G64" s="21">
        <f>E64*$M$2</f>
        <v>1</v>
      </c>
      <c r="H64" s="12">
        <f>'APUS ELECTRICAS'!J74</f>
        <v>396.14503200000001</v>
      </c>
      <c r="I64">
        <f>G64*H64</f>
        <v>396.14503200000001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v>0.1</v>
      </c>
      <c r="F65" t="s">
        <v>149</v>
      </c>
      <c r="G65" s="21">
        <f>E65*$M$2</f>
        <v>1</v>
      </c>
      <c r="H65" s="12">
        <f>'APUS ELECTRICAS'!J88</f>
        <v>105.9636</v>
      </c>
      <c r="I65">
        <f>G65*H65</f>
        <v>105.9636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>
        <f>1/150</f>
        <v>6.6666666666666671E-3</v>
      </c>
      <c r="F66" t="s">
        <v>149</v>
      </c>
      <c r="G66" s="21">
        <f>E66*$M$2</f>
        <v>6.6666666666666666E-2</v>
      </c>
      <c r="H66" s="12">
        <f>'APUS ELECTRICAS'!J106</f>
        <v>143.11000000000001</v>
      </c>
      <c r="I66">
        <f>G66*H66</f>
        <v>9.5406666666666666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5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6">E73*$M$2</f>
        <v>6.8259385665529013E-2</v>
      </c>
      <c r="H73" s="61">
        <f>'APUS COMUNICACIONES'!J23</f>
        <v>95.843099999999993</v>
      </c>
      <c r="I73">
        <f t="shared" si="5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6"/>
        <v>0.11604095563139932</v>
      </c>
      <c r="H74" s="61">
        <f>'APUS COMUNICACIONES'!J41</f>
        <v>95.843099999999993</v>
      </c>
      <c r="I74">
        <f t="shared" si="5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6"/>
        <v>3.2491467576791805E-2</v>
      </c>
      <c r="H75" s="61">
        <f>'APUS COMUNICACIONES'!J59</f>
        <v>26.403334000000001</v>
      </c>
      <c r="I75">
        <f t="shared" si="5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6"/>
        <v>0.6778839590443686</v>
      </c>
      <c r="H76" s="61">
        <f>'APUS COMUNICACIONES'!J77</f>
        <v>25.004334</v>
      </c>
      <c r="I76">
        <f t="shared" si="5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6"/>
        <v>2.742457337883959</v>
      </c>
      <c r="H77" s="61">
        <f>'APUS COMUNICACIONES'!J95</f>
        <v>19.232787999999999</v>
      </c>
      <c r="I77">
        <f t="shared" si="5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6"/>
        <v>1.6109215017064846E-2</v>
      </c>
      <c r="H78" s="61">
        <f>'APUS COMUNICACIONES'!J113</f>
        <v>16.371788000000002</v>
      </c>
      <c r="I78">
        <f t="shared" si="5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6"/>
        <v>6.8259385665529013E-2</v>
      </c>
      <c r="H79" s="61">
        <f>'APUS COMUNICACIONES'!J131</f>
        <v>62.670152000000002</v>
      </c>
      <c r="I79">
        <f t="shared" si="5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6"/>
        <v>0.12969283276450511</v>
      </c>
      <c r="H80" s="61">
        <f>'APUS COMUNICACIONES'!J146</f>
        <v>58.850152000000008</v>
      </c>
      <c r="I80">
        <f t="shared" si="5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6"/>
        <v>2.0477815699658702E-2</v>
      </c>
      <c r="H81" s="61">
        <f>'APUS COMUNICACIONES'!J161</f>
        <v>57.88015200000001</v>
      </c>
      <c r="I81">
        <f t="shared" si="5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6"/>
        <v>0.12627986348122866</v>
      </c>
      <c r="H82" s="61">
        <f>'APUS COMUNICACIONES'!J176</f>
        <v>99.340459999999993</v>
      </c>
      <c r="I82">
        <f t="shared" si="5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7">E85*$M$2</f>
        <v>2.7303754266211604E-2</v>
      </c>
      <c r="H85" s="12">
        <f>'APUS COMUNICACIONES'!J422</f>
        <v>633.69880000000001</v>
      </c>
      <c r="I85">
        <f t="shared" si="5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5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8">E88*$M$2</f>
        <v>6.8259385665529013E-2</v>
      </c>
      <c r="H88" s="12">
        <f>'APUS COMUNICACIONES'!J469</f>
        <v>367.66879999999998</v>
      </c>
      <c r="I88">
        <f t="shared" si="5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9">E90*$M$2</f>
        <v>2.7303754266211604E-2</v>
      </c>
      <c r="H90" s="12">
        <f>'APUS COMUNICACIONES'!J497</f>
        <v>96.144090000000006</v>
      </c>
      <c r="I90">
        <f t="shared" si="5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9"/>
        <v>2.7303754266211604E-2</v>
      </c>
      <c r="H91" s="12">
        <f>'APUS COMUNICACIONES'!J513</f>
        <v>64.330690000000004</v>
      </c>
      <c r="I91">
        <f t="shared" si="5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750F1-7D25-48CB-8B59-9AF64A1AF60B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'!D20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12215.890366555546</v>
      </c>
      <c r="L4" s="25" t="s">
        <v>1368</v>
      </c>
      <c r="M4" s="130">
        <f>J4/M2</f>
        <v>1221.5890366555545</v>
      </c>
      <c r="N4">
        <v>1221.5889999999999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(7.55+1.75+1.3+1.3+(7.55/2))*3/33.5</f>
        <v>1.4037313432835823</v>
      </c>
      <c r="F6" s="63" t="s">
        <v>133</v>
      </c>
      <c r="G6" s="21">
        <f>E6*$M$2</f>
        <v>14.037313432835823</v>
      </c>
      <c r="H6" s="12">
        <f>'APUS ARQUITECTURA'!J5</f>
        <v>135.824337926792</v>
      </c>
      <c r="I6">
        <f>G6*H6</f>
        <v>1906.6088032857895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>
        <v>0</v>
      </c>
      <c r="F7" s="63" t="s">
        <v>133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>
        <f>0.4*3*2/33.5</f>
        <v>7.1641791044776124E-2</v>
      </c>
      <c r="F8" s="63" t="s">
        <v>133</v>
      </c>
      <c r="G8" s="21">
        <f t="shared" si="0"/>
        <v>0.71641791044776126</v>
      </c>
      <c r="H8" s="12">
        <f>'APUS ARQUITECTURA'!J50</f>
        <v>141.06679428571431</v>
      </c>
      <c r="I8">
        <f t="shared" si="1"/>
        <v>101.06277799573563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7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7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((7.3*1.5)+3+4.7+0.45+0.2)*3/33.5</f>
        <v>1.7283582089552236</v>
      </c>
      <c r="F13" t="s">
        <v>133</v>
      </c>
      <c r="G13" s="21">
        <f t="shared" ref="G13" si="2">E13*$M$2</f>
        <v>17.283582089552237</v>
      </c>
      <c r="H13" s="12">
        <f>'APUS ARQUITECTURA'!J127</f>
        <v>27.122965133333338</v>
      </c>
      <c r="I13">
        <f>G13*H13</f>
        <v>468.78199439402988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(4.9+3+0.6+0.6)*3.3/33.5</f>
        <v>0.89641791044776109</v>
      </c>
      <c r="F14" t="s">
        <v>133</v>
      </c>
      <c r="G14" s="21">
        <f>E14*$M$2</f>
        <v>8.9641791044776102</v>
      </c>
      <c r="H14" s="12">
        <f>'APUS ARQUITECTURA'!J148</f>
        <v>35.840962666666663</v>
      </c>
      <c r="I14">
        <f>G14*H14</f>
        <v>321.28480862089543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>
        <v>1</v>
      </c>
      <c r="F18" t="s">
        <v>203</v>
      </c>
      <c r="G18" s="21">
        <f>E18*$M$2</f>
        <v>10</v>
      </c>
      <c r="H18" s="12">
        <f>'APUS ARQUITECTURA'!J188</f>
        <v>212.28215533333332</v>
      </c>
      <c r="I18">
        <f>G18*H18</f>
        <v>2122.8215533333332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/>
      <c r="F19" t="s">
        <v>203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>
        <v>1</v>
      </c>
      <c r="F22" t="s">
        <v>133</v>
      </c>
      <c r="G22" s="21">
        <f>E22*$M$2</f>
        <v>10</v>
      </c>
      <c r="H22" s="12">
        <f>'APUS ARQUITECTURA'!J252</f>
        <v>206.77337199999999</v>
      </c>
      <c r="I22">
        <f>G22*H22</f>
        <v>2067.7337200000002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>
        <f>((7.3*1.5)+4.7+3+0.45+0.2+0.8)/33.5</f>
        <v>0.6</v>
      </c>
      <c r="F30" t="s">
        <v>144</v>
      </c>
      <c r="G30" s="21">
        <f>E30*$M$2</f>
        <v>6</v>
      </c>
      <c r="H30" s="12">
        <f>'APUS ARQUITECTURA'!J383</f>
        <v>36.537022000000007</v>
      </c>
      <c r="I30">
        <f>G30*H30</f>
        <v>219.22213200000004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1*2.1/33.5</f>
        <v>6.2686567164179113E-2</v>
      </c>
      <c r="F35" t="s">
        <v>133</v>
      </c>
      <c r="G35" s="21">
        <f>E35*$M$2</f>
        <v>0.62686567164179108</v>
      </c>
      <c r="H35" s="12">
        <f>'APUS ARQUITECTURA'!J449</f>
        <v>560.62260000000003</v>
      </c>
      <c r="I35">
        <f>G35*H35</f>
        <v>351.43506268656722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v>0</v>
      </c>
      <c r="F36" t="s">
        <v>133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E18+E13</f>
        <v>2.7283582089552239</v>
      </c>
      <c r="F41" t="s">
        <v>133</v>
      </c>
      <c r="G41" s="21">
        <f>E41*$M$2</f>
        <v>27.28358208955224</v>
      </c>
      <c r="H41" s="12">
        <f>'APUS ARQUITECTURA'!J484</f>
        <v>15.625164000000002</v>
      </c>
      <c r="I41">
        <f>G41*H41</f>
        <v>426.31044465671647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0.89641791044776109</v>
      </c>
      <c r="F42" s="105" t="s">
        <v>133</v>
      </c>
      <c r="G42" s="21">
        <f>E42*$M$2</f>
        <v>8.9641791044776102</v>
      </c>
      <c r="H42" s="12">
        <f>'APUS ARQUITECTURA'!J504</f>
        <v>15.956285454545455</v>
      </c>
      <c r="I42">
        <f>G42*H42</f>
        <v>143.03500065671639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/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/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15/33.5</f>
        <v>0.44776119402985076</v>
      </c>
      <c r="F59" t="s">
        <v>214</v>
      </c>
      <c r="G59" s="21">
        <f t="shared" ref="G59:G62" si="3">E59*$M$2</f>
        <v>4.477611940298508</v>
      </c>
      <c r="H59" s="12">
        <f>'APUS ELECTRICAS'!J5</f>
        <v>121.04310400000001</v>
      </c>
      <c r="I59">
        <f>G59*H59</f>
        <v>541.98404776119412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15/33.5</f>
        <v>0.44776119402985076</v>
      </c>
      <c r="F60" t="s">
        <v>214</v>
      </c>
      <c r="G60" s="21">
        <f t="shared" si="3"/>
        <v>4.477611940298508</v>
      </c>
      <c r="H60" s="12">
        <f>'APUS ELECTRICAS'!J26</f>
        <v>163.73838000000001</v>
      </c>
      <c r="I60">
        <f>G60*H60</f>
        <v>733.15692537313441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15/33.5</f>
        <v>0.44776119402985076</v>
      </c>
      <c r="F61" t="s">
        <v>214</v>
      </c>
      <c r="G61" s="21">
        <f t="shared" si="3"/>
        <v>4.477611940298508</v>
      </c>
      <c r="H61" s="12">
        <f>'APUS ELECTRICAS'!J48</f>
        <v>118.30689999999998</v>
      </c>
      <c r="I61">
        <f>G61*H61</f>
        <v>529.73238805970152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4/33.5</f>
        <v>0.11940298507462686</v>
      </c>
      <c r="F64" t="s">
        <v>149</v>
      </c>
      <c r="G64" s="21">
        <f>E64*$M$2</f>
        <v>1.1940298507462686</v>
      </c>
      <c r="H64" s="12">
        <f>'APUS ELECTRICAS'!J74</f>
        <v>396.14503200000001</v>
      </c>
      <c r="I64">
        <f>G64*H64</f>
        <v>473.00899343283578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4/33.5</f>
        <v>0.11940298507462686</v>
      </c>
      <c r="F65" t="s">
        <v>149</v>
      </c>
      <c r="G65" s="21">
        <f>E65*$M$2</f>
        <v>1.1940298507462686</v>
      </c>
      <c r="H65" s="12">
        <f>'APUS ELECTRICAS'!J88</f>
        <v>105.9636</v>
      </c>
      <c r="I65">
        <f>G65*H65</f>
        <v>126.5237014925373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4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5">E73*$M$2</f>
        <v>6.8259385665529013E-2</v>
      </c>
      <c r="H73" s="61">
        <f>'APUS COMUNICACIONES'!J23</f>
        <v>95.843099999999993</v>
      </c>
      <c r="I73">
        <f t="shared" si="4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5"/>
        <v>0.11604095563139932</v>
      </c>
      <c r="H74" s="61">
        <f>'APUS COMUNICACIONES'!J41</f>
        <v>95.843099999999993</v>
      </c>
      <c r="I74">
        <f t="shared" si="4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5"/>
        <v>3.2491467576791805E-2</v>
      </c>
      <c r="H75" s="61">
        <f>'APUS COMUNICACIONES'!J59</f>
        <v>26.403334000000001</v>
      </c>
      <c r="I75">
        <f t="shared" si="4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5"/>
        <v>0.6778839590443686</v>
      </c>
      <c r="H76" s="61">
        <f>'APUS COMUNICACIONES'!J77</f>
        <v>25.004334</v>
      </c>
      <c r="I76">
        <f t="shared" si="4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5"/>
        <v>2.742457337883959</v>
      </c>
      <c r="H77" s="61">
        <f>'APUS COMUNICACIONES'!J95</f>
        <v>19.232787999999999</v>
      </c>
      <c r="I77">
        <f t="shared" si="4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5"/>
        <v>1.6109215017064846E-2</v>
      </c>
      <c r="H78" s="61">
        <f>'APUS COMUNICACIONES'!J113</f>
        <v>16.371788000000002</v>
      </c>
      <c r="I78">
        <f t="shared" si="4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5"/>
        <v>6.8259385665529013E-2</v>
      </c>
      <c r="H79" s="61">
        <f>'APUS COMUNICACIONES'!J131</f>
        <v>62.670152000000002</v>
      </c>
      <c r="I79">
        <f t="shared" si="4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5"/>
        <v>0.12969283276450511</v>
      </c>
      <c r="H80" s="61">
        <f>'APUS COMUNICACIONES'!J146</f>
        <v>58.850152000000008</v>
      </c>
      <c r="I80">
        <f t="shared" si="4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5"/>
        <v>2.0477815699658702E-2</v>
      </c>
      <c r="H81" s="61">
        <f>'APUS COMUNICACIONES'!J161</f>
        <v>57.88015200000001</v>
      </c>
      <c r="I81">
        <f t="shared" si="4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5"/>
        <v>0.12627986348122866</v>
      </c>
      <c r="H82" s="61">
        <f>'APUS COMUNICACIONES'!J176</f>
        <v>99.340459999999993</v>
      </c>
      <c r="I82">
        <f t="shared" si="4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6">E85*$M$2</f>
        <v>2.7303754266211604E-2</v>
      </c>
      <c r="H85" s="12">
        <f>'APUS COMUNICACIONES'!J422</f>
        <v>633.69880000000001</v>
      </c>
      <c r="I85">
        <f t="shared" si="4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4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7">E88*$M$2</f>
        <v>6.8259385665529013E-2</v>
      </c>
      <c r="H88" s="12">
        <f>'APUS COMUNICACIONES'!J469</f>
        <v>367.66879999999998</v>
      </c>
      <c r="I88">
        <f t="shared" si="4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8">E90*$M$2</f>
        <v>2.7303754266211604E-2</v>
      </c>
      <c r="H90" s="12">
        <f>'APUS COMUNICACIONES'!J497</f>
        <v>96.144090000000006</v>
      </c>
      <c r="I90">
        <f t="shared" si="4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8"/>
        <v>2.7303754266211604E-2</v>
      </c>
      <c r="H91" s="12">
        <f>'APUS COMUNICACIONES'!J513</f>
        <v>64.330690000000004</v>
      </c>
      <c r="I91">
        <f t="shared" si="4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B62C-E35F-461D-B149-F281A8D4614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'!D21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20642.975199297467</v>
      </c>
      <c r="L4" s="25" t="s">
        <v>1368</v>
      </c>
      <c r="M4" s="130">
        <f>J4/M2</f>
        <v>2064.2975199297466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((3*3.5)-(1.2*1.2))/10.5</f>
        <v>0.86285714285714288</v>
      </c>
      <c r="F6" s="63" t="s">
        <v>133</v>
      </c>
      <c r="G6" s="21">
        <f>E6*$M$2</f>
        <v>8.6285714285714281</v>
      </c>
      <c r="H6" s="12">
        <f>'APUS ARQUITECTURA'!J5</f>
        <v>135.824337926792</v>
      </c>
      <c r="I6">
        <f>G6*H6</f>
        <v>1171.970001539748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/>
      <c r="F7" s="63" t="s">
        <v>133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>
        <f>(2*(3/2)*3)/10.5</f>
        <v>0.8571428571428571</v>
      </c>
      <c r="F8" s="63" t="s">
        <v>133</v>
      </c>
      <c r="G8" s="21">
        <f t="shared" si="0"/>
        <v>8.5714285714285712</v>
      </c>
      <c r="H8" s="12">
        <f>'APUS ARQUITECTURA'!J50</f>
        <v>141.06679428571431</v>
      </c>
      <c r="I8">
        <f t="shared" si="1"/>
        <v>1209.1439510204084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7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7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v>3.1</v>
      </c>
      <c r="F13" t="s">
        <v>133</v>
      </c>
      <c r="G13" s="21">
        <f t="shared" ref="G13" si="2">E13*$M$2</f>
        <v>31</v>
      </c>
      <c r="H13" s="12">
        <f>'APUS ARQUITECTURA'!J127</f>
        <v>27.122965133333338</v>
      </c>
      <c r="I13">
        <f>G13*H13</f>
        <v>840.8119191333335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((3.3*3.5)-(1.2*1.2))/10.5</f>
        <v>0.96285714285714286</v>
      </c>
      <c r="F14" t="s">
        <v>133</v>
      </c>
      <c r="G14" s="21">
        <f>E14*$M$2</f>
        <v>9.6285714285714281</v>
      </c>
      <c r="H14" s="12">
        <f>'APUS ARQUITECTURA'!J148</f>
        <v>35.840962666666663</v>
      </c>
      <c r="I14">
        <f>G14*H14</f>
        <v>345.09726910476184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1.1000000000000001</v>
      </c>
      <c r="F19" t="s">
        <v>203</v>
      </c>
      <c r="G19" s="21">
        <f>E19*$M$2</f>
        <v>11</v>
      </c>
      <c r="H19" s="12">
        <f>'APUS ARQUITECTURA'!J212</f>
        <v>62.663358000000002</v>
      </c>
      <c r="I19">
        <f>G19*H19</f>
        <v>689.29693800000007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f>1</f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>
        <f>1</f>
        <v>1</v>
      </c>
      <c r="F22" t="s">
        <v>133</v>
      </c>
      <c r="G22" s="21">
        <f>E22*$M$2</f>
        <v>10</v>
      </c>
      <c r="H22" s="12">
        <f>'APUS ARQUITECTURA'!J252</f>
        <v>206.77337199999999</v>
      </c>
      <c r="I22">
        <f>G22*H22</f>
        <v>2067.7337200000002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>
        <f>(3.5+(3*2))/10.5</f>
        <v>0.90476190476190477</v>
      </c>
      <c r="F30" t="s">
        <v>144</v>
      </c>
      <c r="G30" s="21">
        <f>E30*$M$2</f>
        <v>9.0476190476190474</v>
      </c>
      <c r="H30" s="12">
        <f>'APUS ARQUITECTURA'!J383</f>
        <v>36.537022000000007</v>
      </c>
      <c r="I30">
        <f>G30*H30</f>
        <v>330.57305619047628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v>0.14000000000000001</v>
      </c>
      <c r="F35" t="s">
        <v>133</v>
      </c>
      <c r="G35" s="21">
        <f>E35*$M$2</f>
        <v>1.4000000000000001</v>
      </c>
      <c r="H35" s="12">
        <f>'APUS ARQUITECTURA'!J449</f>
        <v>560.62260000000003</v>
      </c>
      <c r="I35">
        <f>G35*H35</f>
        <v>784.87164000000007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v>0.19</v>
      </c>
      <c r="F36" t="s">
        <v>133</v>
      </c>
      <c r="G36" s="21">
        <f>E36*$M$2</f>
        <v>1.9</v>
      </c>
      <c r="H36" s="12">
        <f>'APUS ARQUITECTURA'!J456</f>
        <v>367.87083424090611</v>
      </c>
      <c r="I36">
        <f>G36*H36</f>
        <v>698.9545850577216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>
        <f>(2.85+2.9+1*2+1.4+3.2)*2.85/(14.6+14.5)</f>
        <v>1.2095360824742269</v>
      </c>
      <c r="F37" t="s">
        <v>133</v>
      </c>
      <c r="G37" s="21">
        <f>E37*$M$2</f>
        <v>12.095360824742269</v>
      </c>
      <c r="H37" s="12">
        <f>'APUS ARQUITECTURA'!J463</f>
        <v>514.53719413716362</v>
      </c>
      <c r="I37">
        <f>G37*H37</f>
        <v>6223.5130208394557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v>3.27</v>
      </c>
      <c r="F41" t="s">
        <v>133</v>
      </c>
      <c r="G41" s="21">
        <f>E41*$M$2</f>
        <v>32.700000000000003</v>
      </c>
      <c r="H41" s="12">
        <f>'APUS ARQUITECTURA'!J484</f>
        <v>15.625164000000002</v>
      </c>
      <c r="I41">
        <f>G41*H41</f>
        <v>510.94286280000011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0.96285714285714286</v>
      </c>
      <c r="F42" s="105" t="s">
        <v>133</v>
      </c>
      <c r="G42" s="21">
        <f>E42*$M$2</f>
        <v>9.6285714285714281</v>
      </c>
      <c r="H42" s="12">
        <f>'APUS ARQUITECTURA'!J504</f>
        <v>15.956285454545455</v>
      </c>
      <c r="I42">
        <f>G42*H42</f>
        <v>153.63623423376623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/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/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9/10.5</f>
        <v>0.8571428571428571</v>
      </c>
      <c r="F59" t="s">
        <v>214</v>
      </c>
      <c r="G59" s="21">
        <f t="shared" ref="G59:G62" si="3">E59*$M$2</f>
        <v>8.5714285714285712</v>
      </c>
      <c r="H59" s="12">
        <f>'APUS ELECTRICAS'!J5</f>
        <v>121.04310400000001</v>
      </c>
      <c r="I59">
        <f>G59*H59</f>
        <v>1037.51232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9/10.5</f>
        <v>0.8571428571428571</v>
      </c>
      <c r="F60" t="s">
        <v>214</v>
      </c>
      <c r="G60" s="21">
        <f t="shared" si="3"/>
        <v>8.5714285714285712</v>
      </c>
      <c r="H60" s="12">
        <f>'APUS ELECTRICAS'!J26</f>
        <v>163.73838000000001</v>
      </c>
      <c r="I60">
        <f>G60*H60</f>
        <v>1403.4718285714287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9/10.5</f>
        <v>0.8571428571428571</v>
      </c>
      <c r="F61" t="s">
        <v>214</v>
      </c>
      <c r="G61" s="21">
        <f t="shared" si="3"/>
        <v>8.5714285714285712</v>
      </c>
      <c r="H61" s="12">
        <f>'APUS ELECTRICAS'!J48</f>
        <v>118.30689999999998</v>
      </c>
      <c r="I61">
        <f>G61*H61</f>
        <v>1014.0591428571427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1/10.5</f>
        <v>9.5238095238095233E-2</v>
      </c>
      <c r="F64" t="s">
        <v>149</v>
      </c>
      <c r="G64" s="21">
        <f>E64*$M$2</f>
        <v>0.95238095238095233</v>
      </c>
      <c r="H64" s="12">
        <f>'APUS ELECTRICAS'!J74</f>
        <v>396.14503200000001</v>
      </c>
      <c r="I64">
        <f>G64*H64</f>
        <v>377.28098285714287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1/10.5</f>
        <v>9.5238095238095233E-2</v>
      </c>
      <c r="F65" t="s">
        <v>149</v>
      </c>
      <c r="G65" s="21">
        <f>E65*$M$2</f>
        <v>0.95238095238095233</v>
      </c>
      <c r="H65" s="12">
        <f>'APUS ELECTRICAS'!J88</f>
        <v>105.9636</v>
      </c>
      <c r="I65">
        <f>G65*H65</f>
        <v>100.91771428571428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4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5">E73*$M$2</f>
        <v>6.8259385665529013E-2</v>
      </c>
      <c r="H73" s="61">
        <f>'APUS COMUNICACIONES'!J23</f>
        <v>95.843099999999993</v>
      </c>
      <c r="I73">
        <f t="shared" si="4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5"/>
        <v>0.11604095563139932</v>
      </c>
      <c r="H74" s="61">
        <f>'APUS COMUNICACIONES'!J41</f>
        <v>95.843099999999993</v>
      </c>
      <c r="I74">
        <f t="shared" si="4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5"/>
        <v>3.2491467576791805E-2</v>
      </c>
      <c r="H75" s="61">
        <f>'APUS COMUNICACIONES'!J59</f>
        <v>26.403334000000001</v>
      </c>
      <c r="I75">
        <f t="shared" si="4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5"/>
        <v>0.6778839590443686</v>
      </c>
      <c r="H76" s="61">
        <f>'APUS COMUNICACIONES'!J77</f>
        <v>25.004334</v>
      </c>
      <c r="I76">
        <f t="shared" si="4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5"/>
        <v>2.742457337883959</v>
      </c>
      <c r="H77" s="61">
        <f>'APUS COMUNICACIONES'!J95</f>
        <v>19.232787999999999</v>
      </c>
      <c r="I77">
        <f t="shared" si="4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5"/>
        <v>1.6109215017064846E-2</v>
      </c>
      <c r="H78" s="61">
        <f>'APUS COMUNICACIONES'!J113</f>
        <v>16.371788000000002</v>
      </c>
      <c r="I78">
        <f t="shared" si="4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5"/>
        <v>6.8259385665529013E-2</v>
      </c>
      <c r="H79" s="61">
        <f>'APUS COMUNICACIONES'!J131</f>
        <v>62.670152000000002</v>
      </c>
      <c r="I79">
        <f t="shared" si="4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5"/>
        <v>0.12969283276450511</v>
      </c>
      <c r="H80" s="61">
        <f>'APUS COMUNICACIONES'!J146</f>
        <v>58.850152000000008</v>
      </c>
      <c r="I80">
        <f t="shared" si="4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5"/>
        <v>2.0477815699658702E-2</v>
      </c>
      <c r="H81" s="61">
        <f>'APUS COMUNICACIONES'!J161</f>
        <v>57.88015200000001</v>
      </c>
      <c r="I81">
        <f t="shared" si="4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5"/>
        <v>0.12627986348122866</v>
      </c>
      <c r="H82" s="61">
        <f>'APUS COMUNICACIONES'!J176</f>
        <v>99.340459999999993</v>
      </c>
      <c r="I82">
        <f t="shared" si="4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6">E85*$M$2</f>
        <v>2.7303754266211604E-2</v>
      </c>
      <c r="H85" s="12">
        <f>'APUS COMUNICACIONES'!J422</f>
        <v>633.69880000000001</v>
      </c>
      <c r="I85">
        <f t="shared" si="4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4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7">E88*$M$2</f>
        <v>6.8259385665529013E-2</v>
      </c>
      <c r="H88" s="12">
        <f>'APUS COMUNICACIONES'!J469</f>
        <v>367.66879999999998</v>
      </c>
      <c r="I88">
        <f t="shared" si="4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8">E90*$M$2</f>
        <v>2.7303754266211604E-2</v>
      </c>
      <c r="H90" s="12">
        <f>'APUS COMUNICACIONES'!J497</f>
        <v>96.144090000000006</v>
      </c>
      <c r="I90">
        <f t="shared" si="4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8"/>
        <v>2.7303754266211604E-2</v>
      </c>
      <c r="H91" s="12">
        <f>'APUS COMUNICACIONES'!J513</f>
        <v>64.330690000000004</v>
      </c>
      <c r="I91">
        <f t="shared" si="4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4B1C-2415-4EB6-9B5B-788469556A0C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'!D22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20642.975199297467</v>
      </c>
      <c r="L4" s="25" t="s">
        <v>1368</v>
      </c>
      <c r="M4" s="130">
        <f>J4/M2</f>
        <v>2064.2975199297466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((3*3.5)-(1.2*1.2))/10.5</f>
        <v>0.86285714285714288</v>
      </c>
      <c r="F6" s="63" t="s">
        <v>133</v>
      </c>
      <c r="G6" s="21">
        <f>E6*$M$2</f>
        <v>8.6285714285714281</v>
      </c>
      <c r="H6" s="12">
        <f>'APUS ARQUITECTURA'!J5</f>
        <v>135.824337926792</v>
      </c>
      <c r="I6">
        <f>G6*H6</f>
        <v>1171.970001539748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/>
      <c r="F7" s="63" t="s">
        <v>133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>
        <f>(2*(3/2)*3)/10.5</f>
        <v>0.8571428571428571</v>
      </c>
      <c r="F8" s="63" t="s">
        <v>133</v>
      </c>
      <c r="G8" s="21">
        <f t="shared" si="0"/>
        <v>8.5714285714285712</v>
      </c>
      <c r="H8" s="12">
        <f>'APUS ARQUITECTURA'!J50</f>
        <v>141.06679428571431</v>
      </c>
      <c r="I8">
        <f t="shared" si="1"/>
        <v>1209.1439510204084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7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7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v>3.1</v>
      </c>
      <c r="F13" t="s">
        <v>133</v>
      </c>
      <c r="G13" s="21">
        <f t="shared" ref="G13" si="2">E13*$M$2</f>
        <v>31</v>
      </c>
      <c r="H13" s="12">
        <f>'APUS ARQUITECTURA'!J127</f>
        <v>27.122965133333338</v>
      </c>
      <c r="I13">
        <f>G13*H13</f>
        <v>840.8119191333335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((3.3*3.5)-(1.2*1.2))/10.5</f>
        <v>0.96285714285714286</v>
      </c>
      <c r="F14" t="s">
        <v>133</v>
      </c>
      <c r="G14" s="21">
        <f>E14*$M$2</f>
        <v>9.6285714285714281</v>
      </c>
      <c r="H14" s="12">
        <f>'APUS ARQUITECTURA'!J148</f>
        <v>35.840962666666663</v>
      </c>
      <c r="I14">
        <f>G14*H14</f>
        <v>345.09726910476184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1.1000000000000001</v>
      </c>
      <c r="F19" t="s">
        <v>203</v>
      </c>
      <c r="G19" s="21">
        <f>E19*$M$2</f>
        <v>11</v>
      </c>
      <c r="H19" s="12">
        <f>'APUS ARQUITECTURA'!J212</f>
        <v>62.663358000000002</v>
      </c>
      <c r="I19">
        <f>G19*H19</f>
        <v>689.29693800000007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f>1</f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>
        <f>1</f>
        <v>1</v>
      </c>
      <c r="F22" t="s">
        <v>133</v>
      </c>
      <c r="G22" s="21">
        <f>E22*$M$2</f>
        <v>10</v>
      </c>
      <c r="H22" s="12">
        <f>'APUS ARQUITECTURA'!J252</f>
        <v>206.77337199999999</v>
      </c>
      <c r="I22">
        <f>G22*H22</f>
        <v>2067.7337200000002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>
        <f>(3.5+(3*2))/10.5</f>
        <v>0.90476190476190477</v>
      </c>
      <c r="F30" t="s">
        <v>144</v>
      </c>
      <c r="G30" s="21">
        <f>E30*$M$2</f>
        <v>9.0476190476190474</v>
      </c>
      <c r="H30" s="12">
        <f>'APUS ARQUITECTURA'!J383</f>
        <v>36.537022000000007</v>
      </c>
      <c r="I30">
        <f>G30*H30</f>
        <v>330.57305619047628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v>0.14000000000000001</v>
      </c>
      <c r="F35" t="s">
        <v>133</v>
      </c>
      <c r="G35" s="21">
        <f>E35*$M$2</f>
        <v>1.4000000000000001</v>
      </c>
      <c r="H35" s="12">
        <f>'APUS ARQUITECTURA'!J449</f>
        <v>560.62260000000003</v>
      </c>
      <c r="I35">
        <f>G35*H35</f>
        <v>784.87164000000007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v>0.19</v>
      </c>
      <c r="F36" t="s">
        <v>133</v>
      </c>
      <c r="G36" s="21">
        <f>E36*$M$2</f>
        <v>1.9</v>
      </c>
      <c r="H36" s="12">
        <f>'APUS ARQUITECTURA'!J456</f>
        <v>367.87083424090611</v>
      </c>
      <c r="I36">
        <f>G36*H36</f>
        <v>698.9545850577216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>
        <f>(2.85+2.9+1*2+1.4+3.2)*2.85/(14.6+14.5)</f>
        <v>1.2095360824742269</v>
      </c>
      <c r="F37" t="s">
        <v>133</v>
      </c>
      <c r="G37" s="21">
        <f>E37*$M$2</f>
        <v>12.095360824742269</v>
      </c>
      <c r="H37" s="12">
        <f>'APUS ARQUITECTURA'!J463</f>
        <v>514.53719413716362</v>
      </c>
      <c r="I37">
        <f>G37*H37</f>
        <v>6223.5130208394557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v>3.27</v>
      </c>
      <c r="F41" t="s">
        <v>133</v>
      </c>
      <c r="G41" s="21">
        <f>E41*$M$2</f>
        <v>32.700000000000003</v>
      </c>
      <c r="H41" s="12">
        <f>'APUS ARQUITECTURA'!J484</f>
        <v>15.625164000000002</v>
      </c>
      <c r="I41">
        <f>G41*H41</f>
        <v>510.94286280000011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0.96285714285714286</v>
      </c>
      <c r="F42" s="105" t="s">
        <v>133</v>
      </c>
      <c r="G42" s="21">
        <f>E42*$M$2</f>
        <v>9.6285714285714281</v>
      </c>
      <c r="H42" s="12">
        <f>'APUS ARQUITECTURA'!J504</f>
        <v>15.956285454545455</v>
      </c>
      <c r="I42">
        <f>G42*H42</f>
        <v>153.63623423376623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/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/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9/10.5</f>
        <v>0.8571428571428571</v>
      </c>
      <c r="F59" t="s">
        <v>214</v>
      </c>
      <c r="G59" s="21">
        <f t="shared" ref="G59:G62" si="3">E59*$M$2</f>
        <v>8.5714285714285712</v>
      </c>
      <c r="H59" s="12">
        <f>'APUS ELECTRICAS'!J5</f>
        <v>121.04310400000001</v>
      </c>
      <c r="I59">
        <f>G59*H59</f>
        <v>1037.51232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9/10.5</f>
        <v>0.8571428571428571</v>
      </c>
      <c r="F60" t="s">
        <v>214</v>
      </c>
      <c r="G60" s="21">
        <f t="shared" si="3"/>
        <v>8.5714285714285712</v>
      </c>
      <c r="H60" s="12">
        <f>'APUS ELECTRICAS'!J26</f>
        <v>163.73838000000001</v>
      </c>
      <c r="I60">
        <f>G60*H60</f>
        <v>1403.4718285714287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9/10.5</f>
        <v>0.8571428571428571</v>
      </c>
      <c r="F61" t="s">
        <v>214</v>
      </c>
      <c r="G61" s="21">
        <f t="shared" si="3"/>
        <v>8.5714285714285712</v>
      </c>
      <c r="H61" s="12">
        <f>'APUS ELECTRICAS'!J48</f>
        <v>118.30689999999998</v>
      </c>
      <c r="I61">
        <f>G61*H61</f>
        <v>1014.0591428571427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1/10.5</f>
        <v>9.5238095238095233E-2</v>
      </c>
      <c r="F64" t="s">
        <v>149</v>
      </c>
      <c r="G64" s="21">
        <f>E64*$M$2</f>
        <v>0.95238095238095233</v>
      </c>
      <c r="H64" s="12">
        <f>'APUS ELECTRICAS'!J74</f>
        <v>396.14503200000001</v>
      </c>
      <c r="I64">
        <f>G64*H64</f>
        <v>377.28098285714287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1/10.5</f>
        <v>9.5238095238095233E-2</v>
      </c>
      <c r="F65" t="s">
        <v>149</v>
      </c>
      <c r="G65" s="21">
        <f>E65*$M$2</f>
        <v>0.95238095238095233</v>
      </c>
      <c r="H65" s="12">
        <f>'APUS ELECTRICAS'!J88</f>
        <v>105.9636</v>
      </c>
      <c r="I65">
        <f>G65*H65</f>
        <v>100.91771428571428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4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5">E73*$M$2</f>
        <v>6.8259385665529013E-2</v>
      </c>
      <c r="H73" s="61">
        <f>'APUS COMUNICACIONES'!J23</f>
        <v>95.843099999999993</v>
      </c>
      <c r="I73">
        <f t="shared" si="4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5"/>
        <v>0.11604095563139932</v>
      </c>
      <c r="H74" s="61">
        <f>'APUS COMUNICACIONES'!J41</f>
        <v>95.843099999999993</v>
      </c>
      <c r="I74">
        <f t="shared" si="4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5"/>
        <v>3.2491467576791805E-2</v>
      </c>
      <c r="H75" s="61">
        <f>'APUS COMUNICACIONES'!J59</f>
        <v>26.403334000000001</v>
      </c>
      <c r="I75">
        <f t="shared" si="4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5"/>
        <v>0.6778839590443686</v>
      </c>
      <c r="H76" s="61">
        <f>'APUS COMUNICACIONES'!J77</f>
        <v>25.004334</v>
      </c>
      <c r="I76">
        <f t="shared" si="4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5"/>
        <v>2.742457337883959</v>
      </c>
      <c r="H77" s="61">
        <f>'APUS COMUNICACIONES'!J95</f>
        <v>19.232787999999999</v>
      </c>
      <c r="I77">
        <f t="shared" si="4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5"/>
        <v>1.6109215017064846E-2</v>
      </c>
      <c r="H78" s="61">
        <f>'APUS COMUNICACIONES'!J113</f>
        <v>16.371788000000002</v>
      </c>
      <c r="I78">
        <f t="shared" si="4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5"/>
        <v>6.8259385665529013E-2</v>
      </c>
      <c r="H79" s="61">
        <f>'APUS COMUNICACIONES'!J131</f>
        <v>62.670152000000002</v>
      </c>
      <c r="I79">
        <f t="shared" si="4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5"/>
        <v>0.12969283276450511</v>
      </c>
      <c r="H80" s="61">
        <f>'APUS COMUNICACIONES'!J146</f>
        <v>58.850152000000008</v>
      </c>
      <c r="I80">
        <f t="shared" si="4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5"/>
        <v>2.0477815699658702E-2</v>
      </c>
      <c r="H81" s="61">
        <f>'APUS COMUNICACIONES'!J161</f>
        <v>57.88015200000001</v>
      </c>
      <c r="I81">
        <f t="shared" si="4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5"/>
        <v>0.12627986348122866</v>
      </c>
      <c r="H82" s="61">
        <f>'APUS COMUNICACIONES'!J176</f>
        <v>99.340459999999993</v>
      </c>
      <c r="I82">
        <f t="shared" si="4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6">E85*$M$2</f>
        <v>2.7303754266211604E-2</v>
      </c>
      <c r="H85" s="12">
        <f>'APUS COMUNICACIONES'!J422</f>
        <v>633.69880000000001</v>
      </c>
      <c r="I85">
        <f t="shared" si="4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4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7">E88*$M$2</f>
        <v>6.8259385665529013E-2</v>
      </c>
      <c r="H88" s="12">
        <f>'APUS COMUNICACIONES'!J469</f>
        <v>367.66879999999998</v>
      </c>
      <c r="I88">
        <f t="shared" si="4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8">E90*$M$2</f>
        <v>2.7303754266211604E-2</v>
      </c>
      <c r="H90" s="12">
        <f>'APUS COMUNICACIONES'!J497</f>
        <v>96.144090000000006</v>
      </c>
      <c r="I90">
        <f t="shared" si="4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8"/>
        <v>2.7303754266211604E-2</v>
      </c>
      <c r="H91" s="12">
        <f>'APUS COMUNICACIONES'!J513</f>
        <v>64.330690000000004</v>
      </c>
      <c r="I91">
        <f t="shared" si="4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3CB26-305B-4D40-B6EE-94D1A28E98F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'!D23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13241.349801783665</v>
      </c>
      <c r="L4" s="25" t="s">
        <v>1368</v>
      </c>
      <c r="M4" s="130">
        <f>J4/M2</f>
        <v>1324.1349801783665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(((3.15+4.45+4.2)*3)+(2.8*2))/17.5</f>
        <v>2.3428571428571434</v>
      </c>
      <c r="F6" s="63" t="s">
        <v>133</v>
      </c>
      <c r="G6" s="21">
        <f>E6*$M$2</f>
        <v>23.428571428571434</v>
      </c>
      <c r="H6" s="12">
        <f>'APUS ARQUITECTURA'!J5</f>
        <v>135.824337926792</v>
      </c>
      <c r="I6">
        <f>G6*H6</f>
        <v>3182.1702028562704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/>
      <c r="F7" s="63" t="s">
        <v>133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/>
      <c r="F8" s="63" t="s">
        <v>133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7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7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(((3.15+4.45+4.2+0.8+0.75)*3)+(2.8*2))/17.5</f>
        <v>2.608571428571429</v>
      </c>
      <c r="F13" t="s">
        <v>133</v>
      </c>
      <c r="G13" s="21">
        <f t="shared" ref="G13" si="2">E13*$M$2</f>
        <v>26.085714285714289</v>
      </c>
      <c r="H13" s="12">
        <f>'APUS ARQUITECTURA'!J127</f>
        <v>27.122965133333338</v>
      </c>
      <c r="I13">
        <f>G13*H13</f>
        <v>707.52191904952406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2.8*2.3/17.5</f>
        <v>0.36799999999999999</v>
      </c>
      <c r="F14" t="s">
        <v>133</v>
      </c>
      <c r="G14" s="21">
        <f>E14*$M$2</f>
        <v>3.6799999999999997</v>
      </c>
      <c r="H14" s="12">
        <f>'APUS ARQUITECTURA'!J148</f>
        <v>35.840962666666663</v>
      </c>
      <c r="I14">
        <f>G14*H14</f>
        <v>131.89474261333331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>
        <v>1</v>
      </c>
      <c r="F22" t="s">
        <v>133</v>
      </c>
      <c r="G22" s="21">
        <f>E22*$M$2</f>
        <v>10</v>
      </c>
      <c r="H22" s="12">
        <f>'APUS ARQUITECTURA'!J252</f>
        <v>206.77337199999999</v>
      </c>
      <c r="I22">
        <f>G22*H22</f>
        <v>2067.7337200000002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>
        <f>(5+(2*3))/17.5</f>
        <v>0.62857142857142856</v>
      </c>
      <c r="F30" t="s">
        <v>144</v>
      </c>
      <c r="G30" s="21">
        <f>E30*$M$2</f>
        <v>6.2857142857142856</v>
      </c>
      <c r="H30" s="12">
        <f>'APUS ARQUITECTURA'!J383</f>
        <v>36.537022000000007</v>
      </c>
      <c r="I30">
        <f>G30*H30</f>
        <v>229.66128114285718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1*2.1/17.5</f>
        <v>0.12000000000000001</v>
      </c>
      <c r="F35" t="s">
        <v>133</v>
      </c>
      <c r="G35" s="21">
        <f>E35*$M$2</f>
        <v>1.2000000000000002</v>
      </c>
      <c r="H35" s="12">
        <f>'APUS ARQUITECTURA'!J449</f>
        <v>560.62260000000003</v>
      </c>
      <c r="I35">
        <f>G35*H35</f>
        <v>672.74712000000011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(2.8*1)/17.5</f>
        <v>0.16</v>
      </c>
      <c r="F36" t="s">
        <v>133</v>
      </c>
      <c r="G36" s="21">
        <f>E36*$M$2</f>
        <v>1.6</v>
      </c>
      <c r="H36" s="12">
        <f>'APUS ARQUITECTURA'!J456</f>
        <v>367.87083424090611</v>
      </c>
      <c r="I36">
        <f>G36*H36</f>
        <v>588.59333478544977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E13+1</f>
        <v>3.608571428571429</v>
      </c>
      <c r="F41" t="s">
        <v>133</v>
      </c>
      <c r="G41" s="21">
        <f>E41*$M$2</f>
        <v>36.085714285714289</v>
      </c>
      <c r="H41" s="12">
        <f>'APUS ARQUITECTURA'!J484</f>
        <v>15.625164000000002</v>
      </c>
      <c r="I41">
        <f>G41*H41</f>
        <v>563.84520377142871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0.36799999999999999</v>
      </c>
      <c r="F42" s="105" t="s">
        <v>133</v>
      </c>
      <c r="G42" s="21">
        <f>E42*$M$2</f>
        <v>3.6799999999999997</v>
      </c>
      <c r="H42" s="12">
        <f>'APUS ARQUITECTURA'!J504</f>
        <v>15.956285454545455</v>
      </c>
      <c r="I42">
        <f>G42*H42</f>
        <v>58.719130472727272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/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/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9/17.5</f>
        <v>0.51428571428571423</v>
      </c>
      <c r="F59" t="s">
        <v>214</v>
      </c>
      <c r="G59" s="21">
        <f t="shared" ref="G59:G62" si="3">E59*$M$2</f>
        <v>5.1428571428571423</v>
      </c>
      <c r="H59" s="12">
        <f>'APUS ELECTRICAS'!J5</f>
        <v>121.04310400000001</v>
      </c>
      <c r="I59">
        <f>G59*H59</f>
        <v>622.50739199999998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9/17.5</f>
        <v>0.51428571428571423</v>
      </c>
      <c r="F60" t="s">
        <v>214</v>
      </c>
      <c r="G60" s="21">
        <f t="shared" si="3"/>
        <v>5.1428571428571423</v>
      </c>
      <c r="H60" s="12">
        <f>'APUS ELECTRICAS'!J26</f>
        <v>163.73838000000001</v>
      </c>
      <c r="I60">
        <f>G60*H60</f>
        <v>842.08309714285713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9/17.5</f>
        <v>0.51428571428571423</v>
      </c>
      <c r="F61" t="s">
        <v>214</v>
      </c>
      <c r="G61" s="21">
        <f t="shared" si="3"/>
        <v>5.1428571428571423</v>
      </c>
      <c r="H61" s="12">
        <f>'APUS ELECTRICAS'!J48</f>
        <v>118.30689999999998</v>
      </c>
      <c r="I61">
        <f>G61*H61</f>
        <v>608.43548571428562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2/17.5</f>
        <v>0.11428571428571428</v>
      </c>
      <c r="F64" t="s">
        <v>149</v>
      </c>
      <c r="G64" s="21">
        <f>E64*$M$2</f>
        <v>1.1428571428571428</v>
      </c>
      <c r="H64" s="12">
        <f>'APUS ELECTRICAS'!J74</f>
        <v>396.14503200000001</v>
      </c>
      <c r="I64">
        <f>G64*H64</f>
        <v>452.73717942857144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2/17.5</f>
        <v>0.11428571428571428</v>
      </c>
      <c r="F65" t="s">
        <v>149</v>
      </c>
      <c r="G65" s="21">
        <f>E65*$M$2</f>
        <v>1.1428571428571428</v>
      </c>
      <c r="H65" s="12">
        <f>'APUS ELECTRICAS'!J88</f>
        <v>105.9636</v>
      </c>
      <c r="I65">
        <f>G65*H65</f>
        <v>121.10125714285714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>
        <f>1/17.5</f>
        <v>5.7142857142857141E-2</v>
      </c>
      <c r="F66" t="s">
        <v>149</v>
      </c>
      <c r="G66" s="21">
        <f>E66*$M$2</f>
        <v>0.5714285714285714</v>
      </c>
      <c r="H66" s="12">
        <f>'APUS ELECTRICAS'!J106</f>
        <v>143.11000000000001</v>
      </c>
      <c r="I66">
        <f>G66*H66</f>
        <v>81.777142857142863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4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5">E73*$M$2</f>
        <v>6.8259385665529013E-2</v>
      </c>
      <c r="H73" s="61">
        <f>'APUS COMUNICACIONES'!J23</f>
        <v>95.843099999999993</v>
      </c>
      <c r="I73">
        <f t="shared" si="4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5"/>
        <v>0.11604095563139932</v>
      </c>
      <c r="H74" s="61">
        <f>'APUS COMUNICACIONES'!J41</f>
        <v>95.843099999999993</v>
      </c>
      <c r="I74">
        <f t="shared" si="4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5"/>
        <v>3.2491467576791805E-2</v>
      </c>
      <c r="H75" s="61">
        <f>'APUS COMUNICACIONES'!J59</f>
        <v>26.403334000000001</v>
      </c>
      <c r="I75">
        <f t="shared" si="4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5"/>
        <v>0.6778839590443686</v>
      </c>
      <c r="H76" s="61">
        <f>'APUS COMUNICACIONES'!J77</f>
        <v>25.004334</v>
      </c>
      <c r="I76">
        <f t="shared" si="4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5"/>
        <v>2.742457337883959</v>
      </c>
      <c r="H77" s="61">
        <f>'APUS COMUNICACIONES'!J95</f>
        <v>19.232787999999999</v>
      </c>
      <c r="I77">
        <f t="shared" si="4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5"/>
        <v>1.6109215017064846E-2</v>
      </c>
      <c r="H78" s="61">
        <f>'APUS COMUNICACIONES'!J113</f>
        <v>16.371788000000002</v>
      </c>
      <c r="I78">
        <f t="shared" si="4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5"/>
        <v>6.8259385665529013E-2</v>
      </c>
      <c r="H79" s="61">
        <f>'APUS COMUNICACIONES'!J131</f>
        <v>62.670152000000002</v>
      </c>
      <c r="I79">
        <f t="shared" si="4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5"/>
        <v>0.12969283276450511</v>
      </c>
      <c r="H80" s="61">
        <f>'APUS COMUNICACIONES'!J146</f>
        <v>58.850152000000008</v>
      </c>
      <c r="I80">
        <f t="shared" si="4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5"/>
        <v>2.0477815699658702E-2</v>
      </c>
      <c r="H81" s="61">
        <f>'APUS COMUNICACIONES'!J161</f>
        <v>57.88015200000001</v>
      </c>
      <c r="I81">
        <f t="shared" si="4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5"/>
        <v>0.12627986348122866</v>
      </c>
      <c r="H82" s="61">
        <f>'APUS COMUNICACIONES'!J176</f>
        <v>99.340459999999993</v>
      </c>
      <c r="I82">
        <f t="shared" si="4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6">E85*$M$2</f>
        <v>2.7303754266211604E-2</v>
      </c>
      <c r="H85" s="12">
        <f>'APUS COMUNICACIONES'!J422</f>
        <v>633.69880000000001</v>
      </c>
      <c r="I85">
        <f t="shared" si="4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4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7">E88*$M$2</f>
        <v>6.8259385665529013E-2</v>
      </c>
      <c r="H88" s="12">
        <f>'APUS COMUNICACIONES'!J469</f>
        <v>367.66879999999998</v>
      </c>
      <c r="I88">
        <f t="shared" si="4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8">E90*$M$2</f>
        <v>2.7303754266211604E-2</v>
      </c>
      <c r="H90" s="12">
        <f>'APUS COMUNICACIONES'!J497</f>
        <v>96.144090000000006</v>
      </c>
      <c r="I90">
        <f t="shared" si="4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8"/>
        <v>2.7303754266211604E-2</v>
      </c>
      <c r="H91" s="12">
        <f>'APUS COMUNICACIONES'!J513</f>
        <v>64.330690000000004</v>
      </c>
      <c r="I91">
        <f t="shared" si="4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52773-61D7-45E2-AC91-8FF367185E4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'!D24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12210.440480619183</v>
      </c>
      <c r="L4" s="25" t="s">
        <v>1368</v>
      </c>
      <c r="M4" s="130">
        <f>J4/M2</f>
        <v>1221.0440480619184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v>0</v>
      </c>
      <c r="F6" s="63" t="s">
        <v>133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/>
      <c r="F7" s="63" t="s">
        <v>133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>
        <f>(3.25+1.6+1.1+3.3)*3/16.6</f>
        <v>1.6716867469879517</v>
      </c>
      <c r="F8" s="63" t="s">
        <v>133</v>
      </c>
      <c r="G8" s="21">
        <f t="shared" si="0"/>
        <v>16.716867469879517</v>
      </c>
      <c r="H8" s="12">
        <f>'APUS ARQUITECTURA'!J50</f>
        <v>141.06679428571431</v>
      </c>
      <c r="I8">
        <f t="shared" si="1"/>
        <v>2358.1949044750431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7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7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(1.6+0.4)*3/16.6</f>
        <v>0.36144578313253006</v>
      </c>
      <c r="F13" t="s">
        <v>133</v>
      </c>
      <c r="G13" s="21">
        <f t="shared" ref="G13" si="2">E13*$M$2</f>
        <v>3.6144578313253009</v>
      </c>
      <c r="H13" s="12">
        <f>'APUS ARQUITECTURA'!J127</f>
        <v>27.122965133333338</v>
      </c>
      <c r="I13">
        <f>G13*H13</f>
        <v>98.03481373493976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(2.2*3.3)/16.6</f>
        <v>0.4373493975903614</v>
      </c>
      <c r="F14" t="s">
        <v>133</v>
      </c>
      <c r="G14" s="21">
        <f>E14*$M$2</f>
        <v>4.3734939759036138</v>
      </c>
      <c r="H14" s="12">
        <f>'APUS ARQUITECTURA'!J148</f>
        <v>35.840962666666663</v>
      </c>
      <c r="I14">
        <f>G14*H14</f>
        <v>156.75023431325297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1.1000000000000001</v>
      </c>
      <c r="F19" t="s">
        <v>203</v>
      </c>
      <c r="G19" s="21">
        <f>E19*$M$2</f>
        <v>11</v>
      </c>
      <c r="H19" s="12">
        <f>'APUS ARQUITECTURA'!J212</f>
        <v>62.663358000000002</v>
      </c>
      <c r="I19">
        <f>G19*H19</f>
        <v>689.29693800000007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>
        <v>1</v>
      </c>
      <c r="F22" t="s">
        <v>133</v>
      </c>
      <c r="G22" s="21">
        <f>E22*$M$2</f>
        <v>10</v>
      </c>
      <c r="H22" s="12">
        <f>'APUS ARQUITECTURA'!J252</f>
        <v>206.77337199999999</v>
      </c>
      <c r="I22">
        <f>G22*H22</f>
        <v>2067.7337200000002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>
        <f>(3.25+1.6+0.4+1.6+0.4+0.7+3.3)/16.6</f>
        <v>0.67771084337349397</v>
      </c>
      <c r="F30" t="s">
        <v>144</v>
      </c>
      <c r="G30" s="21">
        <f>E30*$M$2</f>
        <v>6.7771084337349397</v>
      </c>
      <c r="H30" s="12">
        <f>'APUS ARQUITECTURA'!J383</f>
        <v>36.537022000000007</v>
      </c>
      <c r="I30">
        <f>G30*H30</f>
        <v>247.61535993975909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1*2.1/16.6</f>
        <v>0.12650602409638553</v>
      </c>
      <c r="F35" t="s">
        <v>133</v>
      </c>
      <c r="G35" s="21">
        <f>E35*$M$2</f>
        <v>1.2650602409638554</v>
      </c>
      <c r="H35" s="12">
        <f>'APUS ARQUITECTURA'!J449</f>
        <v>560.62260000000003</v>
      </c>
      <c r="I35">
        <f>G35*H35</f>
        <v>709.22136144578315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(3*1.2*1.2)/16.6</f>
        <v>0.26024096385542161</v>
      </c>
      <c r="F36" t="s">
        <v>133</v>
      </c>
      <c r="G36" s="21">
        <f>E36*$M$2</f>
        <v>2.6024096385542164</v>
      </c>
      <c r="H36" s="12">
        <f>'APUS ARQUITECTURA'!J456</f>
        <v>367.87083424090611</v>
      </c>
      <c r="I36">
        <f>G36*H36</f>
        <v>957.35060477151455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E13+E14+E19</f>
        <v>1.8987951807228916</v>
      </c>
      <c r="F41" t="s">
        <v>133</v>
      </c>
      <c r="G41" s="21">
        <f>E41*$M$2</f>
        <v>18.987951807228917</v>
      </c>
      <c r="H41" s="12">
        <f>'APUS ARQUITECTURA'!J484</f>
        <v>15.625164000000002</v>
      </c>
      <c r="I41">
        <f>G41*H41</f>
        <v>296.68986101204825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0.4373493975903614</v>
      </c>
      <c r="F42" s="105" t="s">
        <v>133</v>
      </c>
      <c r="G42" s="21">
        <f>E42*$M$2</f>
        <v>4.3734939759036138</v>
      </c>
      <c r="H42" s="12">
        <f>'APUS ARQUITECTURA'!J504</f>
        <v>15.956285454545455</v>
      </c>
      <c r="I42">
        <f>G42*H42</f>
        <v>69.784718313253009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/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/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9/16.6</f>
        <v>0.54216867469879515</v>
      </c>
      <c r="F59" t="s">
        <v>214</v>
      </c>
      <c r="G59" s="21">
        <f t="shared" ref="G59:G62" si="3">E59*$M$2</f>
        <v>5.4216867469879517</v>
      </c>
      <c r="H59" s="12">
        <f>'APUS ELECTRICAS'!J5</f>
        <v>121.04310400000001</v>
      </c>
      <c r="I59">
        <f>G59*H59</f>
        <v>656.25779277108438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9/16.6</f>
        <v>0.54216867469879515</v>
      </c>
      <c r="F60" t="s">
        <v>214</v>
      </c>
      <c r="G60" s="21">
        <f t="shared" si="3"/>
        <v>5.4216867469879517</v>
      </c>
      <c r="H60" s="12">
        <f>'APUS ELECTRICAS'!J26</f>
        <v>163.73838000000001</v>
      </c>
      <c r="I60">
        <f>G60*H60</f>
        <v>887.73820481927714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9/16.6</f>
        <v>0.54216867469879515</v>
      </c>
      <c r="F61" t="s">
        <v>214</v>
      </c>
      <c r="G61" s="21">
        <f t="shared" si="3"/>
        <v>5.4216867469879517</v>
      </c>
      <c r="H61" s="12">
        <f>'APUS ELECTRICAS'!J48</f>
        <v>118.30689999999998</v>
      </c>
      <c r="I61">
        <f>G61*H61</f>
        <v>641.42295180722886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2/16.6</f>
        <v>0.12048192771084336</v>
      </c>
      <c r="F64" t="s">
        <v>149</v>
      </c>
      <c r="G64" s="21">
        <f>E64*$M$2</f>
        <v>1.2048192771084336</v>
      </c>
      <c r="H64" s="12">
        <f>'APUS ELECTRICAS'!J74</f>
        <v>396.14503200000001</v>
      </c>
      <c r="I64">
        <f>G64*H64</f>
        <v>477.28317108433731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2/16.6</f>
        <v>0.12048192771084336</v>
      </c>
      <c r="F65" t="s">
        <v>149</v>
      </c>
      <c r="G65" s="21">
        <f>E65*$M$2</f>
        <v>1.2048192771084336</v>
      </c>
      <c r="H65" s="12">
        <f>'APUS ELECTRICAS'!J88</f>
        <v>105.9636</v>
      </c>
      <c r="I65">
        <f>G65*H65</f>
        <v>127.66698795180722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>
        <f>1/16.6</f>
        <v>6.0240963855421679E-2</v>
      </c>
      <c r="F66" t="s">
        <v>149</v>
      </c>
      <c r="G66" s="21">
        <f>E66*$M$2</f>
        <v>0.60240963855421681</v>
      </c>
      <c r="H66" s="12">
        <f>'APUS ELECTRICAS'!J106</f>
        <v>143.11000000000001</v>
      </c>
      <c r="I66">
        <f>G66*H66</f>
        <v>86.210843373493972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4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5">E73*$M$2</f>
        <v>6.8259385665529013E-2</v>
      </c>
      <c r="H73" s="61">
        <f>'APUS COMUNICACIONES'!J23</f>
        <v>95.843099999999993</v>
      </c>
      <c r="I73">
        <f t="shared" si="4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5"/>
        <v>0.11604095563139932</v>
      </c>
      <c r="H74" s="61">
        <f>'APUS COMUNICACIONES'!J41</f>
        <v>95.843099999999993</v>
      </c>
      <c r="I74">
        <f t="shared" si="4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5"/>
        <v>3.2491467576791805E-2</v>
      </c>
      <c r="H75" s="61">
        <f>'APUS COMUNICACIONES'!J59</f>
        <v>26.403334000000001</v>
      </c>
      <c r="I75">
        <f t="shared" si="4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5"/>
        <v>0.6778839590443686</v>
      </c>
      <c r="H76" s="61">
        <f>'APUS COMUNICACIONES'!J77</f>
        <v>25.004334</v>
      </c>
      <c r="I76">
        <f t="shared" si="4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5"/>
        <v>2.742457337883959</v>
      </c>
      <c r="H77" s="61">
        <f>'APUS COMUNICACIONES'!J95</f>
        <v>19.232787999999999</v>
      </c>
      <c r="I77">
        <f t="shared" si="4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5"/>
        <v>1.6109215017064846E-2</v>
      </c>
      <c r="H78" s="61">
        <f>'APUS COMUNICACIONES'!J113</f>
        <v>16.371788000000002</v>
      </c>
      <c r="I78">
        <f t="shared" si="4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5"/>
        <v>6.8259385665529013E-2</v>
      </c>
      <c r="H79" s="61">
        <f>'APUS COMUNICACIONES'!J131</f>
        <v>62.670152000000002</v>
      </c>
      <c r="I79">
        <f t="shared" si="4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5"/>
        <v>0.12969283276450511</v>
      </c>
      <c r="H80" s="61">
        <f>'APUS COMUNICACIONES'!J146</f>
        <v>58.850152000000008</v>
      </c>
      <c r="I80">
        <f t="shared" si="4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5"/>
        <v>2.0477815699658702E-2</v>
      </c>
      <c r="H81" s="61">
        <f>'APUS COMUNICACIONES'!J161</f>
        <v>57.88015200000001</v>
      </c>
      <c r="I81">
        <f t="shared" si="4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5"/>
        <v>0.12627986348122866</v>
      </c>
      <c r="H82" s="61">
        <f>'APUS COMUNICACIONES'!J176</f>
        <v>99.340459999999993</v>
      </c>
      <c r="I82">
        <f t="shared" si="4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6">E85*$M$2</f>
        <v>2.7303754266211604E-2</v>
      </c>
      <c r="H85" s="12">
        <f>'APUS COMUNICACIONES'!J422</f>
        <v>633.69880000000001</v>
      </c>
      <c r="I85">
        <f t="shared" si="4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4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7">E88*$M$2</f>
        <v>6.8259385665529013E-2</v>
      </c>
      <c r="H88" s="12">
        <f>'APUS COMUNICACIONES'!J469</f>
        <v>367.66879999999998</v>
      </c>
      <c r="I88">
        <f t="shared" si="4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8">E90*$M$2</f>
        <v>2.7303754266211604E-2</v>
      </c>
      <c r="H90" s="12">
        <f>'APUS COMUNICACIONES'!J497</f>
        <v>96.144090000000006</v>
      </c>
      <c r="I90">
        <f t="shared" si="4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8"/>
        <v>2.7303754266211604E-2</v>
      </c>
      <c r="H91" s="12">
        <f>'APUS COMUNICACIONES'!J513</f>
        <v>64.330690000000004</v>
      </c>
      <c r="I91">
        <f t="shared" si="4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7B691-87BA-45C1-AD12-F8926BA30D23}">
  <sheetPr>
    <tabColor rgb="FFFFFF00"/>
  </sheetPr>
  <dimension ref="A2:BP165"/>
  <sheetViews>
    <sheetView workbookViewId="0">
      <selection activeCell="M3" sqref="M3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'!D25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12210.440480619183</v>
      </c>
      <c r="L4" s="25" t="s">
        <v>1368</v>
      </c>
      <c r="M4" s="130">
        <f>J4/M2</f>
        <v>1221.0440480619184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v>0</v>
      </c>
      <c r="F6" s="63" t="s">
        <v>133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/>
      <c r="F7" s="63" t="s">
        <v>133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>
        <f>(3.25+1.6+1.1+3.3)*3/16.6</f>
        <v>1.6716867469879517</v>
      </c>
      <c r="F8" s="63" t="s">
        <v>133</v>
      </c>
      <c r="G8" s="21">
        <f t="shared" si="0"/>
        <v>16.716867469879517</v>
      </c>
      <c r="H8" s="12">
        <f>'APUS ARQUITECTURA'!J50</f>
        <v>141.06679428571431</v>
      </c>
      <c r="I8">
        <f t="shared" si="1"/>
        <v>2358.1949044750431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7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7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(1.6+0.4)*3/16.6</f>
        <v>0.36144578313253006</v>
      </c>
      <c r="F13" t="s">
        <v>133</v>
      </c>
      <c r="G13" s="21">
        <f t="shared" ref="G13" si="2">E13*$M$2</f>
        <v>3.6144578313253009</v>
      </c>
      <c r="H13" s="12">
        <f>'APUS ARQUITECTURA'!J127</f>
        <v>27.122965133333338</v>
      </c>
      <c r="I13">
        <f>G13*H13</f>
        <v>98.03481373493976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(2.2*3.3)/16.6</f>
        <v>0.4373493975903614</v>
      </c>
      <c r="F14" t="s">
        <v>133</v>
      </c>
      <c r="G14" s="21">
        <f>E14*$M$2</f>
        <v>4.3734939759036138</v>
      </c>
      <c r="H14" s="12">
        <f>'APUS ARQUITECTURA'!J148</f>
        <v>35.840962666666663</v>
      </c>
      <c r="I14">
        <f>G14*H14</f>
        <v>156.75023431325297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1.1000000000000001</v>
      </c>
      <c r="F19" t="s">
        <v>203</v>
      </c>
      <c r="G19" s="21">
        <f>E19*$M$2</f>
        <v>11</v>
      </c>
      <c r="H19" s="12">
        <f>'APUS ARQUITECTURA'!J212</f>
        <v>62.663358000000002</v>
      </c>
      <c r="I19">
        <f>G19*H19</f>
        <v>689.29693800000007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>
        <v>1</v>
      </c>
      <c r="F22" t="s">
        <v>133</v>
      </c>
      <c r="G22" s="21">
        <f>E22*$M$2</f>
        <v>10</v>
      </c>
      <c r="H22" s="12">
        <f>'APUS ARQUITECTURA'!J252</f>
        <v>206.77337199999999</v>
      </c>
      <c r="I22">
        <f>G22*H22</f>
        <v>2067.7337200000002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>
        <f>(3.25+1.6+0.4+1.6+0.4+0.7+3.3)/16.6</f>
        <v>0.67771084337349397</v>
      </c>
      <c r="F30" t="s">
        <v>144</v>
      </c>
      <c r="G30" s="21">
        <f>E30*$M$2</f>
        <v>6.7771084337349397</v>
      </c>
      <c r="H30" s="12">
        <f>'APUS ARQUITECTURA'!J383</f>
        <v>36.537022000000007</v>
      </c>
      <c r="I30">
        <f>G30*H30</f>
        <v>247.61535993975909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1*2.1/16.6</f>
        <v>0.12650602409638553</v>
      </c>
      <c r="F35" t="s">
        <v>133</v>
      </c>
      <c r="G35" s="21">
        <f>E35*$M$2</f>
        <v>1.2650602409638554</v>
      </c>
      <c r="H35" s="12">
        <f>'APUS ARQUITECTURA'!J449</f>
        <v>560.62260000000003</v>
      </c>
      <c r="I35">
        <f>G35*H35</f>
        <v>709.22136144578315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(3*1.2*1.2)/16.6</f>
        <v>0.26024096385542161</v>
      </c>
      <c r="F36" t="s">
        <v>133</v>
      </c>
      <c r="G36" s="21">
        <f>E36*$M$2</f>
        <v>2.6024096385542164</v>
      </c>
      <c r="H36" s="12">
        <f>'APUS ARQUITECTURA'!J456</f>
        <v>367.87083424090611</v>
      </c>
      <c r="I36">
        <f>G36*H36</f>
        <v>957.35060477151455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E13+E14+E19</f>
        <v>1.8987951807228916</v>
      </c>
      <c r="F41" t="s">
        <v>133</v>
      </c>
      <c r="G41" s="21">
        <f>E41*$M$2</f>
        <v>18.987951807228917</v>
      </c>
      <c r="H41" s="12">
        <f>'APUS ARQUITECTURA'!J484</f>
        <v>15.625164000000002</v>
      </c>
      <c r="I41">
        <f>G41*H41</f>
        <v>296.68986101204825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0.4373493975903614</v>
      </c>
      <c r="F42" s="105" t="s">
        <v>133</v>
      </c>
      <c r="G42" s="21">
        <f>E42*$M$2</f>
        <v>4.3734939759036138</v>
      </c>
      <c r="H42" s="12">
        <f>'APUS ARQUITECTURA'!J504</f>
        <v>15.956285454545455</v>
      </c>
      <c r="I42">
        <f>G42*H42</f>
        <v>69.784718313253009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/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/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9/16.6</f>
        <v>0.54216867469879515</v>
      </c>
      <c r="F59" t="s">
        <v>214</v>
      </c>
      <c r="G59" s="21">
        <f t="shared" ref="G59:G62" si="3">E59*$M$2</f>
        <v>5.4216867469879517</v>
      </c>
      <c r="H59" s="12">
        <f>'APUS ELECTRICAS'!J5</f>
        <v>121.04310400000001</v>
      </c>
      <c r="I59">
        <f>G59*H59</f>
        <v>656.25779277108438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9/16.6</f>
        <v>0.54216867469879515</v>
      </c>
      <c r="F60" t="s">
        <v>214</v>
      </c>
      <c r="G60" s="21">
        <f t="shared" si="3"/>
        <v>5.4216867469879517</v>
      </c>
      <c r="H60" s="12">
        <f>'APUS ELECTRICAS'!J26</f>
        <v>163.73838000000001</v>
      </c>
      <c r="I60">
        <f>G60*H60</f>
        <v>887.73820481927714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9/16.6</f>
        <v>0.54216867469879515</v>
      </c>
      <c r="F61" t="s">
        <v>214</v>
      </c>
      <c r="G61" s="21">
        <f t="shared" si="3"/>
        <v>5.4216867469879517</v>
      </c>
      <c r="H61" s="12">
        <f>'APUS ELECTRICAS'!J48</f>
        <v>118.30689999999998</v>
      </c>
      <c r="I61">
        <f>G61*H61</f>
        <v>641.42295180722886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2/16.6</f>
        <v>0.12048192771084336</v>
      </c>
      <c r="F64" t="s">
        <v>149</v>
      </c>
      <c r="G64" s="21">
        <f>E64*$M$2</f>
        <v>1.2048192771084336</v>
      </c>
      <c r="H64" s="12">
        <f>'APUS ELECTRICAS'!J74</f>
        <v>396.14503200000001</v>
      </c>
      <c r="I64">
        <f>G64*H64</f>
        <v>477.28317108433731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2/16.6</f>
        <v>0.12048192771084336</v>
      </c>
      <c r="F65" t="s">
        <v>149</v>
      </c>
      <c r="G65" s="21">
        <f>E65*$M$2</f>
        <v>1.2048192771084336</v>
      </c>
      <c r="H65" s="12">
        <f>'APUS ELECTRICAS'!J88</f>
        <v>105.9636</v>
      </c>
      <c r="I65">
        <f>G65*H65</f>
        <v>127.66698795180722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>
        <f>1/16.6</f>
        <v>6.0240963855421679E-2</v>
      </c>
      <c r="F66" t="s">
        <v>149</v>
      </c>
      <c r="G66" s="21">
        <f>E66*$M$2</f>
        <v>0.60240963855421681</v>
      </c>
      <c r="H66" s="12">
        <f>'APUS ELECTRICAS'!J106</f>
        <v>143.11000000000001</v>
      </c>
      <c r="I66">
        <f>G66*H66</f>
        <v>86.210843373493972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4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5">E73*$M$2</f>
        <v>6.8259385665529013E-2</v>
      </c>
      <c r="H73" s="61">
        <f>'APUS COMUNICACIONES'!J23</f>
        <v>95.843099999999993</v>
      </c>
      <c r="I73">
        <f t="shared" si="4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5"/>
        <v>0.11604095563139932</v>
      </c>
      <c r="H74" s="61">
        <f>'APUS COMUNICACIONES'!J41</f>
        <v>95.843099999999993</v>
      </c>
      <c r="I74">
        <f t="shared" si="4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5"/>
        <v>3.2491467576791805E-2</v>
      </c>
      <c r="H75" s="61">
        <f>'APUS COMUNICACIONES'!J59</f>
        <v>26.403334000000001</v>
      </c>
      <c r="I75">
        <f t="shared" si="4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5"/>
        <v>0.6778839590443686</v>
      </c>
      <c r="H76" s="61">
        <f>'APUS COMUNICACIONES'!J77</f>
        <v>25.004334</v>
      </c>
      <c r="I76">
        <f t="shared" si="4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5"/>
        <v>2.742457337883959</v>
      </c>
      <c r="H77" s="61">
        <f>'APUS COMUNICACIONES'!J95</f>
        <v>19.232787999999999</v>
      </c>
      <c r="I77">
        <f t="shared" si="4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5"/>
        <v>1.6109215017064846E-2</v>
      </c>
      <c r="H78" s="61">
        <f>'APUS COMUNICACIONES'!J113</f>
        <v>16.371788000000002</v>
      </c>
      <c r="I78">
        <f t="shared" si="4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5"/>
        <v>6.8259385665529013E-2</v>
      </c>
      <c r="H79" s="61">
        <f>'APUS COMUNICACIONES'!J131</f>
        <v>62.670152000000002</v>
      </c>
      <c r="I79">
        <f t="shared" si="4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5"/>
        <v>0.12969283276450511</v>
      </c>
      <c r="H80" s="61">
        <f>'APUS COMUNICACIONES'!J146</f>
        <v>58.850152000000008</v>
      </c>
      <c r="I80">
        <f t="shared" si="4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5"/>
        <v>2.0477815699658702E-2</v>
      </c>
      <c r="H81" s="61">
        <f>'APUS COMUNICACIONES'!J161</f>
        <v>57.88015200000001</v>
      </c>
      <c r="I81">
        <f t="shared" si="4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5"/>
        <v>0.12627986348122866</v>
      </c>
      <c r="H82" s="61">
        <f>'APUS COMUNICACIONES'!J176</f>
        <v>99.340459999999993</v>
      </c>
      <c r="I82">
        <f t="shared" si="4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6">E85*$M$2</f>
        <v>2.7303754266211604E-2</v>
      </c>
      <c r="H85" s="12">
        <f>'APUS COMUNICACIONES'!J422</f>
        <v>633.69880000000001</v>
      </c>
      <c r="I85">
        <f t="shared" si="4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4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7">E88*$M$2</f>
        <v>6.8259385665529013E-2</v>
      </c>
      <c r="H88" s="12">
        <f>'APUS COMUNICACIONES'!J469</f>
        <v>367.66879999999998</v>
      </c>
      <c r="I88">
        <f t="shared" si="4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8">E90*$M$2</f>
        <v>2.7303754266211604E-2</v>
      </c>
      <c r="H90" s="12">
        <f>'APUS COMUNICACIONES'!J497</f>
        <v>96.144090000000006</v>
      </c>
      <c r="I90">
        <f t="shared" si="4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8"/>
        <v>2.7303754266211604E-2</v>
      </c>
      <c r="H91" s="12">
        <f>'APUS COMUNICACIONES'!J513</f>
        <v>64.330690000000004</v>
      </c>
      <c r="I91">
        <f t="shared" si="4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A9F17-6639-447C-B049-807D7F77B4B9}">
  <sheetPr>
    <tabColor rgb="FFFFFF00"/>
  </sheetPr>
  <dimension ref="A2:BP165"/>
  <sheetViews>
    <sheetView workbookViewId="0">
      <selection activeCell="H6" sqref="H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'!D26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7137.0239320395058</v>
      </c>
      <c r="L4" s="25" t="s">
        <v>1368</v>
      </c>
      <c r="M4" s="130">
        <f>J4/M2</f>
        <v>713.70239320395058</v>
      </c>
    </row>
    <row r="5" spans="1:68">
      <c r="A5" s="1" t="s">
        <v>755</v>
      </c>
      <c r="E5" s="10"/>
      <c r="G5" s="21"/>
    </row>
    <row r="6" spans="1:68">
      <c r="A6" t="s">
        <v>757</v>
      </c>
      <c r="E6" s="136">
        <f>2.8*2/37</f>
        <v>0.15135135135135133</v>
      </c>
      <c r="F6" s="63" t="s">
        <v>133</v>
      </c>
      <c r="G6" s="21">
        <f>E6*$M$2</f>
        <v>1.5135135135135134</v>
      </c>
      <c r="H6" s="12">
        <f>'APUS ARQUITECTURA'!J5</f>
        <v>135.824337926792</v>
      </c>
      <c r="I6">
        <f>G6*H6</f>
        <v>205.57197091622569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/>
      <c r="F7" s="63" t="s">
        <v>133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36">
        <f>3.45*3/37</f>
        <v>0.27972972972972976</v>
      </c>
      <c r="F8" s="63" t="s">
        <v>133</v>
      </c>
      <c r="G8" s="21">
        <f t="shared" si="0"/>
        <v>2.7972972972972974</v>
      </c>
      <c r="H8" s="12">
        <f>'APUS ARQUITECTURA'!J50</f>
        <v>141.06679428571431</v>
      </c>
      <c r="I8">
        <f t="shared" si="1"/>
        <v>394.60576239382249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26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26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36">
        <f>((1.15+0.65+0.9+1.6+0.65+0.6)*3+(2.8*2))/37</f>
        <v>0.60135135135135132</v>
      </c>
      <c r="F13" t="s">
        <v>133</v>
      </c>
      <c r="G13" s="21">
        <f t="shared" ref="G13" si="2">E13*$M$2</f>
        <v>6.0135135135135132</v>
      </c>
      <c r="H13" s="12">
        <f>'APUS ARQUITECTURA'!J127</f>
        <v>27.122965133333338</v>
      </c>
      <c r="I13">
        <f>G13*H13</f>
        <v>163.10431735585587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36">
        <f>((2.8*2)+((0.65+1.6+0.9)*3))/37</f>
        <v>0.40675675675675671</v>
      </c>
      <c r="F14" t="s">
        <v>133</v>
      </c>
      <c r="G14" s="21">
        <f>E14*$M$2</f>
        <v>4.0675675675675667</v>
      </c>
      <c r="H14" s="12">
        <f>'APUS ARQUITECTURA'!J148</f>
        <v>35.840962666666663</v>
      </c>
      <c r="I14">
        <f>G14*H14</f>
        <v>145.78553733333328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36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36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36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36">
        <v>1.1000000000000001</v>
      </c>
      <c r="F19" t="s">
        <v>203</v>
      </c>
      <c r="G19" s="21">
        <f>E19*$M$2</f>
        <v>11</v>
      </c>
      <c r="H19" s="12">
        <f>'APUS ARQUITECTURA'!J212</f>
        <v>62.663358000000002</v>
      </c>
      <c r="I19">
        <f>G19*H19</f>
        <v>689.29693800000007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36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36">
        <v>1</v>
      </c>
      <c r="F22" t="s">
        <v>133</v>
      </c>
      <c r="G22" s="21">
        <f>E22*$M$2</f>
        <v>10</v>
      </c>
      <c r="H22" s="12">
        <f>'APUS ARQUITECTURA'!J252</f>
        <v>206.77337199999999</v>
      </c>
      <c r="I22">
        <f>G22*H22</f>
        <v>2067.7337200000002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36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36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36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36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36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36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36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36">
        <f>(4.65+3.15+0.15+1.75+0.65+0.2+2.8+0.2+1.6+0.2+0.65+3.3)/37</f>
        <v>0.52162162162162162</v>
      </c>
      <c r="F30" t="s">
        <v>144</v>
      </c>
      <c r="G30" s="21">
        <f>E30*$M$2</f>
        <v>5.2162162162162158</v>
      </c>
      <c r="H30" s="12">
        <f>'APUS ARQUITECTURA'!J383</f>
        <v>36.537022000000007</v>
      </c>
      <c r="I30">
        <f>G30*H30</f>
        <v>190.58500664864866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36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36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36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9"/>
      <c r="F35" t="s">
        <v>133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2.8/37</f>
        <v>7.5675675675675666E-2</v>
      </c>
      <c r="F36" t="s">
        <v>133</v>
      </c>
      <c r="G36" s="21">
        <f>E36*$M$2</f>
        <v>0.75675675675675669</v>
      </c>
      <c r="H36" s="12">
        <f>'APUS ARQUITECTURA'!J456</f>
        <v>367.87083424090611</v>
      </c>
      <c r="I36">
        <f>G36*H36</f>
        <v>278.38873942555057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1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4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E13+E8+E18</f>
        <v>0.88108108108108107</v>
      </c>
      <c r="F41" t="s">
        <v>133</v>
      </c>
      <c r="G41" s="21">
        <f>E41*$M$2</f>
        <v>8.8108108108108105</v>
      </c>
      <c r="H41" s="12">
        <f>'APUS ARQUITECTURA'!J484</f>
        <v>15.625164000000002</v>
      </c>
      <c r="I41">
        <f>G41*H41</f>
        <v>137.6703638918919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0.40675675675675671</v>
      </c>
      <c r="F42" s="105" t="s">
        <v>133</v>
      </c>
      <c r="G42" s="21">
        <f>E42*$M$2</f>
        <v>4.0675675675675667</v>
      </c>
      <c r="H42" s="12">
        <f>'APUS ARQUITECTURA'!J504</f>
        <v>15.956285454545455</v>
      </c>
      <c r="I42">
        <f>G42*H42</f>
        <v>64.903269213759202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/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/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9/37</f>
        <v>0.24324324324324326</v>
      </c>
      <c r="F59" t="s">
        <v>214</v>
      </c>
      <c r="G59" s="21">
        <f t="shared" ref="G59:G62" si="3">E59*$M$2</f>
        <v>2.4324324324324325</v>
      </c>
      <c r="H59" s="12">
        <f>'APUS ELECTRICAS'!J5</f>
        <v>121.04310400000001</v>
      </c>
      <c r="I59">
        <f>G59*H59</f>
        <v>294.42917189189194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9/37</f>
        <v>0.24324324324324326</v>
      </c>
      <c r="F60" t="s">
        <v>214</v>
      </c>
      <c r="G60" s="21">
        <f t="shared" si="3"/>
        <v>2.4324324324324325</v>
      </c>
      <c r="H60" s="12">
        <f>'APUS ELECTRICAS'!J26</f>
        <v>163.73838000000001</v>
      </c>
      <c r="I60">
        <f>G60*H60</f>
        <v>398.28254594594597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9/37</f>
        <v>0.24324324324324326</v>
      </c>
      <c r="F61" t="s">
        <v>214</v>
      </c>
      <c r="G61" s="21">
        <f t="shared" si="3"/>
        <v>2.4324324324324325</v>
      </c>
      <c r="H61" s="12">
        <f>'APUS ELECTRICAS'!J48</f>
        <v>118.30689999999998</v>
      </c>
      <c r="I61">
        <f>G61*H61</f>
        <v>287.77354054054052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1/37</f>
        <v>2.7027027027027029E-2</v>
      </c>
      <c r="F64" t="s">
        <v>149</v>
      </c>
      <c r="G64" s="21">
        <f>E64*$M$2</f>
        <v>0.27027027027027029</v>
      </c>
      <c r="H64" s="12">
        <f>'APUS ELECTRICAS'!J74</f>
        <v>396.14503200000001</v>
      </c>
      <c r="I64">
        <f>G64*H64</f>
        <v>107.06622486486488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1/37</f>
        <v>2.7027027027027029E-2</v>
      </c>
      <c r="F65" t="s">
        <v>149</v>
      </c>
      <c r="G65" s="21">
        <f>E65*$M$2</f>
        <v>0.27027027027027029</v>
      </c>
      <c r="H65" s="12">
        <f>'APUS ELECTRICAS'!J88</f>
        <v>105.9636</v>
      </c>
      <c r="I65">
        <f>G65*H65</f>
        <v>28.638810810810813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4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5">E73*$M$2</f>
        <v>6.8259385665529013E-2</v>
      </c>
      <c r="H73" s="61">
        <f>'APUS COMUNICACIONES'!J23</f>
        <v>95.843099999999993</v>
      </c>
      <c r="I73">
        <f t="shared" si="4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5"/>
        <v>0.11604095563139932</v>
      </c>
      <c r="H74" s="61">
        <f>'APUS COMUNICACIONES'!J41</f>
        <v>95.843099999999993</v>
      </c>
      <c r="I74">
        <f t="shared" si="4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5"/>
        <v>3.2491467576791805E-2</v>
      </c>
      <c r="H75" s="61">
        <f>'APUS COMUNICACIONES'!J59</f>
        <v>26.403334000000001</v>
      </c>
      <c r="I75">
        <f t="shared" si="4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5"/>
        <v>0.6778839590443686</v>
      </c>
      <c r="H76" s="61">
        <f>'APUS COMUNICACIONES'!J77</f>
        <v>25.004334</v>
      </c>
      <c r="I76">
        <f t="shared" si="4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5"/>
        <v>2.742457337883959</v>
      </c>
      <c r="H77" s="61">
        <f>'APUS COMUNICACIONES'!J95</f>
        <v>19.232787999999999</v>
      </c>
      <c r="I77">
        <f t="shared" si="4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5"/>
        <v>1.6109215017064846E-2</v>
      </c>
      <c r="H78" s="61">
        <f>'APUS COMUNICACIONES'!J113</f>
        <v>16.371788000000002</v>
      </c>
      <c r="I78">
        <f t="shared" si="4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5"/>
        <v>6.8259385665529013E-2</v>
      </c>
      <c r="H79" s="61">
        <f>'APUS COMUNICACIONES'!J131</f>
        <v>62.670152000000002</v>
      </c>
      <c r="I79">
        <f t="shared" si="4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5"/>
        <v>0.12969283276450511</v>
      </c>
      <c r="H80" s="61">
        <f>'APUS COMUNICACIONES'!J146</f>
        <v>58.850152000000008</v>
      </c>
      <c r="I80">
        <f t="shared" si="4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5"/>
        <v>2.0477815699658702E-2</v>
      </c>
      <c r="H81" s="61">
        <f>'APUS COMUNICACIONES'!J161</f>
        <v>57.88015200000001</v>
      </c>
      <c r="I81">
        <f t="shared" si="4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5"/>
        <v>0.12627986348122866</v>
      </c>
      <c r="H82" s="61">
        <f>'APUS COMUNICACIONES'!J176</f>
        <v>99.340459999999993</v>
      </c>
      <c r="I82">
        <f t="shared" si="4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6">E85*$M$2</f>
        <v>2.7303754266211604E-2</v>
      </c>
      <c r="H85" s="12">
        <f>'APUS COMUNICACIONES'!J422</f>
        <v>633.69880000000001</v>
      </c>
      <c r="I85">
        <f t="shared" si="4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4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7">E88*$M$2</f>
        <v>6.8259385665529013E-2</v>
      </c>
      <c r="H88" s="12">
        <f>'APUS COMUNICACIONES'!J469</f>
        <v>367.66879999999998</v>
      </c>
      <c r="I88">
        <f t="shared" si="4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8">E90*$M$2</f>
        <v>2.7303754266211604E-2</v>
      </c>
      <c r="H90" s="12">
        <f>'APUS COMUNICACIONES'!J497</f>
        <v>96.144090000000006</v>
      </c>
      <c r="I90">
        <f t="shared" si="4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8"/>
        <v>2.7303754266211604E-2</v>
      </c>
      <c r="H91" s="12">
        <f>'APUS COMUNICACIONES'!J513</f>
        <v>64.330690000000004</v>
      </c>
      <c r="I91">
        <f t="shared" si="4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69BA-F548-4D76-8355-3F6E07DA3A72}">
  <sheetPr>
    <tabColor rgb="FFFFFF00"/>
  </sheetPr>
  <dimension ref="A2:BP165"/>
  <sheetViews>
    <sheetView topLeftCell="A37" workbookViewId="0">
      <selection activeCell="A44" sqref="A44:I4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'!D27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18038.105770560633</v>
      </c>
      <c r="L4" s="25" t="s">
        <v>1368</v>
      </c>
      <c r="M4" s="130">
        <f>J4/M2</f>
        <v>1803.8105770560633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(1.75+1.3+3.3+0.6)*3/6.5</f>
        <v>3.2076923076923074</v>
      </c>
      <c r="F6" s="63" t="s">
        <v>133</v>
      </c>
      <c r="G6" s="21">
        <f>E6*$M$2</f>
        <v>32.076923076923073</v>
      </c>
      <c r="H6" s="12">
        <f>'APUS ARQUITECTURA'!J5</f>
        <v>135.824337926792</v>
      </c>
      <c r="I6">
        <f>G6*H6</f>
        <v>4356.8268396517124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>
        <v>0</v>
      </c>
      <c r="F7" s="63" t="s">
        <v>133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>
        <f>2.8*3/6.5</f>
        <v>1.2923076923076922</v>
      </c>
      <c r="F8" s="63" t="s">
        <v>133</v>
      </c>
      <c r="G8" s="21">
        <f t="shared" si="0"/>
        <v>12.923076923076922</v>
      </c>
      <c r="H8" s="12">
        <f>'APUS ARQUITECTURA'!J50</f>
        <v>141.06679428571431</v>
      </c>
      <c r="I8">
        <f t="shared" si="1"/>
        <v>1823.0170338461539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7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7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(1.75+1.25+3.3+0.6)*3/6.5</f>
        <v>3.1846153846153844</v>
      </c>
      <c r="F13" t="s">
        <v>133</v>
      </c>
      <c r="G13" s="21">
        <f t="shared" ref="G13" si="2">E13*$M$2</f>
        <v>31.846153846153843</v>
      </c>
      <c r="H13" s="12">
        <f>'APUS ARQUITECTURA'!J127</f>
        <v>27.122965133333338</v>
      </c>
      <c r="I13">
        <f>G13*H13</f>
        <v>863.76212040000007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1.3*3.3/6.5</f>
        <v>0.66</v>
      </c>
      <c r="F14" t="s">
        <v>133</v>
      </c>
      <c r="G14" s="21">
        <f>E14*$M$2</f>
        <v>6.6000000000000005</v>
      </c>
      <c r="H14" s="12">
        <f>'APUS ARQUITECTURA'!J148</f>
        <v>35.840962666666663</v>
      </c>
      <c r="I14">
        <f>G14*H14</f>
        <v>236.55035359999999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>
        <f>(1.75+1.25+3.3+0.6+4.7)*2/6.5</f>
        <v>3.569230769230769</v>
      </c>
      <c r="F32" t="s">
        <v>144</v>
      </c>
      <c r="G32" s="21">
        <f>E32*$M$2</f>
        <v>35.692307692307693</v>
      </c>
      <c r="H32" s="12">
        <f>'APUS ARQUITECTURA'!J410</f>
        <v>44.192746666666665</v>
      </c>
      <c r="I32">
        <f>G32*H32</f>
        <v>1577.3411117948717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0.9*2.1/6.5</f>
        <v>0.29076923076923078</v>
      </c>
      <c r="F35" t="s">
        <v>133</v>
      </c>
      <c r="G35" s="21">
        <f>E35*$M$2</f>
        <v>2.907692307692308</v>
      </c>
      <c r="H35" s="12">
        <f>'APUS ARQUITECTURA'!J449</f>
        <v>560.62260000000003</v>
      </c>
      <c r="I35">
        <f>G35*H35</f>
        <v>1630.1180215384618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/>
      <c r="F36" t="s">
        <v>133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E13+E8+E19</f>
        <v>5.476923076923077</v>
      </c>
      <c r="F41" t="s">
        <v>133</v>
      </c>
      <c r="G41" s="21">
        <f>E41*$M$2</f>
        <v>54.769230769230774</v>
      </c>
      <c r="H41" s="12">
        <f>'APUS ARQUITECTURA'!J484</f>
        <v>15.625164000000002</v>
      </c>
      <c r="I41">
        <f>G41*H41</f>
        <v>855.77821292307704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0.66</v>
      </c>
      <c r="F42" s="105" t="s">
        <v>133</v>
      </c>
      <c r="G42" s="21">
        <f>E42*$M$2</f>
        <v>6.6000000000000005</v>
      </c>
      <c r="H42" s="12">
        <f>'APUS ARQUITECTURA'!J504</f>
        <v>15.956285454545455</v>
      </c>
      <c r="I42">
        <f>G42*H42</f>
        <v>105.31148400000001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/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/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4/6.5</f>
        <v>0.61538461538461542</v>
      </c>
      <c r="F59" t="s">
        <v>214</v>
      </c>
      <c r="G59" s="21">
        <f t="shared" ref="G59:G62" si="3">E59*$M$2</f>
        <v>6.1538461538461542</v>
      </c>
      <c r="H59" s="12">
        <f>'APUS ELECTRICAS'!J5</f>
        <v>121.04310400000001</v>
      </c>
      <c r="I59">
        <f>G59*H59</f>
        <v>744.88064000000008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4/6.5</f>
        <v>0.61538461538461542</v>
      </c>
      <c r="F60" t="s">
        <v>214</v>
      </c>
      <c r="G60" s="21">
        <f t="shared" si="3"/>
        <v>6.1538461538461542</v>
      </c>
      <c r="H60" s="12">
        <f>'APUS ELECTRICAS'!J26</f>
        <v>163.73838000000001</v>
      </c>
      <c r="I60">
        <f>G60*H60</f>
        <v>1007.6208000000001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4/6.5</f>
        <v>0.61538461538461542</v>
      </c>
      <c r="F61" t="s">
        <v>214</v>
      </c>
      <c r="G61" s="21">
        <f t="shared" si="3"/>
        <v>6.1538461538461542</v>
      </c>
      <c r="H61" s="12">
        <f>'APUS ELECTRICAS'!J48</f>
        <v>118.30689999999998</v>
      </c>
      <c r="I61">
        <f>G61*H61</f>
        <v>728.04246153846145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1/6.5</f>
        <v>0.15384615384615385</v>
      </c>
      <c r="F64" t="s">
        <v>149</v>
      </c>
      <c r="G64" s="21">
        <f>E64*$M$2</f>
        <v>1.5384615384615385</v>
      </c>
      <c r="H64" s="12">
        <f>'APUS ELECTRICAS'!J74</f>
        <v>396.14503200000001</v>
      </c>
      <c r="I64">
        <f>G64*H64</f>
        <v>609.45389538461541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1/6.5</f>
        <v>0.15384615384615385</v>
      </c>
      <c r="F65" t="s">
        <v>149</v>
      </c>
      <c r="G65" s="21">
        <f>E65*$M$2</f>
        <v>1.5384615384615385</v>
      </c>
      <c r="H65" s="12">
        <f>'APUS ELECTRICAS'!J88</f>
        <v>105.9636</v>
      </c>
      <c r="I65">
        <f>G65*H65</f>
        <v>163.02092307692308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4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5">E73*$M$2</f>
        <v>6.8259385665529013E-2</v>
      </c>
      <c r="H73" s="61">
        <f>'APUS COMUNICACIONES'!J23</f>
        <v>95.843099999999993</v>
      </c>
      <c r="I73">
        <f t="shared" si="4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5"/>
        <v>0.11604095563139932</v>
      </c>
      <c r="H74" s="61">
        <f>'APUS COMUNICACIONES'!J41</f>
        <v>95.843099999999993</v>
      </c>
      <c r="I74">
        <f t="shared" si="4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5"/>
        <v>3.2491467576791805E-2</v>
      </c>
      <c r="H75" s="61">
        <f>'APUS COMUNICACIONES'!J59</f>
        <v>26.403334000000001</v>
      </c>
      <c r="I75">
        <f t="shared" si="4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5"/>
        <v>0.6778839590443686</v>
      </c>
      <c r="H76" s="61">
        <f>'APUS COMUNICACIONES'!J77</f>
        <v>25.004334</v>
      </c>
      <c r="I76">
        <f t="shared" si="4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5"/>
        <v>2.742457337883959</v>
      </c>
      <c r="H77" s="61">
        <f>'APUS COMUNICACIONES'!J95</f>
        <v>19.232787999999999</v>
      </c>
      <c r="I77">
        <f t="shared" si="4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5"/>
        <v>1.6109215017064846E-2</v>
      </c>
      <c r="H78" s="61">
        <f>'APUS COMUNICACIONES'!J113</f>
        <v>16.371788000000002</v>
      </c>
      <c r="I78">
        <f t="shared" si="4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5"/>
        <v>6.8259385665529013E-2</v>
      </c>
      <c r="H79" s="61">
        <f>'APUS COMUNICACIONES'!J131</f>
        <v>62.670152000000002</v>
      </c>
      <c r="I79">
        <f t="shared" si="4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5"/>
        <v>0.12969283276450511</v>
      </c>
      <c r="H80" s="61">
        <f>'APUS COMUNICACIONES'!J146</f>
        <v>58.850152000000008</v>
      </c>
      <c r="I80">
        <f t="shared" si="4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5"/>
        <v>2.0477815699658702E-2</v>
      </c>
      <c r="H81" s="61">
        <f>'APUS COMUNICACIONES'!J161</f>
        <v>57.88015200000001</v>
      </c>
      <c r="I81">
        <f t="shared" si="4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5"/>
        <v>0.12627986348122866</v>
      </c>
      <c r="H82" s="61">
        <f>'APUS COMUNICACIONES'!J176</f>
        <v>99.340459999999993</v>
      </c>
      <c r="I82">
        <f t="shared" si="4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6">E85*$M$2</f>
        <v>2.7303754266211604E-2</v>
      </c>
      <c r="H85" s="12">
        <f>'APUS COMUNICACIONES'!J422</f>
        <v>633.69880000000001</v>
      </c>
      <c r="I85">
        <f t="shared" si="4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4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7">E88*$M$2</f>
        <v>6.8259385665529013E-2</v>
      </c>
      <c r="H88" s="12">
        <f>'APUS COMUNICACIONES'!J469</f>
        <v>367.66879999999998</v>
      </c>
      <c r="I88">
        <f t="shared" si="4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8">E90*$M$2</f>
        <v>2.7303754266211604E-2</v>
      </c>
      <c r="H90" s="12">
        <f>'APUS COMUNICACIONES'!J497</f>
        <v>96.144090000000006</v>
      </c>
      <c r="I90">
        <f t="shared" si="4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8"/>
        <v>2.7303754266211604E-2</v>
      </c>
      <c r="H91" s="12">
        <f>'APUS COMUNICACIONES'!J513</f>
        <v>64.330690000000004</v>
      </c>
      <c r="I91">
        <f t="shared" si="4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038F-A7F7-469F-8A97-38D9AB785724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'!D28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11261.699386043252</v>
      </c>
      <c r="L4" s="25" t="s">
        <v>1368</v>
      </c>
      <c r="M4" s="130">
        <f>J4/M2</f>
        <v>1126.1699386043251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((6.95+12.2+12.2)*3)*0.71/93</f>
        <v>0.71801612903225798</v>
      </c>
      <c r="F6" s="63" t="s">
        <v>133</v>
      </c>
      <c r="G6" s="21">
        <f>E6*$M$2</f>
        <v>7.1801612903225802</v>
      </c>
      <c r="H6" s="12">
        <f>'APUS ARQUITECTURA'!J5</f>
        <v>135.824337926792</v>
      </c>
      <c r="I6">
        <f>G6*H6</f>
        <v>975.24065346564498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>
        <f>((6.95)*3)/93</f>
        <v>0.22419354838709679</v>
      </c>
      <c r="F7" s="63" t="s">
        <v>133</v>
      </c>
      <c r="G7" s="21">
        <f t="shared" ref="G7:G10" si="0">E7*$M$2</f>
        <v>2.241935483870968</v>
      </c>
      <c r="H7" s="12">
        <f>'APUS ARQUITECTURA'!J32</f>
        <v>150.06569999999999</v>
      </c>
      <c r="I7">
        <f t="shared" ref="I7:I10" si="1">G7*H7</f>
        <v>336.43761774193553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/>
      <c r="F8" s="63" t="s">
        <v>133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7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7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3">
        <f>(((2*(12.2+6.95))*3)*0.71)/93</f>
        <v>0.87719354838709673</v>
      </c>
      <c r="F13" t="s">
        <v>133</v>
      </c>
      <c r="G13" s="21">
        <f t="shared" ref="G13" si="2">E13*$M$2</f>
        <v>8.7719354838709673</v>
      </c>
      <c r="H13" s="12">
        <f>'APUS ARQUITECTURA'!J127</f>
        <v>27.122965133333338</v>
      </c>
      <c r="I13">
        <f>G13*H13</f>
        <v>237.92090028088174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(((12.2*2*3.3)*0.71))/93</f>
        <v>0.61472258064516128</v>
      </c>
      <c r="F14" t="s">
        <v>133</v>
      </c>
      <c r="G14" s="21">
        <f>E14*$M$2</f>
        <v>6.1472258064516128</v>
      </c>
      <c r="H14" s="12">
        <f>'APUS ARQUITECTURA'!J148</f>
        <v>35.840962666666663</v>
      </c>
      <c r="I14">
        <f>G14*H14</f>
        <v>220.32249063260213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3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3">
        <v>1</v>
      </c>
      <c r="F18" t="s">
        <v>203</v>
      </c>
      <c r="G18" s="21">
        <f>E18*$M$2</f>
        <v>10</v>
      </c>
      <c r="H18" s="12">
        <f>'APUS ARQUITECTURA'!J188</f>
        <v>212.28215533333332</v>
      </c>
      <c r="I18">
        <f>G18*H18</f>
        <v>2122.8215533333332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3"/>
      <c r="F19" t="s">
        <v>203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3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3">
        <v>1</v>
      </c>
      <c r="F22" t="s">
        <v>133</v>
      </c>
      <c r="G22" s="21">
        <f>E22*$M$2</f>
        <v>10</v>
      </c>
      <c r="H22" s="12">
        <f>'APUS ARQUITECTURA'!J252</f>
        <v>206.77337199999999</v>
      </c>
      <c r="I22">
        <f>G22*H22</f>
        <v>2067.7337200000002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3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3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3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3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>
        <f>(2*(12.2+6.95))/93</f>
        <v>0.41182795698924729</v>
      </c>
      <c r="F30" t="s">
        <v>144</v>
      </c>
      <c r="G30" s="21">
        <f>E30*$M$2</f>
        <v>4.118279569892473</v>
      </c>
      <c r="H30" s="12">
        <f>'APUS ARQUITECTURA'!J383</f>
        <v>36.537022000000007</v>
      </c>
      <c r="I30">
        <f>G30*H30</f>
        <v>150.46967124731185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3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3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3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2*2.1/93</f>
        <v>4.5161290322580649E-2</v>
      </c>
      <c r="F35" t="s">
        <v>133</v>
      </c>
      <c r="G35" s="21">
        <f>E35*$M$2</f>
        <v>0.45161290322580649</v>
      </c>
      <c r="H35" s="12">
        <f>'APUS ARQUITECTURA'!J449</f>
        <v>560.62260000000003</v>
      </c>
      <c r="I35">
        <f>G35*H35</f>
        <v>253.18440000000004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3">
        <v>0.25</v>
      </c>
      <c r="F36" t="s">
        <v>133</v>
      </c>
      <c r="G36" s="21">
        <f>E36*$M$2</f>
        <v>2.5</v>
      </c>
      <c r="H36" s="12">
        <f>'APUS ARQUITECTURA'!J456</f>
        <v>367.87083424090611</v>
      </c>
      <c r="I36">
        <f>G36*H36</f>
        <v>919.67708560226527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3">
        <f>((((2*(6.95+12.2))*3)-(93*0.29))+93)/93</f>
        <v>1.945483870967742</v>
      </c>
      <c r="F41" t="s">
        <v>133</v>
      </c>
      <c r="G41" s="21">
        <f>E41*$M$2</f>
        <v>19.454838709677421</v>
      </c>
      <c r="H41" s="12">
        <f>'APUS ARQUITECTURA'!J484</f>
        <v>15.625164000000002</v>
      </c>
      <c r="I41">
        <f>G41*H41</f>
        <v>303.98504543225812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3">
        <f>((((12.2*2)+6.95)*3.3)-(93*0.29))/93</f>
        <v>0.82241935483870954</v>
      </c>
      <c r="F42" s="105" t="s">
        <v>133</v>
      </c>
      <c r="G42" s="21">
        <f>E42*$M$2</f>
        <v>8.2241935483870954</v>
      </c>
      <c r="H42" s="12">
        <f>'APUS ARQUITECTURA'!J504</f>
        <v>15.956285454545455</v>
      </c>
      <c r="I42">
        <f>G42*H42</f>
        <v>131.22757989149559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3">
        <f>2/93</f>
        <v>2.1505376344086023E-2</v>
      </c>
      <c r="F44" t="s">
        <v>1388</v>
      </c>
      <c r="G44" s="21">
        <f>E44*$M$2</f>
        <v>0.21505376344086025</v>
      </c>
      <c r="H44" s="12">
        <f>'APUS SANITARIAS'!J5</f>
        <v>193.33333333333331</v>
      </c>
      <c r="I44">
        <f>G44*H44</f>
        <v>41.577060931899645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3">
        <f t="shared" ref="E45:E46" si="3">2/93</f>
        <v>2.1505376344086023E-2</v>
      </c>
      <c r="F45" t="s">
        <v>1388</v>
      </c>
      <c r="G45" s="21">
        <f>E45*$M$2</f>
        <v>0.21505376344086025</v>
      </c>
      <c r="H45" s="12">
        <f>'APUS SANITARIAS'!J12</f>
        <v>192.42</v>
      </c>
      <c r="I45">
        <f t="shared" ref="I45:I46" si="4">G45*H45</f>
        <v>41.380645161290325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3">
        <f t="shared" si="3"/>
        <v>2.1505376344086023E-2</v>
      </c>
      <c r="F46" t="s">
        <v>1388</v>
      </c>
      <c r="G46" s="21">
        <f>E46*$M$2</f>
        <v>0.21505376344086025</v>
      </c>
      <c r="H46" s="12">
        <f>'APUS SANITARIAS'!J19</f>
        <v>67.521666666666661</v>
      </c>
      <c r="I46">
        <f t="shared" si="4"/>
        <v>14.52078853046595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3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3">
        <f>5/92</f>
        <v>5.434782608695652E-2</v>
      </c>
      <c r="F48" t="s">
        <v>214</v>
      </c>
      <c r="G48" s="21">
        <f>E48*$M$2</f>
        <v>0.54347826086956519</v>
      </c>
      <c r="H48" s="12">
        <f>'APUS SANITARIAS'!J32</f>
        <v>131.73781333333332</v>
      </c>
      <c r="I48">
        <f>G48*H48</f>
        <v>71.596637681159407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2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2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3">
        <f>6/92</f>
        <v>6.5217391304347824E-2</v>
      </c>
      <c r="F53" t="s">
        <v>214</v>
      </c>
      <c r="G53" s="21">
        <f>E53*$M$2</f>
        <v>0.65217391304347827</v>
      </c>
      <c r="H53" s="12">
        <f>'APUS SANITARIAS'!J108</f>
        <v>138.64527999999999</v>
      </c>
      <c r="I53">
        <f>G53*H53</f>
        <v>90.420834782608694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3">
        <f t="shared" ref="E54:E55" si="5">6/92</f>
        <v>6.5217391304347824E-2</v>
      </c>
      <c r="F54" t="s">
        <v>214</v>
      </c>
      <c r="G54" s="21">
        <f>E54*$M$2</f>
        <v>0.65217391304347827</v>
      </c>
      <c r="H54" s="12">
        <f>'APUS SANITARIAS'!J127</f>
        <v>145.93577999999999</v>
      </c>
      <c r="I54">
        <f>G54*H54</f>
        <v>95.175508695652169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3">
        <f t="shared" si="5"/>
        <v>6.5217391304347824E-2</v>
      </c>
      <c r="F55" t="s">
        <v>214</v>
      </c>
      <c r="G55" s="21">
        <f>E55*$M$2</f>
        <v>0.65217391304347827</v>
      </c>
      <c r="H55" s="12">
        <f>'APUS SANITARIAS'!J145</f>
        <v>141.07118</v>
      </c>
      <c r="I55">
        <f>G55*H55</f>
        <v>92.002943478260875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3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3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3">
        <f>20/92</f>
        <v>0.21739130434782608</v>
      </c>
      <c r="F59" t="s">
        <v>214</v>
      </c>
      <c r="G59" s="21">
        <f t="shared" ref="G59:G62" si="6">E59*$M$2</f>
        <v>2.1739130434782608</v>
      </c>
      <c r="H59" s="12">
        <f>'APUS ELECTRICAS'!J5</f>
        <v>121.04310400000001</v>
      </c>
      <c r="I59">
        <f>G59*H59</f>
        <v>263.1371826086957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3">
        <f>20/92</f>
        <v>0.21739130434782608</v>
      </c>
      <c r="F60" t="s">
        <v>214</v>
      </c>
      <c r="G60" s="21">
        <f t="shared" si="6"/>
        <v>2.1739130434782608</v>
      </c>
      <c r="H60" s="12">
        <f>'APUS ELECTRICAS'!J26</f>
        <v>163.73838000000001</v>
      </c>
      <c r="I60">
        <f>G60*H60</f>
        <v>355.95299999999997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3">
        <f>20/92</f>
        <v>0.21739130434782608</v>
      </c>
      <c r="F61" t="s">
        <v>214</v>
      </c>
      <c r="G61" s="21">
        <f t="shared" si="6"/>
        <v>2.1739130434782608</v>
      </c>
      <c r="H61" s="12">
        <f>'APUS ELECTRICAS'!J48</f>
        <v>118.30689999999998</v>
      </c>
      <c r="I61">
        <f>G61*H61</f>
        <v>257.18891304347824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3"/>
      <c r="F62" t="s">
        <v>214</v>
      </c>
      <c r="G62" s="21">
        <f t="shared" si="6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3">
        <f>(92/10)/92</f>
        <v>9.9999999999999992E-2</v>
      </c>
      <c r="F64" t="s">
        <v>149</v>
      </c>
      <c r="G64" s="21">
        <f>E64*$M$2</f>
        <v>0.99999999999999989</v>
      </c>
      <c r="H64" s="12">
        <f>'APUS ELECTRICAS'!J74</f>
        <v>396.14503200000001</v>
      </c>
      <c r="I64">
        <f>G64*H64</f>
        <v>396.14503199999996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3">
        <f>(92/10)/92</f>
        <v>9.9999999999999992E-2</v>
      </c>
      <c r="F65" t="s">
        <v>149</v>
      </c>
      <c r="G65" s="21">
        <f>E65*$M$2</f>
        <v>0.99999999999999989</v>
      </c>
      <c r="H65" s="12">
        <f>'APUS ELECTRICAS'!J88</f>
        <v>105.9636</v>
      </c>
      <c r="I65">
        <f>G65*H65</f>
        <v>105.96359999999999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3">
        <f>1/92</f>
        <v>1.0869565217391304E-2</v>
      </c>
      <c r="F66" t="s">
        <v>149</v>
      </c>
      <c r="G66" s="21">
        <f>E66*$M$2</f>
        <v>0.10869565217391304</v>
      </c>
      <c r="H66" s="12">
        <f>'APUS ELECTRICAS'!J106</f>
        <v>143.11000000000001</v>
      </c>
      <c r="I66">
        <f>G66*H66</f>
        <v>15.555434782608696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3">
        <f>2/92</f>
        <v>2.1739130434782608E-2</v>
      </c>
      <c r="F67" t="s">
        <v>149</v>
      </c>
      <c r="G67" s="21">
        <f>E67*$M$2</f>
        <v>0.21739130434782608</v>
      </c>
      <c r="H67" s="12">
        <f>'APUS ELECTRICAS'!J114</f>
        <v>86.816140000000019</v>
      </c>
      <c r="I67">
        <f>G67*H67</f>
        <v>18.873073913043481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7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8">E73*$M$2</f>
        <v>6.8259385665529013E-2</v>
      </c>
      <c r="H73" s="61">
        <f>'APUS COMUNICACIONES'!J23</f>
        <v>95.843099999999993</v>
      </c>
      <c r="I73">
        <f t="shared" si="7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8"/>
        <v>0.11604095563139932</v>
      </c>
      <c r="H74" s="61">
        <f>'APUS COMUNICACIONES'!J41</f>
        <v>95.843099999999993</v>
      </c>
      <c r="I74">
        <f t="shared" si="7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8"/>
        <v>3.2491467576791805E-2</v>
      </c>
      <c r="H75" s="61">
        <f>'APUS COMUNICACIONES'!J59</f>
        <v>26.403334000000001</v>
      </c>
      <c r="I75">
        <f t="shared" si="7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8"/>
        <v>0.6778839590443686</v>
      </c>
      <c r="H76" s="61">
        <f>'APUS COMUNICACIONES'!J77</f>
        <v>25.004334</v>
      </c>
      <c r="I76">
        <f t="shared" si="7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8"/>
        <v>2.742457337883959</v>
      </c>
      <c r="H77" s="61">
        <f>'APUS COMUNICACIONES'!J95</f>
        <v>19.232787999999999</v>
      </c>
      <c r="I77">
        <f t="shared" si="7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8"/>
        <v>1.6109215017064846E-2</v>
      </c>
      <c r="H78" s="61">
        <f>'APUS COMUNICACIONES'!J113</f>
        <v>16.371788000000002</v>
      </c>
      <c r="I78">
        <f t="shared" si="7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8"/>
        <v>6.8259385665529013E-2</v>
      </c>
      <c r="H79" s="61">
        <f>'APUS COMUNICACIONES'!J131</f>
        <v>62.670152000000002</v>
      </c>
      <c r="I79">
        <f t="shared" si="7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8"/>
        <v>0.12969283276450511</v>
      </c>
      <c r="H80" s="61">
        <f>'APUS COMUNICACIONES'!J146</f>
        <v>58.850152000000008</v>
      </c>
      <c r="I80">
        <f t="shared" si="7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8"/>
        <v>2.0477815699658702E-2</v>
      </c>
      <c r="H81" s="61">
        <f>'APUS COMUNICACIONES'!J161</f>
        <v>57.88015200000001</v>
      </c>
      <c r="I81">
        <f t="shared" si="7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8"/>
        <v>0.12627986348122866</v>
      </c>
      <c r="H82" s="61">
        <f>'APUS COMUNICACIONES'!J176</f>
        <v>99.340459999999993</v>
      </c>
      <c r="I82">
        <f t="shared" si="7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9">E85*$M$2</f>
        <v>2.7303754266211604E-2</v>
      </c>
      <c r="H85" s="12">
        <f>'APUS COMUNICACIONES'!J422</f>
        <v>633.69880000000001</v>
      </c>
      <c r="I85">
        <f t="shared" si="7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7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10">E88*$M$2</f>
        <v>6.8259385665529013E-2</v>
      </c>
      <c r="H88" s="12">
        <f>'APUS COMUNICACIONES'!J469</f>
        <v>367.66879999999998</v>
      </c>
      <c r="I88">
        <f t="shared" si="7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11">E90*$M$2</f>
        <v>2.7303754266211604E-2</v>
      </c>
      <c r="H90" s="12">
        <f>'APUS COMUNICACIONES'!J497</f>
        <v>96.144090000000006</v>
      </c>
      <c r="I90">
        <f t="shared" si="7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11"/>
        <v>2.7303754266211604E-2</v>
      </c>
      <c r="H91" s="12">
        <f>'APUS COMUNICACIONES'!J513</f>
        <v>64.330690000000004</v>
      </c>
      <c r="I91">
        <f t="shared" si="7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7BD56-DAB6-400E-8BB3-720C8E7A3BF0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'!D29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11261.699386043252</v>
      </c>
      <c r="L4" s="25" t="s">
        <v>1368</v>
      </c>
      <c r="M4" s="130">
        <f>J4/M2</f>
        <v>1126.1699386043251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((6.95+12.2+12.2)*3)*0.71/93</f>
        <v>0.71801612903225798</v>
      </c>
      <c r="F6" s="63" t="s">
        <v>133</v>
      </c>
      <c r="G6" s="21">
        <f>E6*$M$2</f>
        <v>7.1801612903225802</v>
      </c>
      <c r="H6" s="12">
        <f>'APUS ARQUITECTURA'!J5</f>
        <v>135.824337926792</v>
      </c>
      <c r="I6">
        <f>G6*H6</f>
        <v>975.24065346564498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>
        <f>((6.95)*3)/93</f>
        <v>0.22419354838709679</v>
      </c>
      <c r="F7" s="63" t="s">
        <v>133</v>
      </c>
      <c r="G7" s="21">
        <f t="shared" ref="G7:G10" si="0">E7*$M$2</f>
        <v>2.241935483870968</v>
      </c>
      <c r="H7" s="12">
        <f>'APUS ARQUITECTURA'!J32</f>
        <v>150.06569999999999</v>
      </c>
      <c r="I7">
        <f t="shared" ref="I7:I10" si="1">G7*H7</f>
        <v>336.43761774193553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/>
      <c r="F8" s="63" t="s">
        <v>133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7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7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3">
        <f>(((2*(12.2+6.95))*3)*0.71)/93</f>
        <v>0.87719354838709673</v>
      </c>
      <c r="F13" t="s">
        <v>133</v>
      </c>
      <c r="G13" s="21">
        <f t="shared" ref="G13" si="2">E13*$M$2</f>
        <v>8.7719354838709673</v>
      </c>
      <c r="H13" s="12">
        <f>'APUS ARQUITECTURA'!J127</f>
        <v>27.122965133333338</v>
      </c>
      <c r="I13">
        <f>G13*H13</f>
        <v>237.92090028088174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(((12.2*2*3.3)*0.71))/93</f>
        <v>0.61472258064516128</v>
      </c>
      <c r="F14" t="s">
        <v>133</v>
      </c>
      <c r="G14" s="21">
        <f>E14*$M$2</f>
        <v>6.1472258064516128</v>
      </c>
      <c r="H14" s="12">
        <f>'APUS ARQUITECTURA'!J148</f>
        <v>35.840962666666663</v>
      </c>
      <c r="I14">
        <f>G14*H14</f>
        <v>220.32249063260213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3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3">
        <v>1</v>
      </c>
      <c r="F18" t="s">
        <v>203</v>
      </c>
      <c r="G18" s="21">
        <f>E18*$M$2</f>
        <v>10</v>
      </c>
      <c r="H18" s="12">
        <f>'APUS ARQUITECTURA'!J188</f>
        <v>212.28215533333332</v>
      </c>
      <c r="I18">
        <f>G18*H18</f>
        <v>2122.8215533333332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3"/>
      <c r="F19" t="s">
        <v>203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3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3">
        <v>1</v>
      </c>
      <c r="F22" t="s">
        <v>133</v>
      </c>
      <c r="G22" s="21">
        <f>E22*$M$2</f>
        <v>10</v>
      </c>
      <c r="H22" s="12">
        <f>'APUS ARQUITECTURA'!J252</f>
        <v>206.77337199999999</v>
      </c>
      <c r="I22">
        <f>G22*H22</f>
        <v>2067.7337200000002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3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3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3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3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>
        <f>(2*(12.2+6.95))/93</f>
        <v>0.41182795698924729</v>
      </c>
      <c r="F30" t="s">
        <v>144</v>
      </c>
      <c r="G30" s="21">
        <f>E30*$M$2</f>
        <v>4.118279569892473</v>
      </c>
      <c r="H30" s="12">
        <f>'APUS ARQUITECTURA'!J383</f>
        <v>36.537022000000007</v>
      </c>
      <c r="I30">
        <f>G30*H30</f>
        <v>150.46967124731185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3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3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3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2*2.1/93</f>
        <v>4.5161290322580649E-2</v>
      </c>
      <c r="F35" t="s">
        <v>133</v>
      </c>
      <c r="G35" s="21">
        <f>E35*$M$2</f>
        <v>0.45161290322580649</v>
      </c>
      <c r="H35" s="12">
        <f>'APUS ARQUITECTURA'!J449</f>
        <v>560.62260000000003</v>
      </c>
      <c r="I35">
        <f>G35*H35</f>
        <v>253.18440000000004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3">
        <v>0.25</v>
      </c>
      <c r="F36" t="s">
        <v>133</v>
      </c>
      <c r="G36" s="21">
        <f>E36*$M$2</f>
        <v>2.5</v>
      </c>
      <c r="H36" s="12">
        <f>'APUS ARQUITECTURA'!J456</f>
        <v>367.87083424090611</v>
      </c>
      <c r="I36">
        <f>G36*H36</f>
        <v>919.67708560226527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3">
        <f>((((2*(6.95+12.2))*3)-(93*0.29))+93)/93</f>
        <v>1.945483870967742</v>
      </c>
      <c r="F41" t="s">
        <v>133</v>
      </c>
      <c r="G41" s="21">
        <f>E41*$M$2</f>
        <v>19.454838709677421</v>
      </c>
      <c r="H41" s="12">
        <f>'APUS ARQUITECTURA'!J484</f>
        <v>15.625164000000002</v>
      </c>
      <c r="I41">
        <f>G41*H41</f>
        <v>303.98504543225812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3">
        <f>((((12.2*2)+6.95)*3.3)-(93*0.29))/93</f>
        <v>0.82241935483870954</v>
      </c>
      <c r="F42" s="105" t="s">
        <v>133</v>
      </c>
      <c r="G42" s="21">
        <f>E42*$M$2</f>
        <v>8.2241935483870954</v>
      </c>
      <c r="H42" s="12">
        <f>'APUS ARQUITECTURA'!J504</f>
        <v>15.956285454545455</v>
      </c>
      <c r="I42">
        <f>G42*H42</f>
        <v>131.22757989149559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3">
        <f>2/93</f>
        <v>2.1505376344086023E-2</v>
      </c>
      <c r="F44" t="s">
        <v>1388</v>
      </c>
      <c r="G44" s="21">
        <f>E44*$M$2</f>
        <v>0.21505376344086025</v>
      </c>
      <c r="H44" s="12">
        <f>'APUS SANITARIAS'!J5</f>
        <v>193.33333333333331</v>
      </c>
      <c r="I44">
        <f>G44*H44</f>
        <v>41.577060931899645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3">
        <f t="shared" ref="E45:E46" si="3">2/93</f>
        <v>2.1505376344086023E-2</v>
      </c>
      <c r="F45" t="s">
        <v>1388</v>
      </c>
      <c r="G45" s="21">
        <f>E45*$M$2</f>
        <v>0.21505376344086025</v>
      </c>
      <c r="H45" s="12">
        <f>'APUS SANITARIAS'!J12</f>
        <v>192.42</v>
      </c>
      <c r="I45">
        <f t="shared" ref="I45:I46" si="4">G45*H45</f>
        <v>41.380645161290325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3">
        <f t="shared" si="3"/>
        <v>2.1505376344086023E-2</v>
      </c>
      <c r="F46" t="s">
        <v>1388</v>
      </c>
      <c r="G46" s="21">
        <f>E46*$M$2</f>
        <v>0.21505376344086025</v>
      </c>
      <c r="H46" s="12">
        <f>'APUS SANITARIAS'!J19</f>
        <v>67.521666666666661</v>
      </c>
      <c r="I46">
        <f t="shared" si="4"/>
        <v>14.52078853046595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3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3">
        <f>5/92</f>
        <v>5.434782608695652E-2</v>
      </c>
      <c r="F48" t="s">
        <v>214</v>
      </c>
      <c r="G48" s="21">
        <f>E48*$M$2</f>
        <v>0.54347826086956519</v>
      </c>
      <c r="H48" s="12">
        <f>'APUS SANITARIAS'!J32</f>
        <v>131.73781333333332</v>
      </c>
      <c r="I48">
        <f>G48*H48</f>
        <v>71.596637681159407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2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2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2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3">
        <f>6/92</f>
        <v>6.5217391304347824E-2</v>
      </c>
      <c r="F53" t="s">
        <v>214</v>
      </c>
      <c r="G53" s="21">
        <f>E53*$M$2</f>
        <v>0.65217391304347827</v>
      </c>
      <c r="H53" s="12">
        <f>'APUS SANITARIAS'!J108</f>
        <v>138.64527999999999</v>
      </c>
      <c r="I53">
        <f>G53*H53</f>
        <v>90.420834782608694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3">
        <f t="shared" ref="E54:E55" si="5">6/92</f>
        <v>6.5217391304347824E-2</v>
      </c>
      <c r="F54" t="s">
        <v>214</v>
      </c>
      <c r="G54" s="21">
        <f>E54*$M$2</f>
        <v>0.65217391304347827</v>
      </c>
      <c r="H54" s="12">
        <f>'APUS SANITARIAS'!J127</f>
        <v>145.93577999999999</v>
      </c>
      <c r="I54">
        <f>G54*H54</f>
        <v>95.175508695652169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3">
        <f t="shared" si="5"/>
        <v>6.5217391304347824E-2</v>
      </c>
      <c r="F55" t="s">
        <v>214</v>
      </c>
      <c r="G55" s="21">
        <f>E55*$M$2</f>
        <v>0.65217391304347827</v>
      </c>
      <c r="H55" s="12">
        <f>'APUS SANITARIAS'!J145</f>
        <v>141.07118</v>
      </c>
      <c r="I55">
        <f>G55*H55</f>
        <v>92.002943478260875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3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3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3">
        <f>20/92</f>
        <v>0.21739130434782608</v>
      </c>
      <c r="F59" t="s">
        <v>214</v>
      </c>
      <c r="G59" s="21">
        <f t="shared" ref="G59:G62" si="6">E59*$M$2</f>
        <v>2.1739130434782608</v>
      </c>
      <c r="H59" s="12">
        <f>'APUS ELECTRICAS'!J5</f>
        <v>121.04310400000001</v>
      </c>
      <c r="I59">
        <f>G59*H59</f>
        <v>263.1371826086957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3">
        <f>20/92</f>
        <v>0.21739130434782608</v>
      </c>
      <c r="F60" t="s">
        <v>214</v>
      </c>
      <c r="G60" s="21">
        <f t="shared" si="6"/>
        <v>2.1739130434782608</v>
      </c>
      <c r="H60" s="12">
        <f>'APUS ELECTRICAS'!J26</f>
        <v>163.73838000000001</v>
      </c>
      <c r="I60">
        <f>G60*H60</f>
        <v>355.95299999999997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3">
        <f>20/92</f>
        <v>0.21739130434782608</v>
      </c>
      <c r="F61" t="s">
        <v>214</v>
      </c>
      <c r="G61" s="21">
        <f t="shared" si="6"/>
        <v>2.1739130434782608</v>
      </c>
      <c r="H61" s="12">
        <f>'APUS ELECTRICAS'!J48</f>
        <v>118.30689999999998</v>
      </c>
      <c r="I61">
        <f>G61*H61</f>
        <v>257.18891304347824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3"/>
      <c r="F62" t="s">
        <v>214</v>
      </c>
      <c r="G62" s="21">
        <f t="shared" si="6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3">
        <f>(92/10)/92</f>
        <v>9.9999999999999992E-2</v>
      </c>
      <c r="F64" t="s">
        <v>149</v>
      </c>
      <c r="G64" s="21">
        <f>E64*$M$2</f>
        <v>0.99999999999999989</v>
      </c>
      <c r="H64" s="12">
        <f>'APUS ELECTRICAS'!J74</f>
        <v>396.14503200000001</v>
      </c>
      <c r="I64">
        <f>G64*H64</f>
        <v>396.14503199999996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3">
        <f>(92/10)/92</f>
        <v>9.9999999999999992E-2</v>
      </c>
      <c r="F65" t="s">
        <v>149</v>
      </c>
      <c r="G65" s="21">
        <f>E65*$M$2</f>
        <v>0.99999999999999989</v>
      </c>
      <c r="H65" s="12">
        <f>'APUS ELECTRICAS'!J88</f>
        <v>105.9636</v>
      </c>
      <c r="I65">
        <f>G65*H65</f>
        <v>105.96359999999999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3">
        <f>1/92</f>
        <v>1.0869565217391304E-2</v>
      </c>
      <c r="F66" t="s">
        <v>149</v>
      </c>
      <c r="G66" s="21">
        <f>E66*$M$2</f>
        <v>0.10869565217391304</v>
      </c>
      <c r="H66" s="12">
        <f>'APUS ELECTRICAS'!J106</f>
        <v>143.11000000000001</v>
      </c>
      <c r="I66">
        <f>G66*H66</f>
        <v>15.555434782608696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3">
        <f>2/92</f>
        <v>2.1739130434782608E-2</v>
      </c>
      <c r="F67" t="s">
        <v>149</v>
      </c>
      <c r="G67" s="21">
        <f>E67*$M$2</f>
        <v>0.21739130434782608</v>
      </c>
      <c r="H67" s="12">
        <f>'APUS ELECTRICAS'!J114</f>
        <v>86.816140000000019</v>
      </c>
      <c r="I67">
        <f>G67*H67</f>
        <v>18.873073913043481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7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8">E73*$M$2</f>
        <v>6.8259385665529013E-2</v>
      </c>
      <c r="H73" s="61">
        <f>'APUS COMUNICACIONES'!J23</f>
        <v>95.843099999999993</v>
      </c>
      <c r="I73">
        <f t="shared" si="7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8"/>
        <v>0.11604095563139932</v>
      </c>
      <c r="H74" s="61">
        <f>'APUS COMUNICACIONES'!J41</f>
        <v>95.843099999999993</v>
      </c>
      <c r="I74">
        <f t="shared" si="7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8"/>
        <v>3.2491467576791805E-2</v>
      </c>
      <c r="H75" s="61">
        <f>'APUS COMUNICACIONES'!J59</f>
        <v>26.403334000000001</v>
      </c>
      <c r="I75">
        <f t="shared" si="7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8"/>
        <v>0.6778839590443686</v>
      </c>
      <c r="H76" s="61">
        <f>'APUS COMUNICACIONES'!J77</f>
        <v>25.004334</v>
      </c>
      <c r="I76">
        <f t="shared" si="7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8"/>
        <v>2.742457337883959</v>
      </c>
      <c r="H77" s="61">
        <f>'APUS COMUNICACIONES'!J95</f>
        <v>19.232787999999999</v>
      </c>
      <c r="I77">
        <f t="shared" si="7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8"/>
        <v>1.6109215017064846E-2</v>
      </c>
      <c r="H78" s="61">
        <f>'APUS COMUNICACIONES'!J113</f>
        <v>16.371788000000002</v>
      </c>
      <c r="I78">
        <f t="shared" si="7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8"/>
        <v>6.8259385665529013E-2</v>
      </c>
      <c r="H79" s="61">
        <f>'APUS COMUNICACIONES'!J131</f>
        <v>62.670152000000002</v>
      </c>
      <c r="I79">
        <f t="shared" si="7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8"/>
        <v>0.12969283276450511</v>
      </c>
      <c r="H80" s="61">
        <f>'APUS COMUNICACIONES'!J146</f>
        <v>58.850152000000008</v>
      </c>
      <c r="I80">
        <f t="shared" si="7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8"/>
        <v>2.0477815699658702E-2</v>
      </c>
      <c r="H81" s="61">
        <f>'APUS COMUNICACIONES'!J161</f>
        <v>57.88015200000001</v>
      </c>
      <c r="I81">
        <f t="shared" si="7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8"/>
        <v>0.12627986348122866</v>
      </c>
      <c r="H82" s="61">
        <f>'APUS COMUNICACIONES'!J176</f>
        <v>99.340459999999993</v>
      </c>
      <c r="I82">
        <f t="shared" si="7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9">E85*$M$2</f>
        <v>2.7303754266211604E-2</v>
      </c>
      <c r="H85" s="12">
        <f>'APUS COMUNICACIONES'!J422</f>
        <v>633.69880000000001</v>
      </c>
      <c r="I85">
        <f t="shared" si="7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7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10">E88*$M$2</f>
        <v>6.8259385665529013E-2</v>
      </c>
      <c r="H88" s="12">
        <f>'APUS COMUNICACIONES'!J469</f>
        <v>367.66879999999998</v>
      </c>
      <c r="I88">
        <f t="shared" si="7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11">E90*$M$2</f>
        <v>2.7303754266211604E-2</v>
      </c>
      <c r="H90" s="12">
        <f>'APUS COMUNICACIONES'!J497</f>
        <v>96.144090000000006</v>
      </c>
      <c r="I90">
        <f t="shared" si="7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11"/>
        <v>2.7303754266211604E-2</v>
      </c>
      <c r="H91" s="12">
        <f>'APUS COMUNICACIONES'!J513</f>
        <v>64.330690000000004</v>
      </c>
      <c r="I91">
        <f t="shared" si="7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72158-9F1C-41D6-BA4F-7CE4A91AD89D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'!D30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16844.26931144729</v>
      </c>
      <c r="L4" s="25" t="s">
        <v>1368</v>
      </c>
      <c r="M4" s="130">
        <f>J4/M2</f>
        <v>1684.426931144729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2*3/6</f>
        <v>1</v>
      </c>
      <c r="F6" s="63" t="s">
        <v>133</v>
      </c>
      <c r="G6" s="21">
        <f>E6*$M$2</f>
        <v>10</v>
      </c>
      <c r="H6" s="12">
        <f>'APUS ARQUITECTURA'!J5</f>
        <v>135.824337926792</v>
      </c>
      <c r="I6">
        <f>G6*H6</f>
        <v>1358.2433792679199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/>
      <c r="F7" s="63" t="s">
        <v>133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>
        <f>((2*3*3)+(2*3)-(0.75*2.1))/6</f>
        <v>3.7375000000000003</v>
      </c>
      <c r="F8" s="63" t="s">
        <v>133</v>
      </c>
      <c r="G8" s="21">
        <f t="shared" si="0"/>
        <v>37.375</v>
      </c>
      <c r="H8" s="12">
        <f>'APUS ARQUITECTURA'!J50</f>
        <v>141.06679428571431</v>
      </c>
      <c r="I8">
        <f t="shared" si="1"/>
        <v>5272.3714364285725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7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7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(2*3)/6</f>
        <v>1</v>
      </c>
      <c r="F13" t="s">
        <v>133</v>
      </c>
      <c r="G13" s="21">
        <f t="shared" ref="G13" si="2">E13*$M$2</f>
        <v>10</v>
      </c>
      <c r="H13" s="12">
        <f>'APUS ARQUITECTURA'!J127</f>
        <v>27.122965133333338</v>
      </c>
      <c r="I13">
        <f>G13*H13</f>
        <v>271.22965133333338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(2*3.3)/6</f>
        <v>1.0999999999999999</v>
      </c>
      <c r="F14" t="s">
        <v>133</v>
      </c>
      <c r="G14" s="21">
        <f>E14*$M$2</f>
        <v>10.999999999999998</v>
      </c>
      <c r="H14" s="12">
        <f>'APUS ARQUITECTURA'!J148</f>
        <v>35.840962666666663</v>
      </c>
      <c r="I14">
        <f>G14*H14</f>
        <v>394.25058933333321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>
        <f>((2*3)+(2*2)-(0.75))/6</f>
        <v>1.5416666666666667</v>
      </c>
      <c r="F32" t="s">
        <v>144</v>
      </c>
      <c r="G32" s="21">
        <f>E32*$M$2</f>
        <v>15.416666666666668</v>
      </c>
      <c r="H32" s="12">
        <f>'APUS ARQUITECTURA'!J410</f>
        <v>44.192746666666665</v>
      </c>
      <c r="I32">
        <f>G32*H32</f>
        <v>681.30484444444448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1/6</f>
        <v>0.16666666666666666</v>
      </c>
      <c r="F35" t="s">
        <v>133</v>
      </c>
      <c r="G35" s="21">
        <f>E35*$M$2</f>
        <v>1.6666666666666665</v>
      </c>
      <c r="H35" s="12">
        <f>'APUS ARQUITECTURA'!J449</f>
        <v>560.62260000000003</v>
      </c>
      <c r="I35">
        <f>G35*H35</f>
        <v>934.37099999999998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/>
      <c r="F36" t="s">
        <v>133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E13+E8+E19</f>
        <v>5.7375000000000007</v>
      </c>
      <c r="F41" t="s">
        <v>133</v>
      </c>
      <c r="G41" s="21">
        <f>E41*$M$2</f>
        <v>57.375000000000007</v>
      </c>
      <c r="H41" s="12">
        <f>'APUS ARQUITECTURA'!J484</f>
        <v>15.625164000000002</v>
      </c>
      <c r="I41">
        <f>G41*H41</f>
        <v>896.49378450000017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1.0999999999999999</v>
      </c>
      <c r="F42" s="105" t="s">
        <v>133</v>
      </c>
      <c r="G42" s="21">
        <f>E42*$M$2</f>
        <v>10.999999999999998</v>
      </c>
      <c r="H42" s="12">
        <f>'APUS ARQUITECTURA'!J504</f>
        <v>15.956285454545455</v>
      </c>
      <c r="I42">
        <f>G42*H42</f>
        <v>175.51913999999996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/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/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4/6</f>
        <v>0.66666666666666663</v>
      </c>
      <c r="F59" t="s">
        <v>214</v>
      </c>
      <c r="G59" s="21">
        <f t="shared" ref="G59:G62" si="3">E59*$M$2</f>
        <v>6.6666666666666661</v>
      </c>
      <c r="H59" s="12">
        <f>'APUS ELECTRICAS'!J5</f>
        <v>121.04310400000001</v>
      </c>
      <c r="I59">
        <f>G59*H59</f>
        <v>806.95402666666666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4/6</f>
        <v>0.66666666666666663</v>
      </c>
      <c r="F60" t="s">
        <v>214</v>
      </c>
      <c r="G60" s="21">
        <f t="shared" si="3"/>
        <v>6.6666666666666661</v>
      </c>
      <c r="H60" s="12">
        <f>'APUS ELECTRICAS'!J26</f>
        <v>163.73838000000001</v>
      </c>
      <c r="I60">
        <f>G60*H60</f>
        <v>1091.5891999999999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4/6</f>
        <v>0.66666666666666663</v>
      </c>
      <c r="F61" t="s">
        <v>214</v>
      </c>
      <c r="G61" s="21">
        <f t="shared" si="3"/>
        <v>6.6666666666666661</v>
      </c>
      <c r="H61" s="12">
        <f>'APUS ELECTRICAS'!J48</f>
        <v>118.30689999999998</v>
      </c>
      <c r="I61">
        <f>G61*H61</f>
        <v>788.71266666666645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1/6</f>
        <v>0.16666666666666666</v>
      </c>
      <c r="F64" t="s">
        <v>149</v>
      </c>
      <c r="G64" s="21">
        <f>E64*$M$2</f>
        <v>1.6666666666666665</v>
      </c>
      <c r="H64" s="12">
        <f>'APUS ELECTRICAS'!J74</f>
        <v>396.14503200000001</v>
      </c>
      <c r="I64">
        <f>G64*H64</f>
        <v>660.24171999999999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1/6</f>
        <v>0.16666666666666666</v>
      </c>
      <c r="F65" t="s">
        <v>149</v>
      </c>
      <c r="G65" s="21">
        <f>E65*$M$2</f>
        <v>1.6666666666666665</v>
      </c>
      <c r="H65" s="12">
        <f>'APUS ELECTRICAS'!J88</f>
        <v>105.9636</v>
      </c>
      <c r="I65">
        <f>G65*H65</f>
        <v>176.60599999999999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4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5">E73*$M$2</f>
        <v>6.8259385665529013E-2</v>
      </c>
      <c r="H73" s="61">
        <f>'APUS COMUNICACIONES'!J23</f>
        <v>95.843099999999993</v>
      </c>
      <c r="I73">
        <f t="shared" si="4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5"/>
        <v>0.11604095563139932</v>
      </c>
      <c r="H74" s="61">
        <f>'APUS COMUNICACIONES'!J41</f>
        <v>95.843099999999993</v>
      </c>
      <c r="I74">
        <f t="shared" si="4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5"/>
        <v>3.2491467576791805E-2</v>
      </c>
      <c r="H75" s="61">
        <f>'APUS COMUNICACIONES'!J59</f>
        <v>26.403334000000001</v>
      </c>
      <c r="I75">
        <f t="shared" si="4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5"/>
        <v>0.6778839590443686</v>
      </c>
      <c r="H76" s="61">
        <f>'APUS COMUNICACIONES'!J77</f>
        <v>25.004334</v>
      </c>
      <c r="I76">
        <f t="shared" si="4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5"/>
        <v>2.742457337883959</v>
      </c>
      <c r="H77" s="61">
        <f>'APUS COMUNICACIONES'!J95</f>
        <v>19.232787999999999</v>
      </c>
      <c r="I77">
        <f t="shared" si="4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5"/>
        <v>1.6109215017064846E-2</v>
      </c>
      <c r="H78" s="61">
        <f>'APUS COMUNICACIONES'!J113</f>
        <v>16.371788000000002</v>
      </c>
      <c r="I78">
        <f t="shared" si="4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5"/>
        <v>6.8259385665529013E-2</v>
      </c>
      <c r="H79" s="61">
        <f>'APUS COMUNICACIONES'!J131</f>
        <v>62.670152000000002</v>
      </c>
      <c r="I79">
        <f t="shared" si="4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5"/>
        <v>0.12969283276450511</v>
      </c>
      <c r="H80" s="61">
        <f>'APUS COMUNICACIONES'!J146</f>
        <v>58.850152000000008</v>
      </c>
      <c r="I80">
        <f t="shared" si="4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5"/>
        <v>2.0477815699658702E-2</v>
      </c>
      <c r="H81" s="61">
        <f>'APUS COMUNICACIONES'!J161</f>
        <v>57.88015200000001</v>
      </c>
      <c r="I81">
        <f t="shared" si="4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5"/>
        <v>0.12627986348122866</v>
      </c>
      <c r="H82" s="61">
        <f>'APUS COMUNICACIONES'!J176</f>
        <v>99.340459999999993</v>
      </c>
      <c r="I82">
        <f t="shared" si="4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6">E85*$M$2</f>
        <v>2.7303754266211604E-2</v>
      </c>
      <c r="H85" s="12">
        <f>'APUS COMUNICACIONES'!J422</f>
        <v>633.69880000000001</v>
      </c>
      <c r="I85">
        <f t="shared" si="4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4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7">E88*$M$2</f>
        <v>6.8259385665529013E-2</v>
      </c>
      <c r="H88" s="12">
        <f>'APUS COMUNICACIONES'!J469</f>
        <v>367.66879999999998</v>
      </c>
      <c r="I88">
        <f t="shared" si="4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8">E90*$M$2</f>
        <v>2.7303754266211604E-2</v>
      </c>
      <c r="H90" s="12">
        <f>'APUS COMUNICACIONES'!J497</f>
        <v>96.144090000000006</v>
      </c>
      <c r="I90">
        <f t="shared" si="4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8"/>
        <v>2.7303754266211604E-2</v>
      </c>
      <c r="H91" s="12">
        <f>'APUS COMUNICACIONES'!J513</f>
        <v>64.330690000000004</v>
      </c>
      <c r="I91">
        <f t="shared" si="4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6CE5D-7725-4F03-943B-C7C2ECF5CCD6}">
  <sheetPr>
    <tabColor rgb="FFFFFF00"/>
  </sheetPr>
  <dimension ref="A2:BP165"/>
  <sheetViews>
    <sheetView workbookViewId="0">
      <selection activeCell="M57" sqref="M57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'!D31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12152.390099082384</v>
      </c>
      <c r="L4" s="25" t="s">
        <v>1368</v>
      </c>
      <c r="M4" s="130">
        <f>J4/M2</f>
        <v>1215.2390099082384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((6.65*3)-(4*1.2*1.2))/20</f>
        <v>0.70950000000000013</v>
      </c>
      <c r="F6" s="63" t="s">
        <v>133</v>
      </c>
      <c r="G6" s="21">
        <f>E6*$M$2</f>
        <v>7.0950000000000015</v>
      </c>
      <c r="H6" s="12">
        <f>'APUS ARQUITECTURA'!J5</f>
        <v>135.824337926792</v>
      </c>
      <c r="I6">
        <f>G6*H6</f>
        <v>963.67367759058948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/>
      <c r="F7" s="63" t="s">
        <v>133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>
        <f>(2*(3/2)*3)/20</f>
        <v>0.45</v>
      </c>
      <c r="F8" s="63" t="s">
        <v>133</v>
      </c>
      <c r="G8" s="21">
        <f t="shared" si="0"/>
        <v>4.5</v>
      </c>
      <c r="H8" s="12">
        <f>'APUS ARQUITECTURA'!J50</f>
        <v>141.06679428571431</v>
      </c>
      <c r="I8">
        <f t="shared" si="1"/>
        <v>634.80057428571445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7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7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(6.65*3)/20</f>
        <v>0.99750000000000016</v>
      </c>
      <c r="F13" t="s">
        <v>133</v>
      </c>
      <c r="G13" s="21">
        <f t="shared" ref="G13" si="2">E13*$M$2</f>
        <v>9.9750000000000014</v>
      </c>
      <c r="H13" s="12">
        <f>'APUS ARQUITECTURA'!J127</f>
        <v>27.122965133333338</v>
      </c>
      <c r="I13">
        <f>G13*H13</f>
        <v>270.55157720500006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((6.65*3.3)-(4*1.2*1.2))/20</f>
        <v>0.80925000000000014</v>
      </c>
      <c r="F14" t="s">
        <v>133</v>
      </c>
      <c r="G14" s="21">
        <f>E14*$M$2</f>
        <v>8.0925000000000011</v>
      </c>
      <c r="H14" s="12">
        <f>'APUS ARQUITECTURA'!J148</f>
        <v>35.840962666666663</v>
      </c>
      <c r="I14">
        <f>G14*H14</f>
        <v>290.04299037999999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1.1000000000000001</v>
      </c>
      <c r="F19" t="s">
        <v>203</v>
      </c>
      <c r="G19" s="21">
        <f>E19*$M$2</f>
        <v>11</v>
      </c>
      <c r="H19" s="12">
        <f>'APUS ARQUITECTURA'!J212</f>
        <v>62.663358000000002</v>
      </c>
      <c r="I19">
        <f>G19*H19</f>
        <v>689.29693800000007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>
        <v>1</v>
      </c>
      <c r="F22" t="s">
        <v>133</v>
      </c>
      <c r="G22" s="21">
        <f>E22*$M$2</f>
        <v>10</v>
      </c>
      <c r="H22" s="12">
        <f>'APUS ARQUITECTURA'!J252</f>
        <v>206.77337199999999</v>
      </c>
      <c r="I22">
        <f>G22*H22</f>
        <v>2067.7337200000002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>
        <f>((2*3)+6.66)/20</f>
        <v>0.63300000000000001</v>
      </c>
      <c r="F30" t="s">
        <v>144</v>
      </c>
      <c r="G30" s="21">
        <f>E30*$M$2</f>
        <v>6.33</v>
      </c>
      <c r="H30" s="12">
        <f>'APUS ARQUITECTURA'!J383</f>
        <v>36.537022000000007</v>
      </c>
      <c r="I30">
        <f>G30*H30</f>
        <v>231.27934926000006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v>0.14000000000000001</v>
      </c>
      <c r="F35" t="s">
        <v>133</v>
      </c>
      <c r="G35" s="21">
        <f>E35*$M$2</f>
        <v>1.4000000000000001</v>
      </c>
      <c r="H35" s="12">
        <f>'APUS ARQUITECTURA'!J449</f>
        <v>560.62260000000003</v>
      </c>
      <c r="I35">
        <f>G35*H35</f>
        <v>784.87164000000007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(4*1.2*1.2)/20</f>
        <v>0.28799999999999998</v>
      </c>
      <c r="F36" t="s">
        <v>133</v>
      </c>
      <c r="G36" s="21">
        <f>E36*$M$2</f>
        <v>2.88</v>
      </c>
      <c r="H36" s="12">
        <f>'APUS ARQUITECTURA'!J456</f>
        <v>367.87083424090611</v>
      </c>
      <c r="I36">
        <f>G36*H36</f>
        <v>1059.4680026138096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E13+E8+E18</f>
        <v>1.4475000000000002</v>
      </c>
      <c r="F41" t="s">
        <v>133</v>
      </c>
      <c r="G41" s="21">
        <f>E41*$M$2</f>
        <v>14.475000000000001</v>
      </c>
      <c r="H41" s="12">
        <f>'APUS ARQUITECTURA'!J484</f>
        <v>15.625164000000002</v>
      </c>
      <c r="I41">
        <f>G41*H41</f>
        <v>226.17424890000004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0.80925000000000014</v>
      </c>
      <c r="F42" s="105" t="s">
        <v>133</v>
      </c>
      <c r="G42" s="21">
        <f>E42*$M$2</f>
        <v>8.0925000000000011</v>
      </c>
      <c r="H42" s="12">
        <f>'APUS ARQUITECTURA'!J504</f>
        <v>15.956285454545455</v>
      </c>
      <c r="I42">
        <f>G42*H42</f>
        <v>129.12624004090912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/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/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13/20</f>
        <v>0.65</v>
      </c>
      <c r="F59" t="s">
        <v>214</v>
      </c>
      <c r="G59" s="21">
        <f t="shared" ref="G59:G62" si="3">E59*$M$2</f>
        <v>6.5</v>
      </c>
      <c r="H59" s="12">
        <f>'APUS ELECTRICAS'!J5</f>
        <v>121.04310400000001</v>
      </c>
      <c r="I59">
        <f>G59*H59</f>
        <v>786.7801760000001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13/20</f>
        <v>0.65</v>
      </c>
      <c r="F60" t="s">
        <v>214</v>
      </c>
      <c r="G60" s="21">
        <f t="shared" si="3"/>
        <v>6.5</v>
      </c>
      <c r="H60" s="12">
        <f>'APUS ELECTRICAS'!J26</f>
        <v>163.73838000000001</v>
      </c>
      <c r="I60">
        <f>G60*H60</f>
        <v>1064.2994699999999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13/20</f>
        <v>0.65</v>
      </c>
      <c r="F61" t="s">
        <v>214</v>
      </c>
      <c r="G61" s="21">
        <f t="shared" si="3"/>
        <v>6.5</v>
      </c>
      <c r="H61" s="12">
        <f>'APUS ELECTRICAS'!J48</f>
        <v>118.30689999999998</v>
      </c>
      <c r="I61">
        <f>G61*H61</f>
        <v>768.99484999999993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2/20</f>
        <v>0.1</v>
      </c>
      <c r="F64" t="s">
        <v>149</v>
      </c>
      <c r="G64" s="21">
        <f>E64*$M$2</f>
        <v>1</v>
      </c>
      <c r="H64" s="12">
        <f>'APUS ELECTRICAS'!J74</f>
        <v>396.14503200000001</v>
      </c>
      <c r="I64">
        <f>G64*H64</f>
        <v>396.14503200000001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2/20</f>
        <v>0.1</v>
      </c>
      <c r="F65" t="s">
        <v>149</v>
      </c>
      <c r="G65" s="21">
        <f>E65*$M$2</f>
        <v>1</v>
      </c>
      <c r="H65" s="12">
        <f>'APUS ELECTRICAS'!J88</f>
        <v>105.9636</v>
      </c>
      <c r="I65">
        <f>G65*H65</f>
        <v>105.9636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4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5">E73*$M$2</f>
        <v>6.8259385665529013E-2</v>
      </c>
      <c r="H73" s="61">
        <f>'APUS COMUNICACIONES'!J23</f>
        <v>95.843099999999993</v>
      </c>
      <c r="I73">
        <f t="shared" si="4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5"/>
        <v>0.11604095563139932</v>
      </c>
      <c r="H74" s="61">
        <f>'APUS COMUNICACIONES'!J41</f>
        <v>95.843099999999993</v>
      </c>
      <c r="I74">
        <f t="shared" si="4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5"/>
        <v>3.2491467576791805E-2</v>
      </c>
      <c r="H75" s="61">
        <f>'APUS COMUNICACIONES'!J59</f>
        <v>26.403334000000001</v>
      </c>
      <c r="I75">
        <f t="shared" si="4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5"/>
        <v>0.6778839590443686</v>
      </c>
      <c r="H76" s="61">
        <f>'APUS COMUNICACIONES'!J77</f>
        <v>25.004334</v>
      </c>
      <c r="I76">
        <f t="shared" si="4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5"/>
        <v>2.742457337883959</v>
      </c>
      <c r="H77" s="61">
        <f>'APUS COMUNICACIONES'!J95</f>
        <v>19.232787999999999</v>
      </c>
      <c r="I77">
        <f t="shared" si="4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5"/>
        <v>1.6109215017064846E-2</v>
      </c>
      <c r="H78" s="61">
        <f>'APUS COMUNICACIONES'!J113</f>
        <v>16.371788000000002</v>
      </c>
      <c r="I78">
        <f t="shared" si="4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5"/>
        <v>6.8259385665529013E-2</v>
      </c>
      <c r="H79" s="61">
        <f>'APUS COMUNICACIONES'!J131</f>
        <v>62.670152000000002</v>
      </c>
      <c r="I79">
        <f t="shared" si="4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5"/>
        <v>0.12969283276450511</v>
      </c>
      <c r="H80" s="61">
        <f>'APUS COMUNICACIONES'!J146</f>
        <v>58.850152000000008</v>
      </c>
      <c r="I80">
        <f t="shared" si="4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5"/>
        <v>2.0477815699658702E-2</v>
      </c>
      <c r="H81" s="61">
        <f>'APUS COMUNICACIONES'!J161</f>
        <v>57.88015200000001</v>
      </c>
      <c r="I81">
        <f t="shared" si="4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5"/>
        <v>0.12627986348122866</v>
      </c>
      <c r="H82" s="61">
        <f>'APUS COMUNICACIONES'!J176</f>
        <v>99.340459999999993</v>
      </c>
      <c r="I82">
        <f t="shared" si="4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6">E85*$M$2</f>
        <v>2.7303754266211604E-2</v>
      </c>
      <c r="H85" s="12">
        <f>'APUS COMUNICACIONES'!J422</f>
        <v>633.69880000000001</v>
      </c>
      <c r="I85">
        <f t="shared" si="4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4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7">E88*$M$2</f>
        <v>6.8259385665529013E-2</v>
      </c>
      <c r="H88" s="12">
        <f>'APUS COMUNICACIONES'!J469</f>
        <v>367.66879999999998</v>
      </c>
      <c r="I88">
        <f t="shared" si="4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8">E90*$M$2</f>
        <v>2.7303754266211604E-2</v>
      </c>
      <c r="H90" s="12">
        <f>'APUS COMUNICACIONES'!J497</f>
        <v>96.144090000000006</v>
      </c>
      <c r="I90">
        <f t="shared" si="4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8"/>
        <v>2.7303754266211604E-2</v>
      </c>
      <c r="H91" s="12">
        <f>'APUS COMUNICACIONES'!J513</f>
        <v>64.330690000000004</v>
      </c>
      <c r="I91">
        <f t="shared" si="4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662C-DBE6-4176-B09F-8F177566145F}">
  <sheetPr>
    <tabColor rgb="FFFFFF00"/>
  </sheetPr>
  <dimension ref="A2:BP165"/>
  <sheetViews>
    <sheetView workbookViewId="0">
      <selection activeCell="S88" sqref="S88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'!D32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17656.799411994856</v>
      </c>
      <c r="L4" s="25" t="s">
        <v>1368</v>
      </c>
      <c r="M4" s="130">
        <f>J4/M2</f>
        <v>1765.6799411994857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(2.8+2.2+1.45+0.25)*3/12.3</f>
        <v>1.6341463414634148</v>
      </c>
      <c r="F6" s="63" t="s">
        <v>133</v>
      </c>
      <c r="G6" s="21">
        <f>E6*$M$2</f>
        <v>16.341463414634148</v>
      </c>
      <c r="H6" s="12">
        <f>'APUS ARQUITECTURA'!J5</f>
        <v>135.824337926792</v>
      </c>
      <c r="I6">
        <f>G6*H6</f>
        <v>2219.5684490475769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>
        <f>2.6*3/12.3</f>
        <v>0.63414634146341464</v>
      </c>
      <c r="F7" s="63" t="s">
        <v>133</v>
      </c>
      <c r="G7" s="21">
        <f t="shared" ref="G7:G10" si="0">E7*$M$2</f>
        <v>6.3414634146341466</v>
      </c>
      <c r="H7" s="12">
        <f>'APUS ARQUITECTURA'!J32</f>
        <v>150.06569999999999</v>
      </c>
      <c r="I7">
        <f t="shared" ref="I7:I10" si="1">G7*H7</f>
        <v>951.63614634146336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>
        <v>0</v>
      </c>
      <c r="F8" s="63" t="s">
        <v>133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7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7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E6+E7</f>
        <v>2.2682926829268295</v>
      </c>
      <c r="F13" t="s">
        <v>133</v>
      </c>
      <c r="G13" s="21">
        <f t="shared" ref="G13" si="2">E13*$M$2</f>
        <v>22.682926829268297</v>
      </c>
      <c r="H13" s="12">
        <f>'APUS ARQUITECTURA'!J127</f>
        <v>27.122965133333338</v>
      </c>
      <c r="I13">
        <f>G13*H13</f>
        <v>615.22823351219529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(2.6+2.8)*3.3/12.3</f>
        <v>1.448780487804878</v>
      </c>
      <c r="F14" t="s">
        <v>133</v>
      </c>
      <c r="G14" s="21">
        <f>E14*$M$2</f>
        <v>14.487804878048781</v>
      </c>
      <c r="H14" s="12">
        <f>'APUS ARQUITECTURA'!J148</f>
        <v>35.840962666666663</v>
      </c>
      <c r="I14">
        <f>G14*H14</f>
        <v>519.25687375609755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>
        <f>E13</f>
        <v>2.2682926829268295</v>
      </c>
      <c r="F16" t="s">
        <v>133</v>
      </c>
      <c r="G16" s="21">
        <f>E16*$M$2</f>
        <v>22.682926829268297</v>
      </c>
      <c r="H16" s="12">
        <f>'APUS ARQUITECTURA'!J168</f>
        <v>90.825879999999998</v>
      </c>
      <c r="I16">
        <f>G16*H16</f>
        <v>2060.1967902439028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>
        <v>1</v>
      </c>
      <c r="F18" t="s">
        <v>203</v>
      </c>
      <c r="G18" s="21">
        <f>E18*$M$2</f>
        <v>10</v>
      </c>
      <c r="H18" s="12">
        <f>'APUS ARQUITECTURA'!J188</f>
        <v>212.28215533333332</v>
      </c>
      <c r="I18">
        <f>G18*H18</f>
        <v>2122.8215533333332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/>
      <c r="F19" t="s">
        <v>203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>
        <f>(2.6+4.4+1.45+0.25)*0.1/12.3</f>
        <v>7.0731707317073164E-2</v>
      </c>
      <c r="F32" t="s">
        <v>144</v>
      </c>
      <c r="G32" s="21">
        <f>E32*$M$2</f>
        <v>0.70731707317073167</v>
      </c>
      <c r="H32" s="12">
        <f>'APUS ARQUITECTURA'!J410</f>
        <v>44.192746666666665</v>
      </c>
      <c r="I32">
        <f>G32*H32</f>
        <v>31.258284227642275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0.9*2.1/12.3</f>
        <v>0.15365853658536585</v>
      </c>
      <c r="F35" t="s">
        <v>133</v>
      </c>
      <c r="G35" s="21">
        <f>E35*$M$2</f>
        <v>1.5365853658536586</v>
      </c>
      <c r="H35" s="12">
        <f>'APUS ARQUITECTURA'!J449</f>
        <v>560.62260000000003</v>
      </c>
      <c r="I35">
        <f>G35*H35</f>
        <v>861.44448292682932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v>0</v>
      </c>
      <c r="F36" t="s">
        <v>133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E16+(1.7*3/12.3)</f>
        <v>2.6829268292682928</v>
      </c>
      <c r="F41" t="s">
        <v>133</v>
      </c>
      <c r="G41" s="21">
        <f>E41*$M$2</f>
        <v>26.829268292682929</v>
      </c>
      <c r="H41" s="12">
        <f>'APUS ARQUITECTURA'!J484</f>
        <v>15.625164000000002</v>
      </c>
      <c r="I41">
        <f>G41*H41</f>
        <v>419.2117170731708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1.448780487804878</v>
      </c>
      <c r="F42" s="105" t="s">
        <v>133</v>
      </c>
      <c r="G42" s="21">
        <f>E42*$M$2</f>
        <v>14.487804878048781</v>
      </c>
      <c r="H42" s="12">
        <f>'APUS ARQUITECTURA'!J504</f>
        <v>15.956285454545455</v>
      </c>
      <c r="I42">
        <f>G42*H42</f>
        <v>231.17155024390246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>
        <f>1/12.3</f>
        <v>8.1300813008130079E-2</v>
      </c>
      <c r="F44" t="s">
        <v>1388</v>
      </c>
      <c r="G44" s="21">
        <f>E44*$M$2</f>
        <v>0.81300813008130079</v>
      </c>
      <c r="H44" s="12">
        <f>'APUS SANITARIAS'!J5</f>
        <v>193.33333333333331</v>
      </c>
      <c r="I44">
        <f>G44*H44</f>
        <v>157.18157181571814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>
        <f t="shared" ref="E45:E46" si="3">1/12.3</f>
        <v>8.1300813008130079E-2</v>
      </c>
      <c r="F45" t="s">
        <v>1388</v>
      </c>
      <c r="G45" s="21">
        <f t="shared" ref="G45:G46" si="4">E45*$M$2</f>
        <v>0.81300813008130079</v>
      </c>
      <c r="H45" s="12">
        <f>'APUS SANITARIAS'!J12</f>
        <v>192.42</v>
      </c>
      <c r="I45">
        <f t="shared" ref="I45:I46" si="5">G45*H45</f>
        <v>156.4390243902439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>
        <f t="shared" si="3"/>
        <v>8.1300813008130079E-2</v>
      </c>
      <c r="F46" t="s">
        <v>1388</v>
      </c>
      <c r="G46" s="21">
        <f t="shared" si="4"/>
        <v>0.81300813008130079</v>
      </c>
      <c r="H46" s="12">
        <f>'APUS SANITARIAS'!J19</f>
        <v>67.521666666666661</v>
      </c>
      <c r="I46">
        <f t="shared" si="5"/>
        <v>54.895663956639559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>
        <f>1/12.3</f>
        <v>8.1300813008130079E-2</v>
      </c>
      <c r="F48" t="s">
        <v>214</v>
      </c>
      <c r="G48" s="21">
        <f>E48*$M$2</f>
        <v>0.81300813008130079</v>
      </c>
      <c r="H48" s="12">
        <f>'APUS SANITARIAS'!J32</f>
        <v>131.73781333333332</v>
      </c>
      <c r="I48">
        <f>G48*H48</f>
        <v>107.10391327913278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>
        <f>1/12.3</f>
        <v>8.1300813008130079E-2</v>
      </c>
      <c r="F53" t="s">
        <v>214</v>
      </c>
      <c r="G53" s="21">
        <f>E53*$M$2</f>
        <v>0.81300813008130079</v>
      </c>
      <c r="H53" s="12">
        <f>'APUS SANITARIAS'!J108</f>
        <v>138.64527999999999</v>
      </c>
      <c r="I53">
        <f>G53*H53</f>
        <v>112.71973983739836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>
        <f t="shared" ref="E54:E55" si="6">1/12.3</f>
        <v>8.1300813008130079E-2</v>
      </c>
      <c r="F54" t="s">
        <v>214</v>
      </c>
      <c r="G54" s="21">
        <f>E54*$M$2</f>
        <v>0.81300813008130079</v>
      </c>
      <c r="H54" s="12">
        <f>'APUS SANITARIAS'!J127</f>
        <v>145.93577999999999</v>
      </c>
      <c r="I54">
        <f>G54*H54</f>
        <v>118.64697560975608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>
        <f t="shared" si="6"/>
        <v>8.1300813008130079E-2</v>
      </c>
      <c r="F55" t="s">
        <v>214</v>
      </c>
      <c r="G55" s="21">
        <f>E55*$M$2</f>
        <v>0.81300813008130079</v>
      </c>
      <c r="H55" s="12">
        <f>'APUS SANITARIAS'!J145</f>
        <v>141.07118</v>
      </c>
      <c r="I55">
        <f>G55*H55</f>
        <v>114.6920162601626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10/12.3</f>
        <v>0.81300813008130079</v>
      </c>
      <c r="F59" t="s">
        <v>214</v>
      </c>
      <c r="G59" s="21">
        <f t="shared" ref="G59:G62" si="7">E59*$M$2</f>
        <v>8.1300813008130071</v>
      </c>
      <c r="H59" s="12">
        <f>'APUS ELECTRICAS'!J5</f>
        <v>121.04310400000001</v>
      </c>
      <c r="I59">
        <f>G59*H59</f>
        <v>984.09027642276419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10/12.3</f>
        <v>0.81300813008130079</v>
      </c>
      <c r="F60" t="s">
        <v>214</v>
      </c>
      <c r="G60" s="21">
        <f t="shared" si="7"/>
        <v>8.1300813008130071</v>
      </c>
      <c r="H60" s="12">
        <f>'APUS ELECTRICAS'!J26</f>
        <v>163.73838000000001</v>
      </c>
      <c r="I60">
        <f>G60*H60</f>
        <v>1331.2063414634144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10/12.3</f>
        <v>0.81300813008130079</v>
      </c>
      <c r="F61" t="s">
        <v>214</v>
      </c>
      <c r="G61" s="21">
        <f t="shared" si="7"/>
        <v>8.1300813008130071</v>
      </c>
      <c r="H61" s="12">
        <f>'APUS ELECTRICAS'!J48</f>
        <v>118.30689999999998</v>
      </c>
      <c r="I61">
        <f>G61*H61</f>
        <v>961.84471544715427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 t="shared" si="7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2/12.3</f>
        <v>0.16260162601626016</v>
      </c>
      <c r="F64" t="s">
        <v>149</v>
      </c>
      <c r="G64" s="21">
        <f>E64*$M$2</f>
        <v>1.6260162601626016</v>
      </c>
      <c r="H64" s="12">
        <f>'APUS ELECTRICAS'!J74</f>
        <v>396.14503200000001</v>
      </c>
      <c r="I64">
        <f>G64*H64</f>
        <v>644.13826341463414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2/12.3</f>
        <v>0.16260162601626016</v>
      </c>
      <c r="F65" t="s">
        <v>149</v>
      </c>
      <c r="G65" s="21">
        <f>E65*$M$2</f>
        <v>1.6260162601626016</v>
      </c>
      <c r="H65" s="12">
        <f>'APUS ELECTRICAS'!J88</f>
        <v>105.9636</v>
      </c>
      <c r="I65">
        <f>G65*H65</f>
        <v>172.29853658536584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8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9">E73*$M$2</f>
        <v>6.8259385665529013E-2</v>
      </c>
      <c r="H73" s="61">
        <f>'APUS COMUNICACIONES'!J23</f>
        <v>95.843099999999993</v>
      </c>
      <c r="I73">
        <f t="shared" si="8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9"/>
        <v>0.11604095563139932</v>
      </c>
      <c r="H74" s="61">
        <f>'APUS COMUNICACIONES'!J41</f>
        <v>95.843099999999993</v>
      </c>
      <c r="I74">
        <f t="shared" si="8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9"/>
        <v>3.2491467576791805E-2</v>
      </c>
      <c r="H75" s="61">
        <f>'APUS COMUNICACIONES'!J59</f>
        <v>26.403334000000001</v>
      </c>
      <c r="I75">
        <f t="shared" si="8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9"/>
        <v>0.6778839590443686</v>
      </c>
      <c r="H76" s="61">
        <f>'APUS COMUNICACIONES'!J77</f>
        <v>25.004334</v>
      </c>
      <c r="I76">
        <f t="shared" si="8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9"/>
        <v>2.742457337883959</v>
      </c>
      <c r="H77" s="61">
        <f>'APUS COMUNICACIONES'!J95</f>
        <v>19.232787999999999</v>
      </c>
      <c r="I77">
        <f t="shared" si="8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9"/>
        <v>1.6109215017064846E-2</v>
      </c>
      <c r="H78" s="61">
        <f>'APUS COMUNICACIONES'!J113</f>
        <v>16.371788000000002</v>
      </c>
      <c r="I78">
        <f t="shared" si="8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9"/>
        <v>6.8259385665529013E-2</v>
      </c>
      <c r="H79" s="61">
        <f>'APUS COMUNICACIONES'!J131</f>
        <v>62.670152000000002</v>
      </c>
      <c r="I79">
        <f t="shared" si="8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9"/>
        <v>0.12969283276450511</v>
      </c>
      <c r="H80" s="61">
        <f>'APUS COMUNICACIONES'!J146</f>
        <v>58.850152000000008</v>
      </c>
      <c r="I80">
        <f t="shared" si="8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9"/>
        <v>2.0477815699658702E-2</v>
      </c>
      <c r="H81" s="61">
        <f>'APUS COMUNICACIONES'!J161</f>
        <v>57.88015200000001</v>
      </c>
      <c r="I81">
        <f t="shared" si="8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9"/>
        <v>0.12627986348122866</v>
      </c>
      <c r="H82" s="61">
        <f>'APUS COMUNICACIONES'!J176</f>
        <v>99.340459999999993</v>
      </c>
      <c r="I82">
        <f t="shared" si="8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10">E85*$M$2</f>
        <v>2.7303754266211604E-2</v>
      </c>
      <c r="H85" s="12">
        <f>'APUS COMUNICACIONES'!J422</f>
        <v>633.69880000000001</v>
      </c>
      <c r="I85">
        <f t="shared" si="8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8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11">E88*$M$2</f>
        <v>6.8259385665529013E-2</v>
      </c>
      <c r="H88" s="12">
        <f>'APUS COMUNICACIONES'!J469</f>
        <v>367.66879999999998</v>
      </c>
      <c r="I88">
        <f t="shared" si="8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12">E90*$M$2</f>
        <v>2.7303754266211604E-2</v>
      </c>
      <c r="H90" s="12">
        <f>'APUS COMUNICACIONES'!J497</f>
        <v>96.144090000000006</v>
      </c>
      <c r="I90">
        <f t="shared" si="8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12"/>
        <v>2.7303754266211604E-2</v>
      </c>
      <c r="H91" s="12">
        <f>'APUS COMUNICACIONES'!J513</f>
        <v>64.330690000000004</v>
      </c>
      <c r="I91">
        <f t="shared" si="8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DF965-A8BB-4191-A4E2-4469F64CB1AF}">
  <sheetPr>
    <tabColor rgb="FFFFFF00"/>
  </sheetPr>
  <dimension ref="A2:BP165"/>
  <sheetViews>
    <sheetView workbookViewId="0">
      <selection activeCell="H6" sqref="H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'!D33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9277.5608628027076</v>
      </c>
      <c r="L4" s="25" t="s">
        <v>1368</v>
      </c>
      <c r="M4" s="130">
        <f>J4/M2</f>
        <v>927.75608628027078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((((2.8*4)+(6.95))*3)-(0.2*60.3)-(1*2.1))/60.3</f>
        <v>0.66815920398009943</v>
      </c>
      <c r="F6" s="63" t="s">
        <v>133</v>
      </c>
      <c r="G6" s="21">
        <f>E6*$M$2</f>
        <v>6.6815920398009947</v>
      </c>
      <c r="H6" s="12">
        <f>'APUS ARQUITECTURA'!J5</f>
        <v>135.824337926792</v>
      </c>
      <c r="I6">
        <f>G6*H6</f>
        <v>907.52281510289379</v>
      </c>
      <c r="O6" s="124"/>
      <c r="P6" s="124"/>
      <c r="Q6" s="124"/>
      <c r="R6" s="124"/>
      <c r="S6" s="124"/>
      <c r="T6" s="124"/>
      <c r="U6" s="136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36"/>
      <c r="AI6" s="136"/>
      <c r="AJ6" s="136"/>
      <c r="AK6" s="136"/>
      <c r="AL6" s="125"/>
      <c r="AM6" s="136"/>
      <c r="AN6" s="136"/>
      <c r="AO6" s="124"/>
      <c r="AP6" s="124"/>
      <c r="AR6" s="124"/>
      <c r="AS6" s="124"/>
      <c r="AT6" s="124"/>
      <c r="AU6" s="124"/>
      <c r="AV6" s="124"/>
      <c r="AW6" s="124"/>
      <c r="AX6" s="124"/>
      <c r="AY6" s="124"/>
    </row>
    <row r="7" spans="1:68">
      <c r="A7" t="s">
        <v>759</v>
      </c>
      <c r="E7" s="124">
        <v>0</v>
      </c>
      <c r="F7" s="63" t="s">
        <v>133</v>
      </c>
      <c r="G7" s="21">
        <f t="shared" ref="G7:G10" si="0">E7*$M$2</f>
        <v>0</v>
      </c>
      <c r="H7" s="12">
        <f>'APUS ARQUITECTURA'!J32</f>
        <v>150.06569999999999</v>
      </c>
      <c r="I7">
        <f t="shared" ref="I7:I10" si="1">G7*H7</f>
        <v>0</v>
      </c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36"/>
      <c r="AI7" s="136"/>
      <c r="AJ7" s="136"/>
      <c r="AK7" s="136"/>
      <c r="AL7" s="125"/>
      <c r="AM7" s="136"/>
      <c r="AN7" s="136"/>
      <c r="AO7" s="124"/>
      <c r="AP7" s="124"/>
      <c r="AR7" s="124"/>
      <c r="AS7" s="124"/>
      <c r="AT7" s="124"/>
      <c r="AU7" s="124"/>
      <c r="AV7" s="124"/>
      <c r="AW7" s="124"/>
      <c r="AX7" s="124"/>
      <c r="AY7" s="124"/>
    </row>
    <row r="8" spans="1:68">
      <c r="A8" t="s">
        <v>761</v>
      </c>
      <c r="E8" s="124"/>
      <c r="F8" s="63" t="s">
        <v>133</v>
      </c>
      <c r="G8" s="21">
        <f t="shared" si="0"/>
        <v>0</v>
      </c>
      <c r="H8" s="12">
        <f>'APUS ARQUITECTURA'!J50</f>
        <v>141.06679428571431</v>
      </c>
      <c r="I8">
        <f t="shared" si="1"/>
        <v>0</v>
      </c>
      <c r="O8" s="124"/>
      <c r="P8" s="124"/>
      <c r="Q8" s="124"/>
      <c r="R8" s="124"/>
      <c r="S8" s="124"/>
      <c r="T8" s="124"/>
      <c r="U8" s="136"/>
      <c r="V8" s="124"/>
      <c r="W8" s="124"/>
      <c r="X8" s="124"/>
      <c r="Y8" s="124"/>
      <c r="Z8" s="124"/>
      <c r="AA8" s="124"/>
      <c r="AB8" s="124"/>
      <c r="AC8" s="124"/>
      <c r="AD8" s="136"/>
      <c r="AE8" s="136"/>
      <c r="AF8" s="124"/>
      <c r="AG8" s="124"/>
      <c r="AH8" s="136"/>
      <c r="AI8" s="136"/>
      <c r="AJ8" s="136"/>
      <c r="AK8" s="136"/>
      <c r="AL8" s="125"/>
      <c r="AM8" s="136"/>
      <c r="AN8" s="136"/>
      <c r="AO8" s="124"/>
      <c r="AP8" s="124"/>
      <c r="AR8" s="124"/>
      <c r="AS8" s="124"/>
      <c r="AT8" s="124"/>
      <c r="AU8" s="124"/>
      <c r="AV8" s="124"/>
      <c r="AW8" s="124"/>
      <c r="AX8" s="124"/>
      <c r="AY8" s="124"/>
    </row>
    <row r="9" spans="1:68" ht="15" customHeight="1">
      <c r="A9" t="s">
        <v>763</v>
      </c>
      <c r="E9" s="137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34"/>
      <c r="P9" s="137"/>
      <c r="Q9" s="137"/>
      <c r="R9" s="137"/>
      <c r="S9" s="137"/>
      <c r="T9" s="137"/>
      <c r="U9" s="126"/>
      <c r="V9" s="137"/>
      <c r="W9" s="137"/>
      <c r="X9" s="137"/>
      <c r="Y9" s="137"/>
      <c r="Z9" s="137"/>
      <c r="AA9" s="137"/>
      <c r="AB9" s="137"/>
      <c r="AC9" s="137"/>
      <c r="AD9" s="126"/>
      <c r="AE9" s="126"/>
      <c r="AF9" s="137"/>
      <c r="AG9" s="137"/>
      <c r="AH9" s="126"/>
      <c r="AI9" s="126"/>
      <c r="AJ9" s="126"/>
      <c r="AK9" s="126"/>
      <c r="AL9" s="127"/>
      <c r="AM9" s="126"/>
      <c r="AN9" s="126"/>
      <c r="AO9" s="137"/>
      <c r="AP9" s="137"/>
      <c r="AR9" s="137"/>
      <c r="AS9" s="137"/>
      <c r="AT9" s="137"/>
      <c r="AU9" s="137"/>
      <c r="AV9" s="137"/>
      <c r="AW9" s="134"/>
      <c r="AX9" s="134"/>
      <c r="AY9" s="134"/>
    </row>
    <row r="10" spans="1:68">
      <c r="A10" t="s">
        <v>765</v>
      </c>
      <c r="E10" s="137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34"/>
      <c r="P10" s="137"/>
      <c r="Q10" s="137"/>
      <c r="R10" s="137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7"/>
      <c r="AM10" s="126"/>
      <c r="AN10" s="126"/>
      <c r="AO10" s="126"/>
      <c r="AP10" s="126"/>
      <c r="AQ10" s="51"/>
      <c r="AR10" s="126"/>
      <c r="AS10" s="126"/>
      <c r="AT10" s="126"/>
      <c r="AU10" s="126"/>
      <c r="AV10" s="126"/>
      <c r="AW10" s="126"/>
      <c r="AX10" s="126"/>
      <c r="AY10" s="126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E6+E8+((0.85*4+1.8*2)*3/60.3)</f>
        <v>1.0164179104477611</v>
      </c>
      <c r="F13" t="s">
        <v>133</v>
      </c>
      <c r="G13" s="21">
        <f t="shared" ref="G13" si="2">E13*$M$2</f>
        <v>10.164179104477611</v>
      </c>
      <c r="H13" s="12">
        <f>'APUS ARQUITECTURA'!J127</f>
        <v>27.122965133333338</v>
      </c>
      <c r="I13">
        <f>G13*H13</f>
        <v>275.6826754597015</v>
      </c>
      <c r="O13" s="124"/>
      <c r="P13" s="124"/>
      <c r="Q13" s="124"/>
      <c r="R13" s="124"/>
      <c r="S13" s="136"/>
      <c r="T13" s="136"/>
      <c r="U13" s="136"/>
      <c r="V13" s="136"/>
      <c r="W13" s="125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43"/>
      <c r="AJ13" s="143"/>
      <c r="AK13" s="136"/>
      <c r="AL13" s="125"/>
      <c r="AM13" s="136"/>
      <c r="AN13" s="136"/>
      <c r="AO13" s="136"/>
      <c r="AP13" s="136"/>
      <c r="AQ13" s="51"/>
      <c r="AR13" s="136"/>
      <c r="AS13" s="136"/>
      <c r="AT13" s="136"/>
      <c r="AU13" s="136"/>
      <c r="AV13" s="143"/>
      <c r="AW13" s="136"/>
      <c r="AX13" s="136"/>
      <c r="AY13" s="13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((2.8*4*3.3)+(2.2*4*3.3)-(2.8*2*1)-(2.1*1))/60.3</f>
        <v>0.96683250414593702</v>
      </c>
      <c r="F14" t="s">
        <v>133</v>
      </c>
      <c r="G14" s="21">
        <f>E14*$M$2</f>
        <v>9.6683250414593704</v>
      </c>
      <c r="H14" s="12">
        <f>'APUS ARQUITECTURA'!J148</f>
        <v>35.840962666666663</v>
      </c>
      <c r="I14">
        <f>G14*H14</f>
        <v>346.52207686014373</v>
      </c>
      <c r="O14" s="124"/>
      <c r="P14" s="124"/>
      <c r="Q14" s="124"/>
      <c r="R14" s="124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25"/>
      <c r="AM14" s="136"/>
      <c r="AN14" s="136"/>
      <c r="AO14" s="136"/>
      <c r="AP14" s="136"/>
      <c r="AQ14" s="51"/>
      <c r="AR14" s="136"/>
      <c r="AS14" s="136"/>
      <c r="AT14" s="136"/>
      <c r="AU14" s="136"/>
      <c r="AV14" s="136"/>
      <c r="AW14" s="136"/>
      <c r="AX14" s="136"/>
      <c r="AY14" s="13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24"/>
      <c r="P15" s="124"/>
      <c r="Q15" s="124"/>
      <c r="R15" s="124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25"/>
      <c r="AM15" s="136"/>
      <c r="AN15" s="136"/>
      <c r="AO15" s="136"/>
      <c r="AP15" s="136"/>
      <c r="AQ15" s="51"/>
      <c r="AR15" s="136"/>
      <c r="AS15" s="136"/>
      <c r="AT15" s="136"/>
      <c r="AU15" s="136"/>
      <c r="AV15" s="136"/>
      <c r="AW15" s="136"/>
      <c r="AX15" s="136"/>
      <c r="AY15" s="13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24"/>
      <c r="P16" s="124"/>
      <c r="Q16" s="124"/>
      <c r="R16" s="124"/>
      <c r="S16" s="136"/>
      <c r="T16" s="136"/>
      <c r="U16" s="136"/>
      <c r="V16" s="136"/>
      <c r="W16" s="125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25"/>
      <c r="AM16" s="136"/>
      <c r="AN16" s="136"/>
      <c r="AO16" s="136"/>
      <c r="AP16" s="136"/>
      <c r="AQ16" s="51"/>
      <c r="AR16" s="136"/>
      <c r="AS16" s="136"/>
      <c r="AT16" s="136"/>
      <c r="AU16" s="136"/>
      <c r="AV16" s="136"/>
      <c r="AW16" s="136"/>
      <c r="AX16" s="136"/>
      <c r="AY16" s="13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24"/>
      <c r="P18" s="124"/>
      <c r="Q18" s="124"/>
      <c r="R18" s="124"/>
      <c r="S18" s="136"/>
      <c r="T18" s="136"/>
      <c r="U18" s="136"/>
      <c r="V18" s="136"/>
      <c r="W18" s="125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25"/>
      <c r="AM18" s="136"/>
      <c r="AN18" s="136"/>
      <c r="AO18" s="136"/>
      <c r="AP18" s="136"/>
      <c r="AQ18" s="51"/>
      <c r="AR18" s="136"/>
      <c r="AS18" s="136"/>
      <c r="AT18" s="136"/>
      <c r="AU18" s="136"/>
      <c r="AV18" s="136"/>
      <c r="AW18" s="136"/>
      <c r="AX18" s="136"/>
      <c r="AY18" s="13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24"/>
      <c r="P19" s="124"/>
      <c r="Q19" s="124"/>
      <c r="R19" s="124"/>
      <c r="S19" s="136"/>
      <c r="T19" s="136"/>
      <c r="U19" s="136"/>
      <c r="V19" s="136"/>
      <c r="W19" s="125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25"/>
      <c r="AM19" s="136"/>
      <c r="AN19" s="136"/>
      <c r="AO19" s="136"/>
      <c r="AP19" s="136"/>
      <c r="AQ19" s="51"/>
      <c r="AR19" s="136"/>
      <c r="AS19" s="136"/>
      <c r="AT19" s="136"/>
      <c r="AU19" s="136"/>
      <c r="AV19" s="136"/>
      <c r="AW19" s="136"/>
      <c r="AX19" s="136"/>
      <c r="AY19" s="13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24"/>
      <c r="P21" s="124"/>
      <c r="Q21" s="124"/>
      <c r="R21" s="124"/>
      <c r="S21" s="136"/>
      <c r="T21" s="136"/>
      <c r="U21" s="136"/>
      <c r="V21" s="136"/>
      <c r="W21" s="125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25"/>
      <c r="AM21" s="136"/>
      <c r="AN21" s="136"/>
      <c r="AO21" s="136"/>
      <c r="AP21" s="136"/>
      <c r="AQ21" s="51"/>
      <c r="AR21" s="136"/>
      <c r="AS21" s="136"/>
      <c r="AT21" s="136"/>
      <c r="AU21" s="136"/>
      <c r="AV21" s="136"/>
      <c r="AW21" s="136"/>
      <c r="AX21" s="136"/>
      <c r="AY21" s="13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>
        <v>1</v>
      </c>
      <c r="F22" t="s">
        <v>133</v>
      </c>
      <c r="G22" s="21">
        <f>E22*$M$2</f>
        <v>10</v>
      </c>
      <c r="H22" s="12">
        <f>'APUS ARQUITECTURA'!J252</f>
        <v>206.77337199999999</v>
      </c>
      <c r="I22">
        <f>G22*H22</f>
        <v>2067.7337200000002</v>
      </c>
      <c r="O22" s="124"/>
      <c r="P22" s="124"/>
      <c r="Q22" s="124"/>
      <c r="R22" s="124"/>
      <c r="S22" s="136"/>
      <c r="T22" s="136"/>
      <c r="U22" s="136"/>
      <c r="V22" s="136"/>
      <c r="W22" s="125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25"/>
      <c r="AM22" s="136"/>
      <c r="AN22" s="136"/>
      <c r="AO22" s="136"/>
      <c r="AP22" s="136"/>
      <c r="AQ22" s="51"/>
      <c r="AR22" s="136"/>
      <c r="AS22" s="136"/>
      <c r="AT22" s="136"/>
      <c r="AU22" s="136"/>
      <c r="AV22" s="136"/>
      <c r="AW22" s="136"/>
      <c r="AX22" s="136"/>
      <c r="AY22" s="13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24"/>
      <c r="P23" s="124"/>
      <c r="Q23" s="124"/>
      <c r="R23" s="124"/>
      <c r="S23" s="136"/>
      <c r="T23" s="136"/>
      <c r="U23" s="136"/>
      <c r="V23" s="136"/>
      <c r="W23" s="125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25"/>
      <c r="AM23" s="136"/>
      <c r="AN23" s="136"/>
      <c r="AO23" s="136"/>
      <c r="AP23" s="136"/>
      <c r="AQ23" s="51"/>
      <c r="AR23" s="136"/>
      <c r="AS23" s="136"/>
      <c r="AT23" s="136"/>
      <c r="AU23" s="136"/>
      <c r="AV23" s="136"/>
      <c r="AW23" s="136"/>
      <c r="AX23" s="136"/>
      <c r="AY23" s="13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24"/>
      <c r="P24" s="124"/>
      <c r="Q24" s="124"/>
      <c r="R24" s="124"/>
      <c r="S24" s="136"/>
      <c r="T24" s="136"/>
      <c r="U24" s="136"/>
      <c r="V24" s="136"/>
      <c r="W24" s="125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25"/>
      <c r="AM24" s="136"/>
      <c r="AN24" s="136"/>
      <c r="AO24" s="136"/>
      <c r="AP24" s="136"/>
      <c r="AQ24" s="51"/>
      <c r="AR24" s="136"/>
      <c r="AS24" s="136"/>
      <c r="AT24" s="136"/>
      <c r="AU24" s="136"/>
      <c r="AV24" s="136"/>
      <c r="AW24" s="136"/>
      <c r="AX24" s="136"/>
      <c r="AY24" s="13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24"/>
      <c r="P25" s="124"/>
      <c r="Q25" s="124"/>
      <c r="R25" s="124"/>
      <c r="S25" s="136"/>
      <c r="T25" s="136"/>
      <c r="U25" s="136"/>
      <c r="V25" s="136"/>
      <c r="W25" s="125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25"/>
      <c r="AM25" s="136"/>
      <c r="AN25" s="136"/>
      <c r="AO25" s="136"/>
      <c r="AP25" s="136"/>
      <c r="AQ25" s="51"/>
      <c r="AR25" s="136"/>
      <c r="AS25" s="136"/>
      <c r="AT25" s="136"/>
      <c r="AU25" s="136"/>
      <c r="AV25" s="136"/>
      <c r="AW25" s="136"/>
      <c r="AX25" s="136"/>
      <c r="AY25" s="13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4"/>
      <c r="P26" s="124"/>
      <c r="Q26" s="124"/>
      <c r="R26" s="124"/>
      <c r="S26" s="136"/>
      <c r="T26" s="136"/>
      <c r="U26" s="136"/>
      <c r="V26" s="136"/>
      <c r="W26" s="125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25"/>
      <c r="AM26" s="136"/>
      <c r="AN26" s="136"/>
      <c r="AO26" s="136"/>
      <c r="AP26" s="136"/>
      <c r="AQ26" s="51"/>
      <c r="AR26" s="136"/>
      <c r="AS26" s="136"/>
      <c r="AT26" s="136"/>
      <c r="AU26" s="136"/>
      <c r="AV26" s="136"/>
      <c r="AW26" s="136"/>
      <c r="AX26" s="136"/>
      <c r="AY26" s="13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24"/>
      <c r="P27" s="124"/>
      <c r="Q27" s="124"/>
      <c r="R27" s="124"/>
      <c r="S27" s="136"/>
      <c r="T27" s="136"/>
      <c r="U27" s="136"/>
      <c r="V27" s="136"/>
      <c r="W27" s="125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25"/>
      <c r="AM27" s="136"/>
      <c r="AN27" s="136"/>
      <c r="AO27" s="136"/>
      <c r="AP27" s="136"/>
      <c r="AQ27" s="51"/>
      <c r="AR27" s="136"/>
      <c r="AS27" s="136"/>
      <c r="AT27" s="136"/>
      <c r="AU27" s="136"/>
      <c r="AV27" s="136"/>
      <c r="AW27" s="136"/>
      <c r="AX27" s="136"/>
      <c r="AY27" s="13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24"/>
      <c r="P28" s="124"/>
      <c r="Q28" s="124"/>
      <c r="R28" s="124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25"/>
      <c r="AM28" s="136"/>
      <c r="AN28" s="136"/>
      <c r="AO28" s="136"/>
      <c r="AP28" s="136"/>
      <c r="AQ28" s="51"/>
      <c r="AR28" s="136"/>
      <c r="AS28" s="136"/>
      <c r="AT28" s="136"/>
      <c r="AU28" s="136"/>
      <c r="AV28" s="136"/>
      <c r="AW28" s="136"/>
      <c r="AX28" s="136"/>
      <c r="AY28" s="13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24"/>
      <c r="P29" s="124"/>
      <c r="Q29" s="124"/>
      <c r="R29" s="124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25"/>
      <c r="AM29" s="136"/>
      <c r="AN29" s="136"/>
      <c r="AO29" s="136"/>
      <c r="AP29" s="136"/>
      <c r="AQ29" s="51"/>
      <c r="AR29" s="136"/>
      <c r="AS29" s="136"/>
      <c r="AT29" s="136"/>
      <c r="AU29" s="136"/>
      <c r="AV29" s="136"/>
      <c r="AW29" s="136"/>
      <c r="AX29" s="136"/>
      <c r="AY29" s="13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>
        <f>((((2*(8.65+0.4)+(2*6.95)))-(1))/60.3)</f>
        <v>0.51409618573797677</v>
      </c>
      <c r="F30" t="s">
        <v>144</v>
      </c>
      <c r="G30" s="21">
        <f>E30*$M$2</f>
        <v>5.140961857379768</v>
      </c>
      <c r="H30" s="12">
        <f>'APUS ARQUITECTURA'!J383</f>
        <v>36.537022000000007</v>
      </c>
      <c r="I30">
        <f>G30*H30</f>
        <v>187.83543648424549</v>
      </c>
      <c r="O30" s="124"/>
      <c r="P30" s="124"/>
      <c r="Q30" s="124"/>
      <c r="R30" s="124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25"/>
      <c r="AM30" s="136"/>
      <c r="AN30" s="136"/>
      <c r="AO30" s="136"/>
      <c r="AP30" s="136"/>
      <c r="AQ30" s="51"/>
      <c r="AR30" s="136"/>
      <c r="AS30" s="136"/>
      <c r="AT30" s="136"/>
      <c r="AU30" s="136"/>
      <c r="AV30" s="136"/>
      <c r="AW30" s="136"/>
      <c r="AX30" s="136"/>
      <c r="AY30" s="13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24"/>
      <c r="P31" s="124"/>
      <c r="Q31" s="124"/>
      <c r="R31" s="124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25"/>
      <c r="AM31" s="136"/>
      <c r="AN31" s="136"/>
      <c r="AO31" s="136"/>
      <c r="AP31" s="136"/>
      <c r="AQ31" s="51"/>
      <c r="AR31" s="136"/>
      <c r="AS31" s="136"/>
      <c r="AT31" s="136"/>
      <c r="AU31" s="136"/>
      <c r="AV31" s="136"/>
      <c r="AW31" s="136"/>
      <c r="AX31" s="136"/>
      <c r="AY31" s="13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24"/>
      <c r="P32" s="124"/>
      <c r="Q32" s="124"/>
      <c r="R32" s="124"/>
      <c r="S32" s="136"/>
      <c r="T32" s="136"/>
      <c r="U32" s="136"/>
      <c r="V32" s="136"/>
      <c r="W32" s="125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25"/>
      <c r="AM32" s="136"/>
      <c r="AN32" s="136"/>
      <c r="AO32" s="136"/>
      <c r="AP32" s="136"/>
      <c r="AQ32" s="51"/>
      <c r="AR32" s="136"/>
      <c r="AS32" s="136"/>
      <c r="AT32" s="136"/>
      <c r="AU32" s="136"/>
      <c r="AV32" s="136"/>
      <c r="AW32" s="136"/>
      <c r="AX32" s="136"/>
      <c r="AY32" s="13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24"/>
      <c r="P33" s="124"/>
      <c r="Q33" s="124"/>
      <c r="R33" s="124"/>
      <c r="S33" s="136"/>
      <c r="T33" s="136"/>
      <c r="U33" s="136"/>
      <c r="V33" s="136"/>
      <c r="W33" s="125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25"/>
      <c r="AM33" s="136"/>
      <c r="AN33" s="136"/>
      <c r="AO33" s="136"/>
      <c r="AP33" s="136"/>
      <c r="AQ33" s="51"/>
      <c r="AR33" s="136"/>
      <c r="AS33" s="136"/>
      <c r="AT33" s="136"/>
      <c r="AU33" s="136"/>
      <c r="AV33" s="136"/>
      <c r="AW33" s="136"/>
      <c r="AX33" s="136"/>
      <c r="AY33" s="13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24"/>
      <c r="P34" s="124"/>
      <c r="Q34" s="124"/>
      <c r="R34" s="124"/>
      <c r="S34" s="136"/>
      <c r="T34" s="136"/>
      <c r="U34" s="136"/>
      <c r="V34" s="136"/>
      <c r="W34" s="125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25"/>
      <c r="AM34" s="136"/>
      <c r="AN34" s="136"/>
      <c r="AO34" s="136"/>
      <c r="AP34" s="136"/>
      <c r="AQ34" s="51"/>
      <c r="AR34" s="136"/>
      <c r="AS34" s="136"/>
      <c r="AT34" s="136"/>
      <c r="AU34" s="136"/>
      <c r="AV34" s="136"/>
      <c r="AW34" s="136"/>
      <c r="AX34" s="136"/>
      <c r="AY34" s="13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1*2.1/60.3</f>
        <v>3.482587064676617E-2</v>
      </c>
      <c r="F35" t="s">
        <v>133</v>
      </c>
      <c r="G35" s="21">
        <f>E35*$M$2</f>
        <v>0.34825870646766172</v>
      </c>
      <c r="H35" s="12">
        <f>'APUS ARQUITECTURA'!J449</f>
        <v>560.62260000000003</v>
      </c>
      <c r="I35">
        <f>G35*H35</f>
        <v>195.24170149253735</v>
      </c>
      <c r="O35" s="134"/>
      <c r="P35" s="138"/>
      <c r="Q35" s="138"/>
      <c r="R35" s="13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31"/>
      <c r="AE35" s="128"/>
      <c r="AF35" s="128"/>
      <c r="AG35" s="128"/>
      <c r="AH35" s="128"/>
      <c r="AI35" s="128"/>
      <c r="AJ35" s="128"/>
      <c r="AK35" s="128"/>
      <c r="AL35" s="127"/>
      <c r="AM35" s="128"/>
      <c r="AN35" s="128"/>
      <c r="AO35" s="128"/>
      <c r="AP35" s="128"/>
      <c r="AQ35" s="51"/>
      <c r="AR35" s="128"/>
      <c r="AS35" s="128"/>
      <c r="AT35" s="128"/>
      <c r="AU35" s="128"/>
      <c r="AV35" s="128"/>
      <c r="AW35" s="128"/>
      <c r="AX35" s="128"/>
      <c r="AY35" s="128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((3*2.8*1)+1)/60.3</f>
        <v>0.15588723051409617</v>
      </c>
      <c r="F36" t="s">
        <v>133</v>
      </c>
      <c r="G36" s="21">
        <f>E36*$M$2</f>
        <v>1.5588723051409616</v>
      </c>
      <c r="H36" s="12">
        <f>'APUS ARQUITECTURA'!J456</f>
        <v>367.87083424090611</v>
      </c>
      <c r="I36">
        <f>G36*H36</f>
        <v>573.46365536724988</v>
      </c>
      <c r="O36" s="124"/>
      <c r="P36" s="124"/>
      <c r="Q36" s="124"/>
      <c r="R36" s="124"/>
      <c r="S36" s="136"/>
      <c r="T36" s="136"/>
      <c r="U36" s="136"/>
      <c r="V36" s="136"/>
      <c r="W36" s="125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25"/>
      <c r="AM36" s="136"/>
      <c r="AN36" s="136"/>
      <c r="AO36" s="136"/>
      <c r="AP36" s="136"/>
      <c r="AQ36" s="51"/>
      <c r="AR36" s="136"/>
      <c r="AS36" s="136"/>
      <c r="AT36" s="136"/>
      <c r="AU36" s="136"/>
      <c r="AV36" s="136"/>
      <c r="AW36" s="136"/>
      <c r="AX36" s="136"/>
      <c r="AY36" s="13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35"/>
      <c r="P37" s="140"/>
      <c r="Q37" s="140"/>
      <c r="R37" s="140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51"/>
      <c r="AR37" s="129"/>
      <c r="AS37" s="129"/>
      <c r="AT37" s="129"/>
      <c r="AU37" s="129"/>
      <c r="AV37" s="129"/>
      <c r="AW37" s="129"/>
      <c r="AX37" s="129"/>
      <c r="AY37" s="129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34"/>
      <c r="P38" s="137"/>
      <c r="Q38" s="137"/>
      <c r="R38" s="137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51"/>
      <c r="AR38" s="126"/>
      <c r="AS38" s="126"/>
      <c r="AT38" s="126"/>
      <c r="AU38" s="126"/>
      <c r="AV38" s="126"/>
      <c r="AW38" s="126"/>
      <c r="AX38" s="126"/>
      <c r="AY38" s="126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4"/>
      <c r="P39" s="124"/>
      <c r="Q39" s="124"/>
      <c r="R39" s="124"/>
      <c r="S39" s="136"/>
      <c r="T39" s="136"/>
      <c r="U39" s="136"/>
      <c r="V39" s="136"/>
      <c r="W39" s="125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25"/>
      <c r="AM39" s="136"/>
      <c r="AN39" s="136"/>
      <c r="AO39" s="136"/>
      <c r="AP39" s="136"/>
      <c r="AQ39" s="51"/>
      <c r="AR39" s="136"/>
      <c r="AS39" s="136"/>
      <c r="AT39" s="136"/>
      <c r="AU39" s="136"/>
      <c r="AV39" s="136"/>
      <c r="AW39" s="136"/>
      <c r="AX39" s="136"/>
      <c r="AY39" s="13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E19+E13</f>
        <v>2.0164179104477613</v>
      </c>
      <c r="F41" t="s">
        <v>133</v>
      </c>
      <c r="G41" s="21">
        <f>E41*$M$2</f>
        <v>20.164179104477611</v>
      </c>
      <c r="H41" s="12">
        <f>'APUS ARQUITECTURA'!J484</f>
        <v>15.625164000000002</v>
      </c>
      <c r="I41">
        <f>G41*H41</f>
        <v>315.06860543283585</v>
      </c>
      <c r="K41" s="31"/>
      <c r="O41" s="124"/>
      <c r="P41" s="124"/>
      <c r="Q41" s="124"/>
      <c r="R41" s="124"/>
      <c r="S41" s="136"/>
      <c r="T41" s="136"/>
      <c r="U41" s="136"/>
      <c r="V41" s="136"/>
      <c r="W41" s="125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25"/>
      <c r="AM41" s="136"/>
      <c r="AN41" s="136"/>
      <c r="AO41" s="136"/>
      <c r="AP41" s="136"/>
      <c r="AQ41" s="51"/>
      <c r="AR41" s="136"/>
      <c r="AS41" s="136"/>
      <c r="AT41" s="136"/>
      <c r="AU41" s="136"/>
      <c r="AV41" s="136"/>
      <c r="AW41" s="136"/>
      <c r="AX41" s="136"/>
      <c r="AY41" s="13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((((2.8+2.8+(2*6.95/2))*3.3))/60.3)-E35-E36</f>
        <v>0.49610281923714772</v>
      </c>
      <c r="F42" s="105" t="s">
        <v>133</v>
      </c>
      <c r="G42" s="21">
        <f>E42*$M$2</f>
        <v>4.9610281923714776</v>
      </c>
      <c r="H42" s="12">
        <f>'APUS ARQUITECTURA'!J504</f>
        <v>15.956285454545455</v>
      </c>
      <c r="I42">
        <f>G42*H42</f>
        <v>79.159581985526941</v>
      </c>
      <c r="O42" s="124"/>
      <c r="P42" s="124"/>
      <c r="Q42" s="124"/>
      <c r="R42" s="124"/>
      <c r="S42" s="136"/>
      <c r="T42" s="136"/>
      <c r="U42" s="136"/>
      <c r="V42" s="136"/>
      <c r="W42" s="125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25"/>
      <c r="AM42" s="136"/>
      <c r="AN42" s="136"/>
      <c r="AO42" s="136"/>
      <c r="AP42" s="136"/>
      <c r="AQ42" s="51"/>
      <c r="AR42" s="136"/>
      <c r="AS42" s="136"/>
      <c r="AT42" s="136"/>
      <c r="AU42" s="136"/>
      <c r="AV42" s="136"/>
      <c r="AW42" s="136"/>
      <c r="AX42" s="136"/>
      <c r="AY42" s="13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/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24"/>
      <c r="P44" s="124"/>
      <c r="Q44" s="124"/>
      <c r="R44" s="124"/>
      <c r="S44" s="136"/>
      <c r="T44" s="136"/>
      <c r="U44" s="136"/>
      <c r="V44" s="136"/>
      <c r="W44" s="125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25"/>
      <c r="AM44" s="136"/>
      <c r="AN44" s="136"/>
      <c r="AO44" s="136"/>
      <c r="AP44" s="136"/>
      <c r="AQ44" s="51"/>
      <c r="AR44" s="136"/>
      <c r="AS44" s="136"/>
      <c r="AT44" s="136"/>
      <c r="AU44" s="136"/>
      <c r="AV44" s="136"/>
      <c r="AW44" s="136"/>
      <c r="AX44" s="136"/>
      <c r="AY44" s="13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24"/>
      <c r="P45" s="124"/>
      <c r="Q45" s="124"/>
      <c r="R45" s="124"/>
      <c r="S45" s="136"/>
      <c r="T45" s="136"/>
      <c r="U45" s="136"/>
      <c r="V45" s="136"/>
      <c r="W45" s="125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25"/>
      <c r="AM45" s="136"/>
      <c r="AN45" s="136"/>
      <c r="AO45" s="136"/>
      <c r="AP45" s="136"/>
      <c r="AQ45" s="51"/>
      <c r="AR45" s="136"/>
      <c r="AS45" s="136"/>
      <c r="AT45" s="136"/>
      <c r="AU45" s="136"/>
      <c r="AV45" s="136"/>
      <c r="AW45" s="136"/>
      <c r="AX45" s="136"/>
      <c r="AY45" s="13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/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24"/>
      <c r="P46" s="124"/>
      <c r="Q46" s="124"/>
      <c r="R46" s="124"/>
      <c r="S46" s="136"/>
      <c r="T46" s="136"/>
      <c r="U46" s="136"/>
      <c r="V46" s="136"/>
      <c r="W46" s="125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25"/>
      <c r="AM46" s="136"/>
      <c r="AN46" s="136"/>
      <c r="AO46" s="136"/>
      <c r="AP46" s="136"/>
      <c r="AQ46" s="51"/>
      <c r="AR46" s="136"/>
      <c r="AS46" s="136"/>
      <c r="AT46" s="136"/>
      <c r="AU46" s="136"/>
      <c r="AV46" s="136"/>
      <c r="AW46" s="136"/>
      <c r="AX46" s="136"/>
      <c r="AY46" s="13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24"/>
      <c r="P47" s="124"/>
      <c r="Q47" s="124"/>
      <c r="R47" s="124"/>
      <c r="S47" s="136"/>
      <c r="T47" s="136"/>
      <c r="U47" s="136"/>
      <c r="V47" s="136"/>
      <c r="W47" s="125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25"/>
      <c r="AM47" s="136"/>
      <c r="AN47" s="136"/>
      <c r="AO47" s="136"/>
      <c r="AP47" s="136"/>
      <c r="AQ47" s="51"/>
      <c r="AR47" s="136"/>
      <c r="AS47" s="136"/>
      <c r="AT47" s="136"/>
      <c r="AU47" s="136"/>
      <c r="AV47" s="136"/>
      <c r="AW47" s="136"/>
      <c r="AX47" s="136"/>
      <c r="AY47" s="13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24"/>
      <c r="P48" s="124"/>
      <c r="Q48" s="124"/>
      <c r="R48" s="124"/>
      <c r="S48" s="136"/>
      <c r="T48" s="136"/>
      <c r="U48" s="136"/>
      <c r="V48" s="136"/>
      <c r="W48" s="125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25"/>
      <c r="AM48" s="136"/>
      <c r="AN48" s="136"/>
      <c r="AO48" s="136"/>
      <c r="AP48" s="136"/>
      <c r="AQ48" s="51"/>
      <c r="AR48" s="136"/>
      <c r="AS48" s="136"/>
      <c r="AT48" s="136"/>
      <c r="AU48" s="136"/>
      <c r="AV48" s="136"/>
      <c r="AW48" s="136"/>
      <c r="AX48" s="136"/>
      <c r="AY48" s="13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24"/>
      <c r="P49" s="124"/>
      <c r="Q49" s="124"/>
      <c r="R49" s="124"/>
      <c r="S49" s="136"/>
      <c r="T49" s="136"/>
      <c r="U49" s="136"/>
      <c r="V49" s="136"/>
      <c r="W49" s="144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25"/>
      <c r="AM49" s="136"/>
      <c r="AN49" s="136"/>
      <c r="AO49" s="136"/>
      <c r="AP49" s="136"/>
      <c r="AQ49" s="51"/>
      <c r="AR49" s="136"/>
      <c r="AS49" s="136"/>
      <c r="AT49" s="136"/>
      <c r="AU49" s="136"/>
      <c r="AV49" s="136"/>
      <c r="AW49" s="136"/>
      <c r="AX49" s="136"/>
      <c r="AY49" s="13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24"/>
      <c r="P50" s="124"/>
      <c r="Q50" s="124"/>
      <c r="R50" s="124"/>
      <c r="S50" s="136"/>
      <c r="T50" s="136"/>
      <c r="U50" s="136"/>
      <c r="V50" s="136"/>
      <c r="W50" s="144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25"/>
      <c r="AM50" s="136"/>
      <c r="AN50" s="136"/>
      <c r="AO50" s="136"/>
      <c r="AP50" s="136"/>
      <c r="AQ50" s="51"/>
      <c r="AR50" s="136"/>
      <c r="AS50" s="136"/>
      <c r="AT50" s="136"/>
      <c r="AU50" s="136"/>
      <c r="AV50" s="136"/>
      <c r="AW50" s="136"/>
      <c r="AX50" s="136"/>
      <c r="AY50" s="13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24"/>
      <c r="P51" s="124"/>
      <c r="Q51" s="124"/>
      <c r="R51" s="124"/>
      <c r="S51" s="136"/>
      <c r="T51" s="136"/>
      <c r="U51" s="136"/>
      <c r="V51" s="136"/>
      <c r="W51" s="144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25"/>
      <c r="AM51" s="136"/>
      <c r="AN51" s="136"/>
      <c r="AO51" s="136"/>
      <c r="AP51" s="136"/>
      <c r="AQ51" s="51"/>
      <c r="AR51" s="136"/>
      <c r="AS51" s="136"/>
      <c r="AT51" s="136"/>
      <c r="AU51" s="136"/>
      <c r="AV51" s="136"/>
      <c r="AW51" s="136"/>
      <c r="AX51" s="136"/>
      <c r="AY51" s="13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24"/>
      <c r="P52" s="124"/>
      <c r="Q52" s="124"/>
      <c r="R52" s="124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51"/>
      <c r="AR52" s="136"/>
      <c r="AS52" s="136"/>
      <c r="AT52" s="136"/>
      <c r="AU52" s="136"/>
      <c r="AV52" s="136"/>
      <c r="AW52" s="136"/>
      <c r="AX52" s="136"/>
      <c r="AY52" s="13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24"/>
      <c r="P53" s="124"/>
      <c r="Q53" s="124"/>
      <c r="R53" s="124"/>
      <c r="S53" s="136"/>
      <c r="T53" s="136"/>
      <c r="U53" s="136"/>
      <c r="V53" s="136"/>
      <c r="W53" s="125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25"/>
      <c r="AM53" s="136"/>
      <c r="AN53" s="136"/>
      <c r="AO53" s="136"/>
      <c r="AP53" s="136"/>
      <c r="AQ53" s="51"/>
      <c r="AR53" s="136"/>
      <c r="AS53" s="136"/>
      <c r="AT53" s="136"/>
      <c r="AU53" s="136"/>
      <c r="AV53" s="136"/>
      <c r="AW53" s="136"/>
      <c r="AX53" s="136"/>
      <c r="AY53" s="13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24"/>
      <c r="P54" s="124"/>
      <c r="Q54" s="124"/>
      <c r="R54" s="124"/>
      <c r="S54" s="136"/>
      <c r="T54" s="136"/>
      <c r="U54" s="136"/>
      <c r="V54" s="136"/>
      <c r="W54" s="125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25"/>
      <c r="AM54" s="136"/>
      <c r="AN54" s="136"/>
      <c r="AO54" s="136"/>
      <c r="AP54" s="136"/>
      <c r="AQ54" s="51"/>
      <c r="AR54" s="136"/>
      <c r="AS54" s="136"/>
      <c r="AT54" s="136"/>
      <c r="AU54" s="136"/>
      <c r="AV54" s="136"/>
      <c r="AW54" s="136"/>
      <c r="AX54" s="136"/>
      <c r="AY54" s="13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24"/>
      <c r="P55" s="124"/>
      <c r="Q55" s="124"/>
      <c r="R55" s="124"/>
      <c r="S55" s="136"/>
      <c r="T55" s="136"/>
      <c r="U55" s="136"/>
      <c r="V55" s="136"/>
      <c r="W55" s="125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25"/>
      <c r="AM55" s="136"/>
      <c r="AN55" s="136"/>
      <c r="AO55" s="136"/>
      <c r="AP55" s="136"/>
      <c r="AQ55" s="51"/>
      <c r="AR55" s="136"/>
      <c r="AS55" s="136"/>
      <c r="AT55" s="136"/>
      <c r="AU55" s="136"/>
      <c r="AV55" s="136"/>
      <c r="AW55" s="136"/>
      <c r="AX55" s="136"/>
      <c r="AY55" s="13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24"/>
      <c r="P56" s="124"/>
      <c r="Q56" s="124"/>
      <c r="R56" s="124"/>
      <c r="S56" s="136"/>
      <c r="T56" s="136"/>
      <c r="U56" s="136"/>
      <c r="V56" s="136"/>
      <c r="W56" s="125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25"/>
      <c r="AM56" s="136"/>
      <c r="AN56" s="136"/>
      <c r="AO56" s="136"/>
      <c r="AP56" s="136"/>
      <c r="AQ56" s="51"/>
      <c r="AR56" s="136"/>
      <c r="AS56" s="136"/>
      <c r="AT56" s="136"/>
      <c r="AU56" s="136"/>
      <c r="AV56" s="136"/>
      <c r="AW56" s="136"/>
      <c r="AX56" s="136"/>
      <c r="AY56" s="13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24"/>
      <c r="P57" s="124"/>
      <c r="Q57" s="124"/>
      <c r="R57" s="124"/>
      <c r="S57" s="136"/>
      <c r="T57" s="136"/>
      <c r="U57" s="136"/>
      <c r="V57" s="136"/>
      <c r="W57" s="125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25"/>
      <c r="AM57" s="136"/>
      <c r="AN57" s="136"/>
      <c r="AO57" s="136"/>
      <c r="AP57" s="136"/>
      <c r="AQ57" s="51"/>
      <c r="AR57" s="136"/>
      <c r="AS57" s="136"/>
      <c r="AT57" s="136"/>
      <c r="AU57" s="136"/>
      <c r="AV57" s="136"/>
      <c r="AW57" s="136"/>
      <c r="AX57" s="136"/>
      <c r="AY57" s="13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23/60.3</f>
        <v>0.38142620232172475</v>
      </c>
      <c r="F59" t="s">
        <v>214</v>
      </c>
      <c r="G59" s="21">
        <f t="shared" ref="G59:G62" si="3">E59*$M$2</f>
        <v>3.8142620232172475</v>
      </c>
      <c r="H59" s="12">
        <f>'APUS ELECTRICAS'!J5</f>
        <v>121.04310400000001</v>
      </c>
      <c r="I59">
        <f>G59*H59</f>
        <v>461.69011475953573</v>
      </c>
      <c r="O59" s="124"/>
      <c r="P59" s="124"/>
      <c r="Q59" s="124"/>
      <c r="R59" s="124"/>
      <c r="S59" s="136"/>
      <c r="T59" s="136"/>
      <c r="U59" s="136"/>
      <c r="V59" s="136"/>
      <c r="W59" s="125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25"/>
      <c r="AM59" s="136"/>
      <c r="AN59" s="136"/>
      <c r="AO59" s="136"/>
      <c r="AP59" s="136"/>
      <c r="AQ59" s="51"/>
      <c r="AR59" s="136"/>
      <c r="AS59" s="136"/>
      <c r="AT59" s="136"/>
      <c r="AU59" s="136"/>
      <c r="AV59" s="136"/>
      <c r="AW59" s="136"/>
      <c r="AX59" s="136"/>
      <c r="AY59" s="13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23/60.3</f>
        <v>0.38142620232172475</v>
      </c>
      <c r="F60" t="s">
        <v>214</v>
      </c>
      <c r="G60" s="21">
        <f t="shared" si="3"/>
        <v>3.8142620232172475</v>
      </c>
      <c r="H60" s="12">
        <f>'APUS ELECTRICAS'!J26</f>
        <v>163.73838000000001</v>
      </c>
      <c r="I60">
        <f>G60*H60</f>
        <v>624.54108457711447</v>
      </c>
      <c r="O60" s="124"/>
      <c r="P60" s="124"/>
      <c r="Q60" s="124"/>
      <c r="R60" s="124"/>
      <c r="S60" s="136"/>
      <c r="T60" s="136"/>
      <c r="U60" s="136"/>
      <c r="V60" s="136"/>
      <c r="W60" s="125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25"/>
      <c r="AM60" s="136"/>
      <c r="AN60" s="136"/>
      <c r="AO60" s="136"/>
      <c r="AP60" s="136"/>
      <c r="AQ60" s="51"/>
      <c r="AR60" s="136"/>
      <c r="AS60" s="136"/>
      <c r="AT60" s="136"/>
      <c r="AU60" s="136"/>
      <c r="AV60" s="136"/>
      <c r="AW60" s="136"/>
      <c r="AX60" s="136"/>
      <c r="AY60" s="13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23/60.3</f>
        <v>0.38142620232172475</v>
      </c>
      <c r="F61" t="s">
        <v>214</v>
      </c>
      <c r="G61" s="21">
        <f t="shared" si="3"/>
        <v>3.8142620232172475</v>
      </c>
      <c r="H61" s="12">
        <f>'APUS ELECTRICAS'!J48</f>
        <v>118.30689999999998</v>
      </c>
      <c r="I61">
        <f>G61*H61</f>
        <v>451.25351575456051</v>
      </c>
      <c r="O61" s="124"/>
      <c r="P61" s="124"/>
      <c r="Q61" s="124"/>
      <c r="R61" s="124"/>
      <c r="S61" s="136"/>
      <c r="T61" s="136"/>
      <c r="U61" s="136"/>
      <c r="V61" s="136"/>
      <c r="W61" s="125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25"/>
      <c r="AM61" s="136"/>
      <c r="AN61" s="136"/>
      <c r="AO61" s="136"/>
      <c r="AP61" s="136"/>
      <c r="AQ61" s="51"/>
      <c r="AR61" s="136"/>
      <c r="AS61" s="136"/>
      <c r="AT61" s="136"/>
      <c r="AU61" s="136"/>
      <c r="AV61" s="136"/>
      <c r="AW61" s="136"/>
      <c r="AX61" s="136"/>
      <c r="AY61" s="13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4"/>
      <c r="P62" s="124"/>
      <c r="Q62" s="124"/>
      <c r="R62" s="124"/>
      <c r="S62" s="136"/>
      <c r="T62" s="136"/>
      <c r="U62" s="136"/>
      <c r="V62" s="136"/>
      <c r="W62" s="125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25"/>
      <c r="AM62" s="136"/>
      <c r="AN62" s="136"/>
      <c r="AO62" s="136"/>
      <c r="AP62" s="136"/>
      <c r="AQ62" s="51"/>
      <c r="AR62" s="136"/>
      <c r="AS62" s="136"/>
      <c r="AT62" s="136"/>
      <c r="AU62" s="136"/>
      <c r="AV62" s="136"/>
      <c r="AW62" s="136"/>
      <c r="AX62" s="136"/>
      <c r="AY62" s="13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6/62.5</f>
        <v>9.6000000000000002E-2</v>
      </c>
      <c r="F64" t="s">
        <v>149</v>
      </c>
      <c r="G64" s="21">
        <f>E64*$M$2</f>
        <v>0.96</v>
      </c>
      <c r="H64" s="12">
        <f>'APUS ELECTRICAS'!J74</f>
        <v>396.14503200000001</v>
      </c>
      <c r="I64">
        <f>G64*H64</f>
        <v>380.29923072000003</v>
      </c>
      <c r="O64" s="124"/>
      <c r="P64" s="124"/>
      <c r="Q64" s="124"/>
      <c r="R64" s="124"/>
      <c r="S64" s="136"/>
      <c r="T64" s="136"/>
      <c r="U64" s="136"/>
      <c r="V64" s="136"/>
      <c r="W64" s="125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25"/>
      <c r="AM64" s="136"/>
      <c r="AN64" s="136"/>
      <c r="AO64" s="136"/>
      <c r="AP64" s="136"/>
      <c r="AQ64" s="51"/>
      <c r="AR64" s="136"/>
      <c r="AS64" s="136"/>
      <c r="AT64" s="136"/>
      <c r="AU64" s="136"/>
      <c r="AV64" s="136"/>
      <c r="AW64" s="136"/>
      <c r="AX64" s="136"/>
      <c r="AY64" s="13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6/62.5</f>
        <v>9.6000000000000002E-2</v>
      </c>
      <c r="F65" t="s">
        <v>149</v>
      </c>
      <c r="G65" s="21">
        <f>E65*$M$2</f>
        <v>0.96</v>
      </c>
      <c r="H65" s="12">
        <f>'APUS ELECTRICAS'!J88</f>
        <v>105.9636</v>
      </c>
      <c r="I65">
        <f>G65*H65</f>
        <v>101.725056</v>
      </c>
      <c r="O65" s="124"/>
      <c r="P65" s="124"/>
      <c r="Q65" s="124"/>
      <c r="R65" s="124"/>
      <c r="S65" s="136"/>
      <c r="T65" s="136"/>
      <c r="U65" s="136"/>
      <c r="V65" s="136"/>
      <c r="W65" s="125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25"/>
      <c r="AM65" s="136"/>
      <c r="AN65" s="136"/>
      <c r="AO65" s="136"/>
      <c r="AP65" s="136"/>
      <c r="AQ65" s="51"/>
      <c r="AR65" s="136"/>
      <c r="AS65" s="136"/>
      <c r="AT65" s="136"/>
      <c r="AU65" s="136"/>
      <c r="AV65" s="136"/>
      <c r="AW65" s="136"/>
      <c r="AX65" s="136"/>
      <c r="AY65" s="13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4"/>
      <c r="P66" s="124"/>
      <c r="Q66" s="124"/>
      <c r="R66" s="124"/>
      <c r="S66" s="136"/>
      <c r="T66" s="136"/>
      <c r="U66" s="136"/>
      <c r="V66" s="136"/>
      <c r="W66" s="125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25"/>
      <c r="AM66" s="136"/>
      <c r="AN66" s="136"/>
      <c r="AO66" s="136"/>
      <c r="AP66" s="136"/>
      <c r="AQ66" s="51"/>
      <c r="AR66" s="136"/>
      <c r="AS66" s="136"/>
      <c r="AT66" s="136"/>
      <c r="AU66" s="136"/>
      <c r="AV66" s="136"/>
      <c r="AW66" s="136"/>
      <c r="AX66" s="136"/>
      <c r="AY66" s="13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24"/>
      <c r="P67" s="124"/>
      <c r="Q67" s="124"/>
      <c r="R67" s="124"/>
      <c r="S67" s="136"/>
      <c r="T67" s="136"/>
      <c r="U67" s="136"/>
      <c r="V67" s="136"/>
      <c r="W67" s="125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25"/>
      <c r="AM67" s="136"/>
      <c r="AN67" s="136"/>
      <c r="AO67" s="136"/>
      <c r="AP67" s="136"/>
      <c r="AQ67" s="51"/>
      <c r="AR67" s="136"/>
      <c r="AS67" s="136"/>
      <c r="AT67" s="136"/>
      <c r="AU67" s="136"/>
      <c r="AV67" s="136"/>
      <c r="AW67" s="136"/>
      <c r="AX67" s="136"/>
      <c r="AY67" s="13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4"/>
      <c r="P68" s="124"/>
      <c r="Q68" s="124"/>
      <c r="R68" s="124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51"/>
      <c r="AR68" s="136"/>
      <c r="AS68" s="136"/>
      <c r="AT68" s="136"/>
      <c r="AU68" s="136"/>
      <c r="AV68" s="136"/>
      <c r="AW68" s="136"/>
      <c r="AX68" s="136"/>
      <c r="AY68" s="13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4"/>
      <c r="P69" s="124"/>
      <c r="Q69" s="124"/>
      <c r="R69" s="124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51"/>
      <c r="AR69" s="136"/>
      <c r="AS69" s="136"/>
      <c r="AT69" s="136"/>
      <c r="AU69" s="136"/>
      <c r="AV69" s="136"/>
      <c r="AW69" s="136"/>
      <c r="AX69" s="136"/>
      <c r="AY69" s="13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24"/>
      <c r="P70" s="124"/>
      <c r="Q70" s="124"/>
      <c r="R70" s="124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51"/>
      <c r="AR70" s="136"/>
      <c r="AS70" s="136"/>
      <c r="AT70" s="136"/>
      <c r="AU70" s="136"/>
      <c r="AV70" s="136"/>
      <c r="AW70" s="136"/>
      <c r="AX70" s="136"/>
      <c r="AY70" s="13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24"/>
      <c r="P71" s="124"/>
      <c r="Q71" s="124"/>
      <c r="R71" s="124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51"/>
      <c r="AR71" s="136"/>
      <c r="AS71" s="136"/>
      <c r="AT71" s="136"/>
      <c r="AU71" s="136"/>
      <c r="AV71" s="136"/>
      <c r="AW71" s="136"/>
      <c r="AX71" s="136"/>
      <c r="AY71" s="13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 t="shared" ref="I72:I91" si="4">G72*H72</f>
        <v>36.294941296928322</v>
      </c>
      <c r="O72" s="124"/>
      <c r="P72" s="124"/>
      <c r="Q72" s="124"/>
      <c r="R72" s="124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51"/>
      <c r="AG72" s="136"/>
      <c r="AH72" s="136"/>
      <c r="AI72" s="136"/>
      <c r="AJ72" s="136"/>
      <c r="AK72" s="136"/>
      <c r="AL72" s="51"/>
      <c r="AM72" s="136"/>
      <c r="AN72" s="136"/>
      <c r="AO72" s="136"/>
      <c r="AP72" s="136"/>
      <c r="AQ72" s="51"/>
      <c r="AR72" s="136"/>
      <c r="AS72" s="136"/>
      <c r="AT72" s="136"/>
      <c r="AU72" s="136"/>
      <c r="AV72" s="136"/>
      <c r="AW72" s="136"/>
      <c r="AX72" s="136"/>
      <c r="AY72" s="13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5">E73*$M$2</f>
        <v>6.8259385665529013E-2</v>
      </c>
      <c r="H73" s="61">
        <f>'APUS COMUNICACIONES'!J23</f>
        <v>95.843099999999993</v>
      </c>
      <c r="I73">
        <f t="shared" si="4"/>
        <v>6.5421911262798629</v>
      </c>
      <c r="O73" s="124"/>
      <c r="P73" s="124"/>
      <c r="Q73" s="124"/>
      <c r="R73" s="124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51"/>
      <c r="AD73" s="136"/>
      <c r="AE73" s="51"/>
      <c r="AF73" s="51"/>
      <c r="AG73" s="136"/>
      <c r="AH73" s="136"/>
      <c r="AI73" s="136"/>
      <c r="AJ73" s="136"/>
      <c r="AK73" s="136"/>
      <c r="AL73" s="51"/>
      <c r="AM73" s="136"/>
      <c r="AN73" s="51"/>
      <c r="AO73" s="136"/>
      <c r="AP73" s="136"/>
      <c r="AQ73" s="51"/>
      <c r="AR73" s="136"/>
      <c r="AS73" s="136"/>
      <c r="AT73" s="136"/>
      <c r="AU73" s="136"/>
      <c r="AV73" s="51"/>
      <c r="AW73" s="136"/>
      <c r="AX73" s="51"/>
      <c r="AY73" s="13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5"/>
        <v>0.11604095563139932</v>
      </c>
      <c r="H74" s="61">
        <f>'APUS COMUNICACIONES'!J41</f>
        <v>95.843099999999993</v>
      </c>
      <c r="I74">
        <f t="shared" si="4"/>
        <v>11.121724914675768</v>
      </c>
      <c r="S74" s="51"/>
      <c r="T74" s="51"/>
      <c r="U74" s="132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3"/>
      <c r="AS74" s="133"/>
      <c r="AT74" s="51"/>
      <c r="AU74" s="51"/>
      <c r="AV74" s="51"/>
      <c r="AW74" s="51"/>
      <c r="AX74" s="51"/>
      <c r="AY74" s="132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5"/>
        <v>3.2491467576791805E-2</v>
      </c>
      <c r="H75" s="61">
        <f>'APUS COMUNICACIONES'!J59</f>
        <v>26.403334000000001</v>
      </c>
      <c r="I75">
        <f t="shared" si="4"/>
        <v>0.85788307058020474</v>
      </c>
      <c r="S75" s="51"/>
      <c r="T75" s="51"/>
      <c r="U75" s="13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5"/>
      <c r="AT75" s="51"/>
      <c r="AU75" s="51"/>
      <c r="AV75" s="51"/>
      <c r="AW75" s="51"/>
      <c r="AX75" s="51"/>
      <c r="AY75" s="13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5"/>
        <v>0.6778839590443686</v>
      </c>
      <c r="H76" s="61">
        <f>'APUS COMUNICACIONES'!J77</f>
        <v>25.004334</v>
      </c>
      <c r="I76">
        <f t="shared" si="4"/>
        <v>16.950036925187714</v>
      </c>
      <c r="S76" s="51"/>
      <c r="T76" s="51"/>
      <c r="U76" s="13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5"/>
        <v>2.742457337883959</v>
      </c>
      <c r="H77" s="61">
        <f>'APUS COMUNICACIONES'!J95</f>
        <v>19.232787999999999</v>
      </c>
      <c r="I77">
        <f t="shared" si="4"/>
        <v>52.74510057856655</v>
      </c>
      <c r="S77" s="51"/>
      <c r="T77" s="51"/>
      <c r="U77" s="13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5"/>
        <v>1.6109215017064846E-2</v>
      </c>
      <c r="H78" s="61">
        <f>'APUS COMUNICACIONES'!J113</f>
        <v>16.371788000000002</v>
      </c>
      <c r="I78">
        <f t="shared" si="4"/>
        <v>0.26373665310580208</v>
      </c>
      <c r="S78" s="51"/>
      <c r="T78" s="51"/>
      <c r="U78" s="13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5"/>
        <v>6.8259385665529013E-2</v>
      </c>
      <c r="H79" s="61">
        <f>'APUS COMUNICACIONES'!J131</f>
        <v>62.670152000000002</v>
      </c>
      <c r="I79">
        <f t="shared" si="4"/>
        <v>4.2778260750853248</v>
      </c>
      <c r="S79" s="51"/>
      <c r="T79" s="51"/>
      <c r="U79" s="13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5"/>
        <v>0.12969283276450511</v>
      </c>
      <c r="H80" s="61">
        <f>'APUS COMUNICACIONES'!J146</f>
        <v>58.850152000000008</v>
      </c>
      <c r="I80">
        <f t="shared" si="4"/>
        <v>7.6324429215017071</v>
      </c>
      <c r="S80" s="51"/>
      <c r="T80" s="51"/>
      <c r="U80" s="13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5"/>
        <v>2.0477815699658702E-2</v>
      </c>
      <c r="H81" s="61">
        <f>'APUS COMUNICACIONES'!J161</f>
        <v>57.88015200000001</v>
      </c>
      <c r="I81">
        <f t="shared" si="4"/>
        <v>1.1852590853242322</v>
      </c>
      <c r="S81" s="51"/>
      <c r="T81" s="51"/>
      <c r="U81" s="13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5"/>
        <v>0.12627986348122866</v>
      </c>
      <c r="H82" s="61">
        <f>'APUS COMUNICACIONES'!J176</f>
        <v>99.340459999999993</v>
      </c>
      <c r="I82">
        <f t="shared" si="4"/>
        <v>12.544699726962456</v>
      </c>
      <c r="S82" s="51"/>
      <c r="T82" s="51"/>
      <c r="U82" s="13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3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6">E85*$M$2</f>
        <v>2.7303754266211604E-2</v>
      </c>
      <c r="H85" s="12">
        <f>'APUS COMUNICACIONES'!J422</f>
        <v>633.69880000000001</v>
      </c>
      <c r="I85">
        <f t="shared" si="4"/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 t="shared" si="4"/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7">E88*$M$2</f>
        <v>6.8259385665529013E-2</v>
      </c>
      <c r="H88" s="12">
        <f>'APUS COMUNICACIONES'!J469</f>
        <v>367.66879999999998</v>
      </c>
      <c r="I88">
        <f t="shared" si="4"/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8">E90*$M$2</f>
        <v>2.7303754266211604E-2</v>
      </c>
      <c r="H90" s="12">
        <f>'APUS COMUNICACIONES'!J497</f>
        <v>96.144090000000006</v>
      </c>
      <c r="I90">
        <f t="shared" si="4"/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8"/>
        <v>2.7303754266211604E-2</v>
      </c>
      <c r="H91" s="12">
        <f>'APUS COMUNICACIONES'!J513</f>
        <v>64.330690000000004</v>
      </c>
      <c r="I91">
        <f t="shared" si="4"/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B0AB9-E5AB-4A33-A443-1CA83FE24E13}">
  <sheetPr>
    <tabColor rgb="FFFFFF00"/>
  </sheetPr>
  <dimension ref="A2:BP183"/>
  <sheetViews>
    <sheetView workbookViewId="0">
      <selection activeCell="G25" sqref="G25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'!D34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16939.774438105098</v>
      </c>
      <c r="L4" s="25" t="s">
        <v>1368</v>
      </c>
      <c r="M4" s="130">
        <f>J4/M2</f>
        <v>1693.9774438105098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f>((4.4/2+1.05)*3+(2.8*1))/8.8</f>
        <v>1.4261363636363635</v>
      </c>
      <c r="F6" s="63" t="s">
        <v>133</v>
      </c>
      <c r="G6" s="21">
        <f>E6*$M$2</f>
        <v>14.261363636363635</v>
      </c>
      <c r="H6" s="12">
        <f>'APUS ARQUITECTURA'!J5</f>
        <v>135.824337926792</v>
      </c>
      <c r="I6">
        <f>G6*H6</f>
        <v>1937.0402738423174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>
        <f>1.95*3/8.8</f>
        <v>0.66477272727272718</v>
      </c>
      <c r="F7" s="63" t="s">
        <v>133</v>
      </c>
      <c r="G7" s="21">
        <f>E7*$M$2</f>
        <v>6.6477272727272716</v>
      </c>
      <c r="H7" s="12">
        <f>'APUS ARQUITECTURA'!J32</f>
        <v>150.06569999999999</v>
      </c>
      <c r="I7">
        <f>G7*H7</f>
        <v>997.59584659090888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62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62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/>
      <c r="F13" t="s">
        <v>133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f>E7+((1.05*3)/8.8)</f>
        <v>1.0227272727272727</v>
      </c>
      <c r="F14" t="s">
        <v>133</v>
      </c>
      <c r="G14" s="21">
        <f>E14*$M$2</f>
        <v>10.227272727272727</v>
      </c>
      <c r="H14" s="12">
        <f>'APUS ARQUITECTURA'!J148</f>
        <v>35.840962666666663</v>
      </c>
      <c r="I14">
        <f>G14*H14</f>
        <v>366.55529999999993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>
        <f>((1.05+1.8+2.2)*3+(2.8*1))/8.8</f>
        <v>2.0397727272727275</v>
      </c>
      <c r="F16" t="s">
        <v>133</v>
      </c>
      <c r="G16" s="21">
        <f>E16*$M$2</f>
        <v>20.397727272727273</v>
      </c>
      <c r="H16" s="12">
        <f>'APUS ARQUITECTURA'!J168</f>
        <v>90.825879999999998</v>
      </c>
      <c r="I16">
        <f>G16*H16</f>
        <v>1852.6415295454547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63">
        <f>0.9*2.1/8.8</f>
        <v>0.21477272727272728</v>
      </c>
      <c r="F35" t="s">
        <v>133</v>
      </c>
      <c r="G35" s="21">
        <f>E35*$M$2</f>
        <v>2.1477272727272729</v>
      </c>
      <c r="H35" s="12">
        <f>'APUS ARQUITECTURA'!J449</f>
        <v>560.62260000000003</v>
      </c>
      <c r="I35">
        <f>G35*H35</f>
        <v>1204.0644477272729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/>
      <c r="F36" t="s">
        <v>133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64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62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>
        <f>((4+3)*3)/12</f>
        <v>1.75</v>
      </c>
      <c r="F39" t="s">
        <v>133</v>
      </c>
      <c r="G39" s="21">
        <f>E39*$M$2</f>
        <v>17.5</v>
      </c>
      <c r="H39" s="12">
        <f>'APUS ARQUITECTURA'!J477</f>
        <v>54.78</v>
      </c>
      <c r="I39">
        <f>G39*H39</f>
        <v>958.65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v>6.09</v>
      </c>
      <c r="F41" t="s">
        <v>133</v>
      </c>
      <c r="G41" s="21">
        <f>E41*$M$2</f>
        <v>60.9</v>
      </c>
      <c r="H41" s="12">
        <f>'APUS ARQUITECTURA'!J484</f>
        <v>15.625164000000002</v>
      </c>
      <c r="I41">
        <f>G41*H41</f>
        <v>951.57248760000004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f>E14</f>
        <v>1.0227272727272727</v>
      </c>
      <c r="F42" s="105" t="s">
        <v>133</v>
      </c>
      <c r="G42" s="21">
        <f>E42*$M$2</f>
        <v>10.227272727272727</v>
      </c>
      <c r="H42" s="12">
        <f>'APUS ARQUITECTURA'!J504</f>
        <v>15.956285454545455</v>
      </c>
      <c r="I42">
        <f>G42*H42</f>
        <v>163.18928305785124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45">
        <f>1/8.8</f>
        <v>0.11363636363636363</v>
      </c>
      <c r="F44" t="s">
        <v>1388</v>
      </c>
      <c r="G44" s="21">
        <f>E44*$M$2</f>
        <v>1.1363636363636362</v>
      </c>
      <c r="H44" s="12">
        <f>'APUS SANITARIAS'!J5</f>
        <v>193.33333333333331</v>
      </c>
      <c r="I44">
        <f>G44*H44</f>
        <v>219.69696969696966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45">
        <f t="shared" ref="E45:E46" si="0">1/8.8</f>
        <v>0.11363636363636363</v>
      </c>
      <c r="F45" t="s">
        <v>1388</v>
      </c>
      <c r="G45" s="21">
        <f t="shared" ref="G45:G46" si="1">E45*$M$2</f>
        <v>1.1363636363636362</v>
      </c>
      <c r="H45" s="12">
        <f>'APUS SANITARIAS'!J12</f>
        <v>192.42</v>
      </c>
      <c r="I45">
        <f t="shared" ref="I45:I46" si="2">G45*H45</f>
        <v>218.65909090909088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45">
        <f t="shared" si="0"/>
        <v>0.11363636363636363</v>
      </c>
      <c r="F46" t="s">
        <v>1388</v>
      </c>
      <c r="G46" s="21">
        <f t="shared" si="1"/>
        <v>1.1363636363636362</v>
      </c>
      <c r="H46" s="12">
        <f>'APUS SANITARIAS'!J19</f>
        <v>67.521666666666661</v>
      </c>
      <c r="I46">
        <f t="shared" si="2"/>
        <v>76.729166666666657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>
        <f>1/8.8</f>
        <v>0.11363636363636363</v>
      </c>
      <c r="F48" t="s">
        <v>214</v>
      </c>
      <c r="G48" s="21">
        <f>E48*$M$2</f>
        <v>1.1363636363636362</v>
      </c>
      <c r="H48" s="12">
        <f>'APUS SANITARIAS'!J32</f>
        <v>131.73781333333332</v>
      </c>
      <c r="I48">
        <f>G48*H48</f>
        <v>149.70206060606057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>
        <f>1/8.8</f>
        <v>0.11363636363636363</v>
      </c>
      <c r="F53" t="s">
        <v>214</v>
      </c>
      <c r="G53" s="21">
        <f>E53*$M$2</f>
        <v>1.1363636363636362</v>
      </c>
      <c r="H53" s="12">
        <f>'APUS SANITARIAS'!J108</f>
        <v>138.64527999999999</v>
      </c>
      <c r="I53">
        <f>G53*H53</f>
        <v>157.5514545454545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>
        <f>1/8.8</f>
        <v>0.11363636363636363</v>
      </c>
      <c r="F54" t="s">
        <v>214</v>
      </c>
      <c r="G54" s="21">
        <f>E54*$M$2</f>
        <v>1.1363636363636362</v>
      </c>
      <c r="H54" s="12">
        <f>'APUS SANITARIAS'!J127</f>
        <v>145.93577999999999</v>
      </c>
      <c r="I54">
        <f>G54*H54</f>
        <v>165.83611363636362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>
        <f>1/8.8</f>
        <v>0.11363636363636363</v>
      </c>
      <c r="F55" t="s">
        <v>214</v>
      </c>
      <c r="G55" s="21">
        <f>E55*$M$2</f>
        <v>1.1363636363636362</v>
      </c>
      <c r="H55" s="12">
        <f>'APUS SANITARIAS'!J145</f>
        <v>141.07118</v>
      </c>
      <c r="I55">
        <f>G55*H55</f>
        <v>160.30815909090907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f>8/8.8</f>
        <v>0.90909090909090906</v>
      </c>
      <c r="F59" t="s">
        <v>214</v>
      </c>
      <c r="G59" s="21">
        <f>E59*$M$2</f>
        <v>9.0909090909090899</v>
      </c>
      <c r="H59" s="12">
        <f>'APUS ELECTRICAS'!J5</f>
        <v>121.04310400000001</v>
      </c>
      <c r="I59">
        <f>G59*H59</f>
        <v>1100.3918545454546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f>8/8.8</f>
        <v>0.90909090909090906</v>
      </c>
      <c r="F60" t="s">
        <v>214</v>
      </c>
      <c r="G60" s="21">
        <f>E60*$M$2</f>
        <v>9.0909090909090899</v>
      </c>
      <c r="H60" s="12">
        <f>'APUS ELECTRICAS'!J26</f>
        <v>163.73838000000001</v>
      </c>
      <c r="I60">
        <f>G60*H60</f>
        <v>1488.5307272727271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f>8/8.8</f>
        <v>0.90909090909090906</v>
      </c>
      <c r="F61" t="s">
        <v>214</v>
      </c>
      <c r="G61" s="21">
        <f>E61*$M$2</f>
        <v>9.0909090909090899</v>
      </c>
      <c r="H61" s="12">
        <f>'APUS ELECTRICAS'!J48</f>
        <v>118.30689999999998</v>
      </c>
      <c r="I61">
        <f>G61*H61</f>
        <v>1075.5172727272725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5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5">
        <f>1/8.8</f>
        <v>0.11363636363636363</v>
      </c>
      <c r="F64" t="s">
        <v>149</v>
      </c>
      <c r="G64" s="21">
        <f>E64*$M$2</f>
        <v>1.1363636363636362</v>
      </c>
      <c r="H64" s="12">
        <f>'APUS ELECTRICAS'!J74</f>
        <v>396.14503200000001</v>
      </c>
      <c r="I64">
        <f>G64*H64</f>
        <v>450.16480909090905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5">
        <f>1/8.8</f>
        <v>0.11363636363636363</v>
      </c>
      <c r="F65" t="s">
        <v>149</v>
      </c>
      <c r="G65" s="21">
        <f>E65*$M$2</f>
        <v>1.1363636363636362</v>
      </c>
      <c r="H65" s="12">
        <f>'APUS ELECTRICAS'!J88</f>
        <v>105.9636</v>
      </c>
      <c r="I65">
        <f>G65*H65</f>
        <v>120.41318181818181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5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5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1F0AF-DB8D-4236-B8F6-0F555FF1BBB2}">
  <sheetPr>
    <tabColor rgb="FFFFFF00"/>
  </sheetPr>
  <dimension ref="A2:BP183"/>
  <sheetViews>
    <sheetView topLeftCell="A61" workbookViewId="0">
      <selection activeCell="H6" sqref="H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'!D35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5978.3579180587467</v>
      </c>
      <c r="L4" s="25" t="s">
        <v>1368</v>
      </c>
      <c r="M4" s="130">
        <f>J4/M2</f>
        <v>597.83579180587469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f>((((6.95/2)+2.8+2.8+1.4+4.4)+3)-(0.75*2.1))/45</f>
        <v>0.36222222222222222</v>
      </c>
      <c r="F6" s="63" t="s">
        <v>133</v>
      </c>
      <c r="G6" s="21">
        <f>E6*$M$2</f>
        <v>3.6222222222222222</v>
      </c>
      <c r="H6" s="12">
        <f>'APUS ARQUITECTURA'!J5</f>
        <v>135.824337926792</v>
      </c>
      <c r="I6">
        <f>G6*H6</f>
        <v>491.98593515704658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>
        <f>((6.95/2)*3)/45</f>
        <v>0.23166666666666669</v>
      </c>
      <c r="F7" s="63" t="s">
        <v>133</v>
      </c>
      <c r="G7" s="21">
        <f>E7*$M$2</f>
        <v>2.3166666666666669</v>
      </c>
      <c r="H7" s="12">
        <f>'APUS ARQUITECTURA'!J32</f>
        <v>150.06569999999999</v>
      </c>
      <c r="I7">
        <f>G7*H7</f>
        <v>347.65220500000004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62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62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>
        <f>((2*6.95*3)+(2*(2.8)*3))/45</f>
        <v>1.3</v>
      </c>
      <c r="F13" t="s">
        <v>133</v>
      </c>
      <c r="G13" s="21">
        <f>E13*$M$2</f>
        <v>13</v>
      </c>
      <c r="H13" s="12">
        <f>'APUS ARQUITECTURA'!J127</f>
        <v>27.122965133333338</v>
      </c>
      <c r="I13">
        <f>G13*H13</f>
        <v>352.59854673333336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f>((((2.8*2)+6.95)*3.3)-(0.75*2.1))/45</f>
        <v>0.88533333333333331</v>
      </c>
      <c r="F14" t="s">
        <v>133</v>
      </c>
      <c r="G14" s="21">
        <f>E14*$M$2</f>
        <v>8.8533333333333335</v>
      </c>
      <c r="H14" s="12">
        <f>'APUS ARQUITECTURA'!J148</f>
        <v>35.840962666666663</v>
      </c>
      <c r="I14">
        <f>G14*H14</f>
        <v>317.31198947555555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>
        <v>1</v>
      </c>
      <c r="F24" t="s">
        <v>133</v>
      </c>
      <c r="G24" s="21">
        <f>E24*$M$2</f>
        <v>10</v>
      </c>
      <c r="H24" s="12">
        <f>'APUS ARQUITECTURA'!J292</f>
        <v>47.432200000000002</v>
      </c>
      <c r="I24">
        <f>G24*H24</f>
        <v>474.322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63">
        <f>2*2.1/45</f>
        <v>9.3333333333333338E-2</v>
      </c>
      <c r="F35" t="s">
        <v>133</v>
      </c>
      <c r="G35" s="21">
        <f>E35*$M$2</f>
        <v>0.93333333333333335</v>
      </c>
      <c r="H35" s="12">
        <f>'APUS ARQUITECTURA'!J449</f>
        <v>560.62260000000003</v>
      </c>
      <c r="I35">
        <f>G35*H35</f>
        <v>523.24776000000008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/>
      <c r="F36" t="s">
        <v>133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64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62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f>E19+E13</f>
        <v>2.2999999999999998</v>
      </c>
      <c r="F41" t="s">
        <v>133</v>
      </c>
      <c r="G41" s="21">
        <f>E41*$M$2</f>
        <v>23</v>
      </c>
      <c r="H41" s="12">
        <f>'APUS ARQUITECTURA'!J484</f>
        <v>15.625164000000002</v>
      </c>
      <c r="I41">
        <f>G41*H41</f>
        <v>359.37877200000003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f>E14</f>
        <v>0.88533333333333331</v>
      </c>
      <c r="F42" s="105" t="s">
        <v>133</v>
      </c>
      <c r="G42" s="21">
        <f>E42*$M$2</f>
        <v>8.8533333333333335</v>
      </c>
      <c r="H42" s="12">
        <f>'APUS ARQUITECTURA'!J504</f>
        <v>15.956285454545455</v>
      </c>
      <c r="I42">
        <f>G42*H42</f>
        <v>141.26631389090909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45"/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45"/>
      <c r="F45" t="s">
        <v>1388</v>
      </c>
      <c r="G45" s="21">
        <f t="shared" ref="G45:G46" si="0">E45*$M$2</f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45"/>
      <c r="F46" t="s">
        <v>1388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f>6/45</f>
        <v>0.13333333333333333</v>
      </c>
      <c r="F59" t="s">
        <v>214</v>
      </c>
      <c r="G59" s="21">
        <f>E59*$M$2</f>
        <v>1.3333333333333333</v>
      </c>
      <c r="H59" s="12">
        <f>'APUS ELECTRICAS'!J5</f>
        <v>121.04310400000001</v>
      </c>
      <c r="I59">
        <f>G59*H59</f>
        <v>161.39080533333333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f>6/45</f>
        <v>0.13333333333333333</v>
      </c>
      <c r="F60" t="s">
        <v>214</v>
      </c>
      <c r="G60" s="21">
        <f>E60*$M$2</f>
        <v>1.3333333333333333</v>
      </c>
      <c r="H60" s="12">
        <f>'APUS ELECTRICAS'!J26</f>
        <v>163.73838000000001</v>
      </c>
      <c r="I60">
        <f>G60*H60</f>
        <v>218.31783999999999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f>6/45</f>
        <v>0.13333333333333333</v>
      </c>
      <c r="F61" t="s">
        <v>214</v>
      </c>
      <c r="G61" s="21">
        <f>E61*$M$2</f>
        <v>1.3333333333333333</v>
      </c>
      <c r="H61" s="12">
        <f>'APUS ELECTRICAS'!J48</f>
        <v>118.30689999999998</v>
      </c>
      <c r="I61">
        <f>G61*H61</f>
        <v>157.74253333333331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5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5">
        <f>(30/10)/45</f>
        <v>6.6666666666666666E-2</v>
      </c>
      <c r="F64" t="s">
        <v>149</v>
      </c>
      <c r="G64" s="21">
        <f>E64*$M$2</f>
        <v>0.66666666666666663</v>
      </c>
      <c r="H64" s="12">
        <f>'APUS ELECTRICAS'!J74</f>
        <v>396.14503200000001</v>
      </c>
      <c r="I64">
        <f>G64*H64</f>
        <v>264.09668799999997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5">
        <f>(30/10)/45</f>
        <v>6.6666666666666666E-2</v>
      </c>
      <c r="F65" t="s">
        <v>149</v>
      </c>
      <c r="G65" s="21">
        <f>E65*$M$2</f>
        <v>0.66666666666666663</v>
      </c>
      <c r="H65" s="12">
        <f>'APUS ELECTRICAS'!J88</f>
        <v>105.9636</v>
      </c>
      <c r="I65">
        <f>G65*H65</f>
        <v>70.642399999999995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5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5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AA384-0D24-428C-A2B4-8EF591624C95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'!D36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29569.940232621379</v>
      </c>
      <c r="L4" s="25" t="s">
        <v>1368</v>
      </c>
      <c r="M4" s="130">
        <f>J4/M2</f>
        <v>2956.9940232621379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f>(((4.8+2.05+2.8)*3)-2.8)/20.7</f>
        <v>1.2632850241545892</v>
      </c>
      <c r="F6" s="63" t="s">
        <v>133</v>
      </c>
      <c r="G6" s="21">
        <f>E6*$M$2</f>
        <v>12.632850241545892</v>
      </c>
      <c r="H6" s="12">
        <f>'APUS ARQUITECTURA'!J5</f>
        <v>135.824337926792</v>
      </c>
      <c r="I6">
        <f>G6*H6</f>
        <v>1715.8485201862852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>
        <f>((6.95+2.4)*3)/20.7</f>
        <v>1.3550724637681157</v>
      </c>
      <c r="F7" s="63" t="s">
        <v>133</v>
      </c>
      <c r="G7" s="21">
        <f>E7*$M$2</f>
        <v>13.550724637681157</v>
      </c>
      <c r="H7" s="12">
        <f>'APUS ARQUITECTURA'!J32</f>
        <v>150.06569999999999</v>
      </c>
      <c r="I7">
        <f>G7*H7</f>
        <v>2033.4989782608691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65">
        <f>((2.14+0.25+0.6)*1.9)/20.7</f>
        <v>0.27444444444444444</v>
      </c>
      <c r="F9" s="63" t="s">
        <v>133</v>
      </c>
      <c r="G9" s="21">
        <f>E9*$M$2</f>
        <v>2.7444444444444445</v>
      </c>
      <c r="H9" s="12">
        <f>'APUS ARQUITECTURA'!J74</f>
        <v>200.94213799999997</v>
      </c>
      <c r="I9">
        <f>G9*H9</f>
        <v>551.47453428888878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65">
        <f>(2*1.5*0.6)/20.7</f>
        <v>8.6956521739130432E-2</v>
      </c>
      <c r="F10" s="63" t="s">
        <v>133</v>
      </c>
      <c r="G10" s="21">
        <f>E10*$M$2</f>
        <v>0.86956521739130432</v>
      </c>
      <c r="H10" s="12">
        <f>'APUS ARQUITECTURA'!J92</f>
        <v>300.22795400000001</v>
      </c>
      <c r="I10">
        <f>G10*H10</f>
        <v>261.06778608695652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/>
      <c r="F13" t="s">
        <v>133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f>((2.8*3.3)-2.8)/20.7</f>
        <v>0.31111111111111106</v>
      </c>
      <c r="F14" t="s">
        <v>133</v>
      </c>
      <c r="G14" s="21">
        <f>E14*$M$2</f>
        <v>3.1111111111111107</v>
      </c>
      <c r="H14" s="12">
        <f>'APUS ARQUITECTURA'!J148</f>
        <v>35.840962666666663</v>
      </c>
      <c r="I14">
        <f>G14*H14</f>
        <v>111.50521718518516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>
        <f>E7+E6</f>
        <v>2.618357487922705</v>
      </c>
      <c r="F16" t="s">
        <v>133</v>
      </c>
      <c r="G16" s="21">
        <f>E16*$M$2</f>
        <v>26.183574879227049</v>
      </c>
      <c r="H16" s="12">
        <f>'APUS ARQUITECTURA'!J168</f>
        <v>90.825879999999998</v>
      </c>
      <c r="I16">
        <f>G16*H16</f>
        <v>2378.1462299516902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>
        <f>(((17.65*2)+6.95*2-(2*0.9))/(120))</f>
        <v>0.39499999999999996</v>
      </c>
      <c r="F33" t="s">
        <v>144</v>
      </c>
      <c r="G33" s="21">
        <f>E33*$M$2</f>
        <v>3.9499999999999997</v>
      </c>
      <c r="H33" s="12">
        <f>'APUS ARQUITECTURA'!J430</f>
        <v>84.438490000000002</v>
      </c>
      <c r="I33">
        <f>G33*H33</f>
        <v>333.53203550000001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66">
        <f>((0.9+0.6)*1.9+(1*2.1))/20.7</f>
        <v>0.23913043478260868</v>
      </c>
      <c r="F35" t="s">
        <v>133</v>
      </c>
      <c r="G35" s="21">
        <f>E35*$M$2</f>
        <v>2.3913043478260869</v>
      </c>
      <c r="H35" s="12">
        <f>'APUS ARQUITECTURA'!J449</f>
        <v>560.62260000000003</v>
      </c>
      <c r="I35">
        <f>G35*H35</f>
        <v>1340.6192608695653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>
        <f>(2.8*1)/12.5</f>
        <v>0.22399999999999998</v>
      </c>
      <c r="F36" t="s">
        <v>133</v>
      </c>
      <c r="G36" s="21">
        <f>E36*$M$2</f>
        <v>2.2399999999999998</v>
      </c>
      <c r="H36" s="12">
        <f>'APUS ARQUITECTURA'!J456</f>
        <v>367.87083424090611</v>
      </c>
      <c r="I36">
        <f>G36*H36</f>
        <v>824.03066869962959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67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65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f>E19+E13</f>
        <v>1</v>
      </c>
      <c r="F41" t="s">
        <v>133</v>
      </c>
      <c r="G41" s="21">
        <f>E41*$M$2</f>
        <v>10</v>
      </c>
      <c r="H41" s="12">
        <f>'APUS ARQUITECTURA'!J484</f>
        <v>15.625164000000002</v>
      </c>
      <c r="I41">
        <f>G41*H41</f>
        <v>156.25164000000001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f>E14</f>
        <v>0.31111111111111106</v>
      </c>
      <c r="F42" s="105" t="s">
        <v>133</v>
      </c>
      <c r="G42" s="21">
        <f>E42*$M$2</f>
        <v>3.1111111111111107</v>
      </c>
      <c r="H42" s="12">
        <f>'APUS ARQUITECTURA'!J504</f>
        <v>15.956285454545455</v>
      </c>
      <c r="I42">
        <f>G42*H42</f>
        <v>49.641776969696963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45">
        <f>30/42.5</f>
        <v>0.70588235294117652</v>
      </c>
      <c r="F44" t="s">
        <v>1388</v>
      </c>
      <c r="G44" s="21">
        <f>E44*$M$2</f>
        <v>7.0588235294117654</v>
      </c>
      <c r="H44" s="12">
        <f>'APUS SANITARIAS'!J5</f>
        <v>193.33333333333331</v>
      </c>
      <c r="I44">
        <f>G44*H44</f>
        <v>1364.7058823529412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45">
        <f t="shared" ref="E45:E46" si="0">30/42.5</f>
        <v>0.70588235294117652</v>
      </c>
      <c r="F45" t="s">
        <v>1388</v>
      </c>
      <c r="G45" s="21">
        <f t="shared" ref="G45:G46" si="1">E45*$M$2</f>
        <v>7.0588235294117654</v>
      </c>
      <c r="H45" s="12">
        <f>'APUS SANITARIAS'!J12</f>
        <v>192.42</v>
      </c>
      <c r="I45">
        <f t="shared" ref="I45:I46" si="2">G45*H45</f>
        <v>1358.2588235294118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45">
        <f t="shared" si="0"/>
        <v>0.70588235294117652</v>
      </c>
      <c r="F46" t="s">
        <v>1388</v>
      </c>
      <c r="G46" s="21">
        <f t="shared" si="1"/>
        <v>7.0588235294117654</v>
      </c>
      <c r="H46" s="12">
        <f>'APUS SANITARIAS'!J19</f>
        <v>67.521666666666661</v>
      </c>
      <c r="I46">
        <f t="shared" si="2"/>
        <v>476.62352941176471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>
        <v>0.15</v>
      </c>
      <c r="F47" t="s">
        <v>154</v>
      </c>
      <c r="G47" s="21">
        <f>E47*$M$2</f>
        <v>1.5</v>
      </c>
      <c r="H47" s="12">
        <f>'APUS SANITARIAS'!J26</f>
        <v>750</v>
      </c>
      <c r="I47">
        <f>G47*H47</f>
        <v>1125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>
        <f>35/42.5</f>
        <v>0.82352941176470584</v>
      </c>
      <c r="F48" t="s">
        <v>214</v>
      </c>
      <c r="G48" s="21">
        <f>E48*$M$2</f>
        <v>8.235294117647058</v>
      </c>
      <c r="H48" s="12">
        <f>'APUS SANITARIAS'!J32</f>
        <v>131.73781333333332</v>
      </c>
      <c r="I48">
        <f>G48*H48</f>
        <v>1084.899639215686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>
        <f>8/42.5</f>
        <v>0.18823529411764706</v>
      </c>
      <c r="F49" t="s">
        <v>214</v>
      </c>
      <c r="G49" s="21">
        <f>E49*$M$2</f>
        <v>1.8823529411764706</v>
      </c>
      <c r="H49" s="12">
        <f>'APUS SANITARIAS'!J50</f>
        <v>210.60376000000002</v>
      </c>
      <c r="I49">
        <f>G49*H49</f>
        <v>396.43060705882357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>
        <v>1.2</v>
      </c>
      <c r="F50" t="s">
        <v>154</v>
      </c>
      <c r="G50" s="21">
        <f>E50*$M$2</f>
        <v>12</v>
      </c>
      <c r="H50" s="12">
        <f>'APUS SANITARIAS'!J69</f>
        <v>200</v>
      </c>
      <c r="I50">
        <f>G50*H50</f>
        <v>2400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>
        <v>0.08</v>
      </c>
      <c r="F51" t="s">
        <v>154</v>
      </c>
      <c r="G51" s="21">
        <f>E51*$M$2</f>
        <v>0.8</v>
      </c>
      <c r="H51" s="12">
        <f>'APUS SANITARIAS'!J76</f>
        <v>537.21710399999995</v>
      </c>
      <c r="I51">
        <f>G51*H51</f>
        <v>429.77368319999999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>
        <f>35/42.5</f>
        <v>0.82352941176470584</v>
      </c>
      <c r="F53" t="s">
        <v>214</v>
      </c>
      <c r="G53" s="21">
        <f>E53*$M$2</f>
        <v>8.235294117647058</v>
      </c>
      <c r="H53" s="12">
        <f>'APUS SANITARIAS'!J108</f>
        <v>138.64527999999999</v>
      </c>
      <c r="I53">
        <f>G53*H53</f>
        <v>1141.7846588235291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>
        <f>35/42.5</f>
        <v>0.82352941176470584</v>
      </c>
      <c r="F54" t="s">
        <v>214</v>
      </c>
      <c r="G54" s="21">
        <f>E54*$M$2</f>
        <v>8.235294117647058</v>
      </c>
      <c r="H54" s="12">
        <f>'APUS SANITARIAS'!J127</f>
        <v>145.93577999999999</v>
      </c>
      <c r="I54">
        <f>G54*H54</f>
        <v>1201.8240705882351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>
        <f>35/42.5</f>
        <v>0.82352941176470584</v>
      </c>
      <c r="F55" t="s">
        <v>214</v>
      </c>
      <c r="G55" s="21">
        <f>E55*$M$2</f>
        <v>8.235294117647058</v>
      </c>
      <c r="H55" s="12">
        <f>'APUS SANITARIAS'!J145</f>
        <v>141.07118</v>
      </c>
      <c r="I55">
        <f>G55*H55</f>
        <v>1161.7626588235294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>
        <f>7/42.5</f>
        <v>0.16470588235294117</v>
      </c>
      <c r="F56" t="s">
        <v>149</v>
      </c>
      <c r="G56" s="21">
        <f>E56*$M$2</f>
        <v>1.6470588235294117</v>
      </c>
      <c r="H56" s="12">
        <f>'APUS SANITARIAS'!J163</f>
        <v>214.33091999999999</v>
      </c>
      <c r="I56">
        <f>G56*H56</f>
        <v>353.01563294117642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>
        <f>7/42.5</f>
        <v>0.16470588235294117</v>
      </c>
      <c r="F57" t="s">
        <v>149</v>
      </c>
      <c r="G57" s="21">
        <f>E57*$M$2</f>
        <v>1.6470588235294117</v>
      </c>
      <c r="H57" s="12">
        <f>'APUS SANITARIAS'!J178</f>
        <v>101.51374313638702</v>
      </c>
      <c r="I57">
        <f>G57*H57</f>
        <v>167.19910634228449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f>10/12.5</f>
        <v>0.8</v>
      </c>
      <c r="F59" t="s">
        <v>214</v>
      </c>
      <c r="G59" s="21">
        <f>E59*$M$2</f>
        <v>8</v>
      </c>
      <c r="H59" s="12">
        <f>'APUS ELECTRICAS'!J5</f>
        <v>121.04310400000001</v>
      </c>
      <c r="I59">
        <f>G59*H59</f>
        <v>968.34483200000011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f>10/12.5</f>
        <v>0.8</v>
      </c>
      <c r="F60" t="s">
        <v>214</v>
      </c>
      <c r="G60" s="21">
        <f>E60*$M$2</f>
        <v>8</v>
      </c>
      <c r="H60" s="12">
        <f>'APUS ELECTRICAS'!J26</f>
        <v>163.73838000000001</v>
      </c>
      <c r="I60">
        <f>G60*H60</f>
        <v>1309.9070400000001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f>10/12.5</f>
        <v>0.8</v>
      </c>
      <c r="F61" t="s">
        <v>214</v>
      </c>
      <c r="G61" s="21">
        <f>E61*$M$2</f>
        <v>8</v>
      </c>
      <c r="H61" s="12">
        <f>'APUS ELECTRICAS'!J48</f>
        <v>118.30689999999998</v>
      </c>
      <c r="I61">
        <f>G61*H61</f>
        <v>946.45519999999988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5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5">
        <f>2/12.5</f>
        <v>0.16</v>
      </c>
      <c r="F64" t="s">
        <v>149</v>
      </c>
      <c r="G64" s="21">
        <f>E64*$M$2</f>
        <v>1.6</v>
      </c>
      <c r="H64" s="12">
        <f>'APUS ELECTRICAS'!J74</f>
        <v>396.14503200000001</v>
      </c>
      <c r="I64">
        <f>G64*H64</f>
        <v>633.83205120000002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5">
        <f>2/12.5</f>
        <v>0.16</v>
      </c>
      <c r="F65" t="s">
        <v>149</v>
      </c>
      <c r="G65" s="21">
        <f>E65*$M$2</f>
        <v>1.6</v>
      </c>
      <c r="H65" s="12">
        <f>'APUS ELECTRICAS'!J88</f>
        <v>105.9636</v>
      </c>
      <c r="I65">
        <f>G65*H65</f>
        <v>169.54176000000001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5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5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42E75-6CB5-4882-B320-9C6F61794BD9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'!D37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28211.681409091969</v>
      </c>
      <c r="L4" s="25" t="s">
        <v>1368</v>
      </c>
      <c r="M4" s="130">
        <f>J4/M2</f>
        <v>2821.1681409091971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f>(((4.8+2.05+2.8)*3)-2.8)/20.7</f>
        <v>1.2632850241545892</v>
      </c>
      <c r="F6" s="63" t="s">
        <v>133</v>
      </c>
      <c r="G6" s="21">
        <f>E6*$M$2</f>
        <v>12.632850241545892</v>
      </c>
      <c r="H6" s="12">
        <f>'APUS ARQUITECTURA'!J5</f>
        <v>135.824337926792</v>
      </c>
      <c r="I6">
        <f>G6*H6</f>
        <v>1715.8485201862852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>
        <f>((6.95+2.4)*3)/20.7</f>
        <v>1.3550724637681157</v>
      </c>
      <c r="F7" s="63" t="s">
        <v>133</v>
      </c>
      <c r="G7" s="21">
        <f>E7*$M$2</f>
        <v>13.550724637681157</v>
      </c>
      <c r="H7" s="12">
        <f>'APUS ARQUITECTURA'!J32</f>
        <v>150.06569999999999</v>
      </c>
      <c r="I7">
        <f>G7*H7</f>
        <v>2033.4989782608691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65">
        <f>((2.14+0.25+0.6)*1.9)/20.7</f>
        <v>0.27444444444444444</v>
      </c>
      <c r="F9" s="63" t="s">
        <v>133</v>
      </c>
      <c r="G9" s="21">
        <f>E9*$M$2</f>
        <v>2.7444444444444445</v>
      </c>
      <c r="H9" s="12">
        <f>'APUS ARQUITECTURA'!J74</f>
        <v>200.94213799999997</v>
      </c>
      <c r="I9">
        <f>G9*H9</f>
        <v>551.47453428888878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65">
        <f>(2*1.5*0.6)/20.7</f>
        <v>8.6956521739130432E-2</v>
      </c>
      <c r="F10" s="63" t="s">
        <v>133</v>
      </c>
      <c r="G10" s="21">
        <f>E10*$M$2</f>
        <v>0.86956521739130432</v>
      </c>
      <c r="H10" s="12">
        <f>'APUS ARQUITECTURA'!J92</f>
        <v>300.22795400000001</v>
      </c>
      <c r="I10">
        <f>G10*H10</f>
        <v>261.06778608695652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/>
      <c r="F13" t="s">
        <v>133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f>((2.8*3.3)-2.8)/20.7</f>
        <v>0.31111111111111106</v>
      </c>
      <c r="F14" t="s">
        <v>133</v>
      </c>
      <c r="G14" s="21">
        <f>E14*$M$2</f>
        <v>3.1111111111111107</v>
      </c>
      <c r="H14" s="12">
        <f>'APUS ARQUITECTURA'!J148</f>
        <v>35.840962666666663</v>
      </c>
      <c r="I14">
        <f>G14*H14</f>
        <v>111.50521718518516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>
        <f>E7+E6</f>
        <v>2.618357487922705</v>
      </c>
      <c r="F16" t="s">
        <v>133</v>
      </c>
      <c r="G16" s="21">
        <f>E16*$M$2</f>
        <v>26.183574879227049</v>
      </c>
      <c r="H16" s="12">
        <f>'APUS ARQUITECTURA'!J168</f>
        <v>90.825879999999998</v>
      </c>
      <c r="I16">
        <f>G16*H16</f>
        <v>2378.1462299516902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>
        <f>(((17.65*2)+6.95*2-(2*0.9))/(120))</f>
        <v>0.39499999999999996</v>
      </c>
      <c r="F33" t="s">
        <v>144</v>
      </c>
      <c r="G33" s="21">
        <f>E33*$M$2</f>
        <v>3.9499999999999997</v>
      </c>
      <c r="H33" s="12">
        <f>'APUS ARQUITECTURA'!J430</f>
        <v>84.438490000000002</v>
      </c>
      <c r="I33">
        <f>G33*H33</f>
        <v>333.53203550000001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66">
        <f>((0.9+0.6)*1.9+(1*2.1))/20.7</f>
        <v>0.23913043478260868</v>
      </c>
      <c r="F35" t="s">
        <v>133</v>
      </c>
      <c r="G35" s="21">
        <f>E35*$M$2</f>
        <v>2.3913043478260869</v>
      </c>
      <c r="H35" s="12">
        <f>'APUS ARQUITECTURA'!J449</f>
        <v>560.62260000000003</v>
      </c>
      <c r="I35">
        <f>G35*H35</f>
        <v>1340.6192608695653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>
        <f>(2.8*1)/12.5</f>
        <v>0.22399999999999998</v>
      </c>
      <c r="F36" t="s">
        <v>133</v>
      </c>
      <c r="G36" s="21">
        <f>E36*$M$2</f>
        <v>2.2399999999999998</v>
      </c>
      <c r="H36" s="12">
        <f>'APUS ARQUITECTURA'!J456</f>
        <v>367.87083424090611</v>
      </c>
      <c r="I36">
        <f>G36*H36</f>
        <v>824.03066869962959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67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65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f>E19+E13</f>
        <v>1</v>
      </c>
      <c r="F41" t="s">
        <v>133</v>
      </c>
      <c r="G41" s="21">
        <f>E41*$M$2</f>
        <v>10</v>
      </c>
      <c r="H41" s="12">
        <f>'APUS ARQUITECTURA'!J484</f>
        <v>15.625164000000002</v>
      </c>
      <c r="I41">
        <f>G41*H41</f>
        <v>156.25164000000001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f>E14</f>
        <v>0.31111111111111106</v>
      </c>
      <c r="F42" s="105" t="s">
        <v>133</v>
      </c>
      <c r="G42" s="21">
        <f>E42*$M$2</f>
        <v>3.1111111111111107</v>
      </c>
      <c r="H42" s="12">
        <f>'APUS ARQUITECTURA'!J504</f>
        <v>15.956285454545455</v>
      </c>
      <c r="I42">
        <f>G42*H42</f>
        <v>49.641776969696963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45">
        <f>30/42.5</f>
        <v>0.70588235294117652</v>
      </c>
      <c r="F44" t="s">
        <v>1388</v>
      </c>
      <c r="G44" s="21">
        <f>E44*$M$2</f>
        <v>7.0588235294117654</v>
      </c>
      <c r="H44" s="12">
        <f>'APUS SANITARIAS'!J5</f>
        <v>193.33333333333331</v>
      </c>
      <c r="I44">
        <f>G44*H44</f>
        <v>1364.7058823529412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1021</v>
      </c>
      <c r="E45" s="145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45">
        <f>30/42.5</f>
        <v>0.70588235294117652</v>
      </c>
      <c r="F46" t="s">
        <v>1388</v>
      </c>
      <c r="G46" s="21">
        <f>E46*$M$2</f>
        <v>7.0588235294117654</v>
      </c>
      <c r="H46" s="12">
        <f>'APUS SANITARIAS'!J19</f>
        <v>67.521666666666661</v>
      </c>
      <c r="I46">
        <f>G46*H46</f>
        <v>476.62352941176471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>
        <v>0.15</v>
      </c>
      <c r="F47" t="s">
        <v>154</v>
      </c>
      <c r="G47" s="21">
        <f>E47*$M$2</f>
        <v>1.5</v>
      </c>
      <c r="H47" s="12">
        <f>'APUS SANITARIAS'!J26</f>
        <v>750</v>
      </c>
      <c r="I47">
        <f>G47*H47</f>
        <v>1125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>
        <f>35/42.5</f>
        <v>0.82352941176470584</v>
      </c>
      <c r="F48" t="s">
        <v>214</v>
      </c>
      <c r="G48" s="21">
        <f>E48*$M$2</f>
        <v>8.235294117647058</v>
      </c>
      <c r="H48" s="12">
        <f>'APUS SANITARIAS'!J32</f>
        <v>131.73781333333332</v>
      </c>
      <c r="I48">
        <f>G48*H48</f>
        <v>1084.899639215686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>
        <f>8/42.5</f>
        <v>0.18823529411764706</v>
      </c>
      <c r="F49" t="s">
        <v>214</v>
      </c>
      <c r="G49" s="21">
        <f>E49*$M$2</f>
        <v>1.8823529411764706</v>
      </c>
      <c r="H49" s="12">
        <f>'APUS SANITARIAS'!J50</f>
        <v>210.60376000000002</v>
      </c>
      <c r="I49">
        <f>G49*H49</f>
        <v>396.43060705882357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>
        <v>1.2</v>
      </c>
      <c r="F50" t="s">
        <v>154</v>
      </c>
      <c r="G50" s="21">
        <f>E50*$M$2</f>
        <v>12</v>
      </c>
      <c r="H50" s="12">
        <f>'APUS SANITARIAS'!J69</f>
        <v>200</v>
      </c>
      <c r="I50">
        <f>G50*H50</f>
        <v>2400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>
        <v>0.08</v>
      </c>
      <c r="F51" t="s">
        <v>154</v>
      </c>
      <c r="G51" s="21">
        <f>E51*$M$2</f>
        <v>0.8</v>
      </c>
      <c r="H51" s="12">
        <f>'APUS SANITARIAS'!J76</f>
        <v>537.21710399999995</v>
      </c>
      <c r="I51">
        <f>G51*H51</f>
        <v>429.77368319999999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>
        <f>35/42.5</f>
        <v>0.82352941176470584</v>
      </c>
      <c r="F53" t="s">
        <v>214</v>
      </c>
      <c r="G53" s="21">
        <f>E53*$M$2</f>
        <v>8.235294117647058</v>
      </c>
      <c r="H53" s="12">
        <f>'APUS SANITARIAS'!J108</f>
        <v>138.64527999999999</v>
      </c>
      <c r="I53">
        <f>G53*H53</f>
        <v>1141.7846588235291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>
        <f>35/42.5</f>
        <v>0.82352941176470584</v>
      </c>
      <c r="F54" t="s">
        <v>214</v>
      </c>
      <c r="G54" s="21">
        <f>E54*$M$2</f>
        <v>8.235294117647058</v>
      </c>
      <c r="H54" s="12">
        <f>'APUS SANITARIAS'!J127</f>
        <v>145.93577999999999</v>
      </c>
      <c r="I54">
        <f>G54*H54</f>
        <v>1201.8240705882351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>
        <f>35/42.5</f>
        <v>0.82352941176470584</v>
      </c>
      <c r="F55" t="s">
        <v>214</v>
      </c>
      <c r="G55" s="21">
        <f>E55*$M$2</f>
        <v>8.235294117647058</v>
      </c>
      <c r="H55" s="12">
        <f>'APUS SANITARIAS'!J145</f>
        <v>141.07118</v>
      </c>
      <c r="I55">
        <f>G55*H55</f>
        <v>1161.7626588235294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>
        <f>7/42.5</f>
        <v>0.16470588235294117</v>
      </c>
      <c r="F56" t="s">
        <v>149</v>
      </c>
      <c r="G56" s="21">
        <f>E56*$M$2</f>
        <v>1.6470588235294117</v>
      </c>
      <c r="H56" s="12">
        <f>'APUS SANITARIAS'!J163</f>
        <v>214.33091999999999</v>
      </c>
      <c r="I56">
        <f>G56*H56</f>
        <v>353.01563294117642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>
        <f>7/42.5</f>
        <v>0.16470588235294117</v>
      </c>
      <c r="F57" t="s">
        <v>149</v>
      </c>
      <c r="G57" s="21">
        <f>E57*$M$2</f>
        <v>1.6470588235294117</v>
      </c>
      <c r="H57" s="12">
        <f>'APUS SANITARIAS'!J178</f>
        <v>101.51374313638702</v>
      </c>
      <c r="I57">
        <f>G57*H57</f>
        <v>167.19910634228449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f>10/12.5</f>
        <v>0.8</v>
      </c>
      <c r="F59" t="s">
        <v>214</v>
      </c>
      <c r="G59" s="21">
        <f>E59*$M$2</f>
        <v>8</v>
      </c>
      <c r="H59" s="12">
        <f>'APUS ELECTRICAS'!J5</f>
        <v>121.04310400000001</v>
      </c>
      <c r="I59">
        <f>G59*H59</f>
        <v>968.34483200000011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f>10/12.5</f>
        <v>0.8</v>
      </c>
      <c r="F60" t="s">
        <v>214</v>
      </c>
      <c r="G60" s="21">
        <f>E60*$M$2</f>
        <v>8</v>
      </c>
      <c r="H60" s="12">
        <f>'APUS ELECTRICAS'!J26</f>
        <v>163.73838000000001</v>
      </c>
      <c r="I60">
        <f>G60*H60</f>
        <v>1309.9070400000001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f>10/12.5</f>
        <v>0.8</v>
      </c>
      <c r="F61" t="s">
        <v>214</v>
      </c>
      <c r="G61" s="21">
        <f>E61*$M$2</f>
        <v>8</v>
      </c>
      <c r="H61" s="12">
        <f>'APUS ELECTRICAS'!J48</f>
        <v>118.30689999999998</v>
      </c>
      <c r="I61">
        <f>G61*H61</f>
        <v>946.45519999999988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5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5">
        <f>2/12.5</f>
        <v>0.16</v>
      </c>
      <c r="F64" t="s">
        <v>149</v>
      </c>
      <c r="G64" s="21">
        <f>E64*$M$2</f>
        <v>1.6</v>
      </c>
      <c r="H64" s="12">
        <f>'APUS ELECTRICAS'!J74</f>
        <v>396.14503200000001</v>
      </c>
      <c r="I64">
        <f>G64*H64</f>
        <v>633.83205120000002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5">
        <f>2/12.5</f>
        <v>0.16</v>
      </c>
      <c r="F65" t="s">
        <v>149</v>
      </c>
      <c r="G65" s="21">
        <f>E65*$M$2</f>
        <v>1.6</v>
      </c>
      <c r="H65" s="12">
        <f>'APUS ELECTRICAS'!J88</f>
        <v>105.9636</v>
      </c>
      <c r="I65">
        <f>G65*H65</f>
        <v>169.54176000000001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5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5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09178-9D90-48EA-AC90-AE92FE2A4161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'!D38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28718.016620798262</v>
      </c>
      <c r="L4" s="25" t="s">
        <v>1368</v>
      </c>
      <c r="M4" s="130">
        <f>J4/M2</f>
        <v>2871.8016620798262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f>((((2*6.95/2)+2.8+1.8+2.05+1.8+0.45)*3)-2.8*1)/30</f>
        <v>1.4916666666666669</v>
      </c>
      <c r="F6" s="63" t="s">
        <v>133</v>
      </c>
      <c r="G6" s="21">
        <f>E6*$M$2</f>
        <v>14.91666666666667</v>
      </c>
      <c r="H6" s="12">
        <f>'APUS ARQUITECTURA'!J5</f>
        <v>135.824337926792</v>
      </c>
      <c r="I6">
        <f>G6*H6</f>
        <v>2026.0463740746477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>
        <f>((1*6.95)*3)/30</f>
        <v>0.69500000000000006</v>
      </c>
      <c r="F7" s="63" t="s">
        <v>133</v>
      </c>
      <c r="G7" s="21">
        <f>E7*$M$2</f>
        <v>6.9500000000000011</v>
      </c>
      <c r="H7" s="12">
        <f>'APUS ARQUITECTURA'!J32</f>
        <v>150.06569999999999</v>
      </c>
      <c r="I7">
        <f>G7*H7</f>
        <v>1042.9566150000001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70">
        <f>(((3*1.4)+(4*0.9)+1.95+1.45+2+2)*1.9)/30</f>
        <v>0.96266666666666656</v>
      </c>
      <c r="F9" s="63" t="s">
        <v>133</v>
      </c>
      <c r="G9" s="21">
        <f>E9*$M$2</f>
        <v>9.6266666666666652</v>
      </c>
      <c r="H9" s="12">
        <f>'APUS ARQUITECTURA'!J74</f>
        <v>200.94213799999997</v>
      </c>
      <c r="I9">
        <f>G9*H9</f>
        <v>1934.4029818133326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70">
        <f>(2*1.5*0.5)/30</f>
        <v>0.05</v>
      </c>
      <c r="F10" s="63" t="s">
        <v>133</v>
      </c>
      <c r="G10" s="21">
        <f>E10*$M$2</f>
        <v>0.5</v>
      </c>
      <c r="H10" s="12">
        <f>'APUS ARQUITECTURA'!J92</f>
        <v>300.22795400000001</v>
      </c>
      <c r="I10">
        <f>G10*H10</f>
        <v>150.11397700000001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/>
      <c r="F13" t="s">
        <v>133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f>((6.95*3.3)+(2.8*2.3))/30</f>
        <v>0.97916666666666663</v>
      </c>
      <c r="F14" t="s">
        <v>133</v>
      </c>
      <c r="G14" s="21">
        <f>E14*$M$2</f>
        <v>9.7916666666666661</v>
      </c>
      <c r="H14" s="12">
        <f>'APUS ARQUITECTURA'!J148</f>
        <v>35.840962666666663</v>
      </c>
      <c r="I14">
        <f>G14*H14</f>
        <v>350.94275944444439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>
        <f>(((6.95+5.2+2.1+2.05+0.45+1.45+1.95+1.15+(0.75*4)+0.3)*3)+(2.8*2))/30</f>
        <v>2.6466666666666665</v>
      </c>
      <c r="F16" t="s">
        <v>133</v>
      </c>
      <c r="G16" s="21">
        <f>E16*$M$2</f>
        <v>26.466666666666665</v>
      </c>
      <c r="H16" s="12">
        <f>'APUS ARQUITECTURA'!J168</f>
        <v>90.825879999999998</v>
      </c>
      <c r="I16">
        <f>G16*H16</f>
        <v>2403.8582906666666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>
        <f>(((17.65*2)+6.95*2-(2*0.9))/(120))</f>
        <v>0.39499999999999996</v>
      </c>
      <c r="F33" t="s">
        <v>144</v>
      </c>
      <c r="G33" s="21">
        <f>E33*$M$2</f>
        <v>3.9499999999999997</v>
      </c>
      <c r="H33" s="12">
        <f>'APUS ARQUITECTURA'!J430</f>
        <v>84.438490000000002</v>
      </c>
      <c r="I33">
        <f>G33*H33</f>
        <v>333.53203550000001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69">
        <f>((0.9+0.6)*1.9+(1*2.1))/30</f>
        <v>0.16499999999999998</v>
      </c>
      <c r="F35" t="s">
        <v>133</v>
      </c>
      <c r="G35" s="21">
        <f>E35*$M$2</f>
        <v>1.65</v>
      </c>
      <c r="H35" s="12">
        <f>'APUS ARQUITECTURA'!J449</f>
        <v>560.62260000000003</v>
      </c>
      <c r="I35">
        <f>G35*H35</f>
        <v>925.02728999999999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>
        <f>2.8/30</f>
        <v>9.3333333333333324E-2</v>
      </c>
      <c r="F36" t="s">
        <v>133</v>
      </c>
      <c r="G36" s="21">
        <f>E36*$M$2</f>
        <v>0.93333333333333324</v>
      </c>
      <c r="H36" s="12">
        <f>'APUS ARQUITECTURA'!J456</f>
        <v>367.87083424090611</v>
      </c>
      <c r="I36">
        <f>G36*H36</f>
        <v>343.34611195817899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71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70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f>1.13+E19</f>
        <v>2.13</v>
      </c>
      <c r="F41" t="s">
        <v>133</v>
      </c>
      <c r="G41" s="21">
        <f>E41*$M$2</f>
        <v>21.299999999999997</v>
      </c>
      <c r="H41" s="12">
        <f>'APUS ARQUITECTURA'!J484</f>
        <v>15.625164000000002</v>
      </c>
      <c r="I41">
        <f>G41*H41</f>
        <v>332.81599319999998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f>E14</f>
        <v>0.97916666666666663</v>
      </c>
      <c r="F42" s="105" t="s">
        <v>133</v>
      </c>
      <c r="G42" s="21">
        <f>E42*$M$2</f>
        <v>9.7916666666666661</v>
      </c>
      <c r="H42" s="12">
        <f>'APUS ARQUITECTURA'!J504</f>
        <v>15.956285454545455</v>
      </c>
      <c r="I42">
        <f>G42*H42</f>
        <v>156.23862840909089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45">
        <f>30/42.5</f>
        <v>0.70588235294117652</v>
      </c>
      <c r="F44" t="s">
        <v>1388</v>
      </c>
      <c r="G44" s="21">
        <f>E44*$M$2</f>
        <v>7.0588235294117654</v>
      </c>
      <c r="H44" s="12">
        <f>'APUS SANITARIAS'!J5</f>
        <v>193.33333333333331</v>
      </c>
      <c r="I44">
        <f>G44*H44</f>
        <v>1364.7058823529412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45">
        <f>30/42.5</f>
        <v>0.70588235294117652</v>
      </c>
      <c r="F45" t="s">
        <v>1388</v>
      </c>
      <c r="G45" s="21">
        <f>E45*$M$2</f>
        <v>7.0588235294117654</v>
      </c>
      <c r="H45" s="12">
        <f>'APUS SANITARIAS'!J12</f>
        <v>192.42</v>
      </c>
      <c r="I45">
        <f>G45*H45</f>
        <v>1358.2588235294118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45">
        <f>30/42.5</f>
        <v>0.70588235294117652</v>
      </c>
      <c r="F46" t="s">
        <v>1388</v>
      </c>
      <c r="G46" s="21">
        <f>E46*$M$2</f>
        <v>7.0588235294117654</v>
      </c>
      <c r="H46" s="12">
        <f>'APUS SANITARIAS'!J19</f>
        <v>67.521666666666661</v>
      </c>
      <c r="I46">
        <f>G46*H46</f>
        <v>476.62352941176471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>
        <v>0.15</v>
      </c>
      <c r="F47" t="s">
        <v>154</v>
      </c>
      <c r="G47" s="21">
        <f>E47*$M$2</f>
        <v>1.5</v>
      </c>
      <c r="H47" s="12">
        <f>'APUS SANITARIAS'!J26</f>
        <v>750</v>
      </c>
      <c r="I47">
        <f>G47*H47</f>
        <v>1125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>
        <f>35/42.5</f>
        <v>0.82352941176470584</v>
      </c>
      <c r="F48" t="s">
        <v>214</v>
      </c>
      <c r="G48" s="21">
        <f>E48*$M$2</f>
        <v>8.235294117647058</v>
      </c>
      <c r="H48" s="12">
        <f>'APUS SANITARIAS'!J32</f>
        <v>131.73781333333332</v>
      </c>
      <c r="I48">
        <f>G48*H48</f>
        <v>1084.899639215686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>
        <f>8/30</f>
        <v>0.26666666666666666</v>
      </c>
      <c r="F49" t="s">
        <v>214</v>
      </c>
      <c r="G49" s="21">
        <f>E49*$M$2</f>
        <v>2.6666666666666665</v>
      </c>
      <c r="H49" s="12">
        <f>'APUS SANITARIAS'!J50</f>
        <v>210.60376000000002</v>
      </c>
      <c r="I49">
        <f>G49*H49</f>
        <v>561.61002666666673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>
        <v>1.2</v>
      </c>
      <c r="F50" t="s">
        <v>154</v>
      </c>
      <c r="G50" s="21">
        <f>E50*$M$2</f>
        <v>12</v>
      </c>
      <c r="H50" s="12">
        <f>'APUS SANITARIAS'!J69</f>
        <v>200</v>
      </c>
      <c r="I50">
        <f>G50*H50</f>
        <v>2400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>
        <v>0.08</v>
      </c>
      <c r="F51" t="s">
        <v>154</v>
      </c>
      <c r="G51" s="21">
        <f>E51*$M$2</f>
        <v>0.8</v>
      </c>
      <c r="H51" s="12">
        <f>'APUS SANITARIAS'!J76</f>
        <v>537.21710399999995</v>
      </c>
      <c r="I51">
        <f>G51*H51</f>
        <v>429.77368319999999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>
        <f>35/42.5</f>
        <v>0.82352941176470584</v>
      </c>
      <c r="F53" t="s">
        <v>214</v>
      </c>
      <c r="G53" s="21">
        <f>E53*$M$2</f>
        <v>8.235294117647058</v>
      </c>
      <c r="H53" s="12">
        <f>'APUS SANITARIAS'!J108</f>
        <v>138.64527999999999</v>
      </c>
      <c r="I53">
        <f>G53*H53</f>
        <v>1141.7846588235291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>
        <f>35/42.5</f>
        <v>0.82352941176470584</v>
      </c>
      <c r="F54" t="s">
        <v>214</v>
      </c>
      <c r="G54" s="21">
        <f>E54*$M$2</f>
        <v>8.235294117647058</v>
      </c>
      <c r="H54" s="12">
        <f>'APUS SANITARIAS'!J127</f>
        <v>145.93577999999999</v>
      </c>
      <c r="I54">
        <f>G54*H54</f>
        <v>1201.8240705882351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>
        <f>35/42.5</f>
        <v>0.82352941176470584</v>
      </c>
      <c r="F55" t="s">
        <v>214</v>
      </c>
      <c r="G55" s="21">
        <f>E55*$M$2</f>
        <v>8.235294117647058</v>
      </c>
      <c r="H55" s="12">
        <f>'APUS SANITARIAS'!J145</f>
        <v>141.07118</v>
      </c>
      <c r="I55">
        <f>G55*H55</f>
        <v>1161.7626588235294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>
        <f>7/30</f>
        <v>0.23333333333333334</v>
      </c>
      <c r="F56" t="s">
        <v>149</v>
      </c>
      <c r="G56" s="21">
        <f>E56*$M$2</f>
        <v>2.3333333333333335</v>
      </c>
      <c r="H56" s="12">
        <f>'APUS SANITARIAS'!J163</f>
        <v>214.33091999999999</v>
      </c>
      <c r="I56">
        <f>G56*H56</f>
        <v>500.10548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>
        <f>7/30</f>
        <v>0.23333333333333334</v>
      </c>
      <c r="F57" t="s">
        <v>149</v>
      </c>
      <c r="G57" s="21">
        <f>E57*$M$2</f>
        <v>2.3333333333333335</v>
      </c>
      <c r="H57" s="12">
        <f>'APUS SANITARIAS'!J178</f>
        <v>101.51374313638702</v>
      </c>
      <c r="I57">
        <f>G57*H57</f>
        <v>236.86540065156973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f>14/30</f>
        <v>0.46666666666666667</v>
      </c>
      <c r="F59" t="s">
        <v>214</v>
      </c>
      <c r="G59" s="21">
        <f>E59*$M$2</f>
        <v>4.666666666666667</v>
      </c>
      <c r="H59" s="12">
        <f>'APUS ELECTRICAS'!J5</f>
        <v>121.04310400000001</v>
      </c>
      <c r="I59">
        <f>G59*H59</f>
        <v>564.86781866666672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f>14/30</f>
        <v>0.46666666666666667</v>
      </c>
      <c r="F60" t="s">
        <v>214</v>
      </c>
      <c r="G60" s="21">
        <f>E60*$M$2</f>
        <v>4.666666666666667</v>
      </c>
      <c r="H60" s="12">
        <f>'APUS ELECTRICAS'!J26</f>
        <v>163.73838000000001</v>
      </c>
      <c r="I60">
        <f>G60*H60</f>
        <v>764.11244000000011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f>14/30</f>
        <v>0.46666666666666667</v>
      </c>
      <c r="F61" t="s">
        <v>214</v>
      </c>
      <c r="G61" s="21">
        <f>E61*$M$2</f>
        <v>4.666666666666667</v>
      </c>
      <c r="H61" s="12">
        <f>'APUS ELECTRICAS'!J48</f>
        <v>118.30689999999998</v>
      </c>
      <c r="I61">
        <f>G61*H61</f>
        <v>552.09886666666659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6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6">
        <f>4/30</f>
        <v>0.13333333333333333</v>
      </c>
      <c r="F64" t="s">
        <v>149</v>
      </c>
      <c r="G64" s="21">
        <f>E64*$M$2</f>
        <v>1.3333333333333333</v>
      </c>
      <c r="H64" s="12">
        <f>'APUS ELECTRICAS'!J74</f>
        <v>396.14503200000001</v>
      </c>
      <c r="I64">
        <f>G64*H64</f>
        <v>528.19337599999994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6">
        <f>4/30</f>
        <v>0.13333333333333333</v>
      </c>
      <c r="F65" t="s">
        <v>149</v>
      </c>
      <c r="G65" s="21">
        <f>E65*$M$2</f>
        <v>1.3333333333333333</v>
      </c>
      <c r="H65" s="12">
        <f>'APUS ELECTRICAS'!J88</f>
        <v>105.9636</v>
      </c>
      <c r="I65">
        <f>G65*H65</f>
        <v>141.28479999999999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6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6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DC9A-4A86-4827-9ACF-40BA48A8306B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'!D39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27359.757797268849</v>
      </c>
      <c r="L4" s="25" t="s">
        <v>1368</v>
      </c>
      <c r="M4" s="130">
        <f>J4/M2</f>
        <v>2735.9757797268849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f>((((2*6.95/2)+2.8+1.8+2.05+1.8+0.45)*3)-2.8*1)/30</f>
        <v>1.4916666666666669</v>
      </c>
      <c r="F6" s="63" t="s">
        <v>133</v>
      </c>
      <c r="G6" s="21">
        <f>E6*$M$2</f>
        <v>14.91666666666667</v>
      </c>
      <c r="H6" s="12">
        <f>'APUS ARQUITECTURA'!J5</f>
        <v>135.824337926792</v>
      </c>
      <c r="I6">
        <f>G6*H6</f>
        <v>2026.0463740746477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>
        <f>((1*6.95)*3)/30</f>
        <v>0.69500000000000006</v>
      </c>
      <c r="F7" s="63" t="s">
        <v>133</v>
      </c>
      <c r="G7" s="21">
        <f>E7*$M$2</f>
        <v>6.9500000000000011</v>
      </c>
      <c r="H7" s="12">
        <f>'APUS ARQUITECTURA'!J32</f>
        <v>150.06569999999999</v>
      </c>
      <c r="I7">
        <f>G7*H7</f>
        <v>1042.9566150000001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70">
        <f>(((3*1.4)+(4*0.9)+1.95+1.45+2+2)*1.9)/30</f>
        <v>0.96266666666666656</v>
      </c>
      <c r="F9" s="63" t="s">
        <v>133</v>
      </c>
      <c r="G9" s="21">
        <f>E9*$M$2</f>
        <v>9.6266666666666652</v>
      </c>
      <c r="H9" s="12">
        <f>'APUS ARQUITECTURA'!J74</f>
        <v>200.94213799999997</v>
      </c>
      <c r="I9">
        <f>G9*H9</f>
        <v>1934.4029818133326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70">
        <f>(2*1.5*0.5)/30</f>
        <v>0.05</v>
      </c>
      <c r="F10" s="63" t="s">
        <v>133</v>
      </c>
      <c r="G10" s="21">
        <f>E10*$M$2</f>
        <v>0.5</v>
      </c>
      <c r="H10" s="12">
        <f>'APUS ARQUITECTURA'!J92</f>
        <v>300.22795400000001</v>
      </c>
      <c r="I10">
        <f>G10*H10</f>
        <v>150.11397700000001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/>
      <c r="F13" t="s">
        <v>133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f>((6.95*3.3)+(2.8*2.3))/30</f>
        <v>0.97916666666666663</v>
      </c>
      <c r="F14" t="s">
        <v>133</v>
      </c>
      <c r="G14" s="21">
        <f>E14*$M$2</f>
        <v>9.7916666666666661</v>
      </c>
      <c r="H14" s="12">
        <f>'APUS ARQUITECTURA'!J148</f>
        <v>35.840962666666663</v>
      </c>
      <c r="I14">
        <f>G14*H14</f>
        <v>350.94275944444439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>
        <f>(((6.95+5.2+2.1+2.05+0.45+1.45+1.95+1.15+(0.75*4)+0.3)*3)+(2.8*2))/30</f>
        <v>2.6466666666666665</v>
      </c>
      <c r="F16" t="s">
        <v>133</v>
      </c>
      <c r="G16" s="21">
        <f>E16*$M$2</f>
        <v>26.466666666666665</v>
      </c>
      <c r="H16" s="12">
        <f>'APUS ARQUITECTURA'!J168</f>
        <v>90.825879999999998</v>
      </c>
      <c r="I16">
        <f>G16*H16</f>
        <v>2403.8582906666666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>
        <f>(((17.65*2)+6.95*2-(2*0.9))/(120))</f>
        <v>0.39499999999999996</v>
      </c>
      <c r="F33" t="s">
        <v>144</v>
      </c>
      <c r="G33" s="21">
        <f>E33*$M$2</f>
        <v>3.9499999999999997</v>
      </c>
      <c r="H33" s="12">
        <f>'APUS ARQUITECTURA'!J430</f>
        <v>84.438490000000002</v>
      </c>
      <c r="I33">
        <f>G33*H33</f>
        <v>333.53203550000001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69">
        <f>((0.9+0.6)*1.9+(1*2.1))/30</f>
        <v>0.16499999999999998</v>
      </c>
      <c r="F35" t="s">
        <v>133</v>
      </c>
      <c r="G35" s="21">
        <f>E35*$M$2</f>
        <v>1.65</v>
      </c>
      <c r="H35" s="12">
        <f>'APUS ARQUITECTURA'!J449</f>
        <v>560.62260000000003</v>
      </c>
      <c r="I35">
        <f>G35*H35</f>
        <v>925.02728999999999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>
        <f>2.8/30</f>
        <v>9.3333333333333324E-2</v>
      </c>
      <c r="F36" t="s">
        <v>133</v>
      </c>
      <c r="G36" s="21">
        <f>E36*$M$2</f>
        <v>0.93333333333333324</v>
      </c>
      <c r="H36" s="12">
        <f>'APUS ARQUITECTURA'!J456</f>
        <v>367.87083424090611</v>
      </c>
      <c r="I36">
        <f>G36*H36</f>
        <v>343.34611195817899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71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70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f>1.13+E19</f>
        <v>2.13</v>
      </c>
      <c r="F41" t="s">
        <v>133</v>
      </c>
      <c r="G41" s="21">
        <f>E41*$M$2</f>
        <v>21.299999999999997</v>
      </c>
      <c r="H41" s="12">
        <f>'APUS ARQUITECTURA'!J484</f>
        <v>15.625164000000002</v>
      </c>
      <c r="I41">
        <f>G41*H41</f>
        <v>332.81599319999998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f>E14</f>
        <v>0.97916666666666663</v>
      </c>
      <c r="F42" s="105" t="s">
        <v>133</v>
      </c>
      <c r="G42" s="21">
        <f>E42*$M$2</f>
        <v>9.7916666666666661</v>
      </c>
      <c r="H42" s="12">
        <f>'APUS ARQUITECTURA'!J504</f>
        <v>15.956285454545455</v>
      </c>
      <c r="I42">
        <f>G42*H42</f>
        <v>156.23862840909089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318</v>
      </c>
      <c r="E44" s="145">
        <f>30/42.5</f>
        <v>0.70588235294117652</v>
      </c>
      <c r="F44" t="s">
        <v>1388</v>
      </c>
      <c r="G44" s="21">
        <f>E44*$M$2</f>
        <v>7.0588235294117654</v>
      </c>
      <c r="H44" s="12">
        <f>'APUS SANITARIAS'!J5</f>
        <v>193.33333333333331</v>
      </c>
      <c r="I44">
        <f>G44*H44</f>
        <v>1364.7058823529412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1021</v>
      </c>
      <c r="E45" s="145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45">
        <f>30/42.5</f>
        <v>0.70588235294117652</v>
      </c>
      <c r="F46" t="s">
        <v>1388</v>
      </c>
      <c r="G46" s="21">
        <f>E46*$M$2</f>
        <v>7.0588235294117654</v>
      </c>
      <c r="H46" s="12">
        <f>'APUS SANITARIAS'!J19</f>
        <v>67.521666666666661</v>
      </c>
      <c r="I46">
        <f>G46*H46</f>
        <v>476.62352941176471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>
        <v>0.15</v>
      </c>
      <c r="F47" t="s">
        <v>154</v>
      </c>
      <c r="G47" s="21">
        <f>E47*$M$2</f>
        <v>1.5</v>
      </c>
      <c r="H47" s="12">
        <f>'APUS SANITARIAS'!J26</f>
        <v>750</v>
      </c>
      <c r="I47">
        <f>G47*H47</f>
        <v>1125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>
        <f>35/42.5</f>
        <v>0.82352941176470584</v>
      </c>
      <c r="F48" t="s">
        <v>214</v>
      </c>
      <c r="G48" s="21">
        <f>E48*$M$2</f>
        <v>8.235294117647058</v>
      </c>
      <c r="H48" s="12">
        <f>'APUS SANITARIAS'!J32</f>
        <v>131.73781333333332</v>
      </c>
      <c r="I48">
        <f>G48*H48</f>
        <v>1084.899639215686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>
        <f>8/30</f>
        <v>0.26666666666666666</v>
      </c>
      <c r="F49" t="s">
        <v>214</v>
      </c>
      <c r="G49" s="21">
        <f>E49*$M$2</f>
        <v>2.6666666666666665</v>
      </c>
      <c r="H49" s="12">
        <f>'APUS SANITARIAS'!J50</f>
        <v>210.60376000000002</v>
      </c>
      <c r="I49">
        <f>G49*H49</f>
        <v>561.61002666666673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>
        <v>1.2</v>
      </c>
      <c r="F50" t="s">
        <v>154</v>
      </c>
      <c r="G50" s="21">
        <f>E50*$M$2</f>
        <v>12</v>
      </c>
      <c r="H50" s="12">
        <f>'APUS SANITARIAS'!J69</f>
        <v>200</v>
      </c>
      <c r="I50">
        <f>G50*H50</f>
        <v>2400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>
        <v>0.08</v>
      </c>
      <c r="F51" t="s">
        <v>154</v>
      </c>
      <c r="G51" s="21">
        <f>E51*$M$2</f>
        <v>0.8</v>
      </c>
      <c r="H51" s="12">
        <f>'APUS SANITARIAS'!J76</f>
        <v>537.21710399999995</v>
      </c>
      <c r="I51">
        <f>G51*H51</f>
        <v>429.77368319999999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>
        <f>35/42.5</f>
        <v>0.82352941176470584</v>
      </c>
      <c r="F53" t="s">
        <v>214</v>
      </c>
      <c r="G53" s="21">
        <f>E53*$M$2</f>
        <v>8.235294117647058</v>
      </c>
      <c r="H53" s="12">
        <f>'APUS SANITARIAS'!J108</f>
        <v>138.64527999999999</v>
      </c>
      <c r="I53">
        <f>G53*H53</f>
        <v>1141.7846588235291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>
        <f>35/42.5</f>
        <v>0.82352941176470584</v>
      </c>
      <c r="F54" t="s">
        <v>214</v>
      </c>
      <c r="G54" s="21">
        <f>E54*$M$2</f>
        <v>8.235294117647058</v>
      </c>
      <c r="H54" s="12">
        <f>'APUS SANITARIAS'!J127</f>
        <v>145.93577999999999</v>
      </c>
      <c r="I54">
        <f>G54*H54</f>
        <v>1201.8240705882351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>
        <f>35/42.5</f>
        <v>0.82352941176470584</v>
      </c>
      <c r="F55" t="s">
        <v>214</v>
      </c>
      <c r="G55" s="21">
        <f>E55*$M$2</f>
        <v>8.235294117647058</v>
      </c>
      <c r="H55" s="12">
        <f>'APUS SANITARIAS'!J145</f>
        <v>141.07118</v>
      </c>
      <c r="I55">
        <f>G55*H55</f>
        <v>1161.7626588235294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>
        <f>7/30</f>
        <v>0.23333333333333334</v>
      </c>
      <c r="F56" t="s">
        <v>149</v>
      </c>
      <c r="G56" s="21">
        <f>E56*$M$2</f>
        <v>2.3333333333333335</v>
      </c>
      <c r="H56" s="12">
        <f>'APUS SANITARIAS'!J163</f>
        <v>214.33091999999999</v>
      </c>
      <c r="I56">
        <f>G56*H56</f>
        <v>500.10548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>
        <f>7/30</f>
        <v>0.23333333333333334</v>
      </c>
      <c r="F57" t="s">
        <v>149</v>
      </c>
      <c r="G57" s="21">
        <f>E57*$M$2</f>
        <v>2.3333333333333335</v>
      </c>
      <c r="H57" s="12">
        <f>'APUS SANITARIAS'!J178</f>
        <v>101.51374313638702</v>
      </c>
      <c r="I57">
        <f>G57*H57</f>
        <v>236.86540065156973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f>14/30</f>
        <v>0.46666666666666667</v>
      </c>
      <c r="F59" t="s">
        <v>214</v>
      </c>
      <c r="G59" s="21">
        <f>E59*$M$2</f>
        <v>4.666666666666667</v>
      </c>
      <c r="H59" s="12">
        <f>'APUS ELECTRICAS'!J5</f>
        <v>121.04310400000001</v>
      </c>
      <c r="I59">
        <f>G59*H59</f>
        <v>564.86781866666672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f>14/30</f>
        <v>0.46666666666666667</v>
      </c>
      <c r="F60" t="s">
        <v>214</v>
      </c>
      <c r="G60" s="21">
        <f>E60*$M$2</f>
        <v>4.666666666666667</v>
      </c>
      <c r="H60" s="12">
        <f>'APUS ELECTRICAS'!J26</f>
        <v>163.73838000000001</v>
      </c>
      <c r="I60">
        <f>G60*H60</f>
        <v>764.11244000000011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f>14/30</f>
        <v>0.46666666666666667</v>
      </c>
      <c r="F61" t="s">
        <v>214</v>
      </c>
      <c r="G61" s="21">
        <f>E61*$M$2</f>
        <v>4.666666666666667</v>
      </c>
      <c r="H61" s="12">
        <f>'APUS ELECTRICAS'!J48</f>
        <v>118.30689999999998</v>
      </c>
      <c r="I61">
        <f>G61*H61</f>
        <v>552.09886666666659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6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6">
        <f>4/30</f>
        <v>0.13333333333333333</v>
      </c>
      <c r="F64" t="s">
        <v>149</v>
      </c>
      <c r="G64" s="21">
        <f>E64*$M$2</f>
        <v>1.3333333333333333</v>
      </c>
      <c r="H64" s="12">
        <f>'APUS ELECTRICAS'!J74</f>
        <v>396.14503200000001</v>
      </c>
      <c r="I64">
        <f>G64*H64</f>
        <v>528.19337599999994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6">
        <f>4/30</f>
        <v>0.13333333333333333</v>
      </c>
      <c r="F65" t="s">
        <v>149</v>
      </c>
      <c r="G65" s="21">
        <f>E65*$M$2</f>
        <v>1.3333333333333333</v>
      </c>
      <c r="H65" s="12">
        <f>'APUS ELECTRICAS'!J88</f>
        <v>105.9636</v>
      </c>
      <c r="I65">
        <f>G65*H65</f>
        <v>141.28479999999999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6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6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F5452-0963-472F-99A6-6EED54D50C8B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'!D40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28718.016620798262</v>
      </c>
      <c r="L4" s="25" t="s">
        <v>1368</v>
      </c>
      <c r="M4" s="130">
        <f>J4/M2</f>
        <v>2871.8016620798262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f>((((2*6.95/2)+2.8+1.8+2.05+1.8+0.45)*3)-2.8*1)/30</f>
        <v>1.4916666666666669</v>
      </c>
      <c r="F6" s="63" t="s">
        <v>133</v>
      </c>
      <c r="G6" s="21">
        <f>E6*$M$2</f>
        <v>14.91666666666667</v>
      </c>
      <c r="H6" s="12">
        <f>'APUS ARQUITECTURA'!J5</f>
        <v>135.824337926792</v>
      </c>
      <c r="I6">
        <f>G6*H6</f>
        <v>2026.0463740746477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>
        <f>((1*6.95)*3)/30</f>
        <v>0.69500000000000006</v>
      </c>
      <c r="F7" s="63" t="s">
        <v>133</v>
      </c>
      <c r="G7" s="21">
        <f>E7*$M$2</f>
        <v>6.9500000000000011</v>
      </c>
      <c r="H7" s="12">
        <f>'APUS ARQUITECTURA'!J32</f>
        <v>150.06569999999999</v>
      </c>
      <c r="I7">
        <f>G7*H7</f>
        <v>1042.9566150000001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70">
        <f>(((3*1.4)+(4*0.9)+1.95+1.45+2+2)*1.9)/30</f>
        <v>0.96266666666666656</v>
      </c>
      <c r="F9" s="63" t="s">
        <v>133</v>
      </c>
      <c r="G9" s="21">
        <f>E9*$M$2</f>
        <v>9.6266666666666652</v>
      </c>
      <c r="H9" s="12">
        <f>'APUS ARQUITECTURA'!J74</f>
        <v>200.94213799999997</v>
      </c>
      <c r="I9">
        <f>G9*H9</f>
        <v>1934.4029818133326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70">
        <f>(2*1.5*0.5)/30</f>
        <v>0.05</v>
      </c>
      <c r="F10" s="63" t="s">
        <v>133</v>
      </c>
      <c r="G10" s="21">
        <f>E10*$M$2</f>
        <v>0.5</v>
      </c>
      <c r="H10" s="12">
        <f>'APUS ARQUITECTURA'!J92</f>
        <v>300.22795400000001</v>
      </c>
      <c r="I10">
        <f>G10*H10</f>
        <v>150.11397700000001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/>
      <c r="F13" t="s">
        <v>133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f>((6.95*3.3)+(2.8*2.3))/30</f>
        <v>0.97916666666666663</v>
      </c>
      <c r="F14" t="s">
        <v>133</v>
      </c>
      <c r="G14" s="21">
        <f>E14*$M$2</f>
        <v>9.7916666666666661</v>
      </c>
      <c r="H14" s="12">
        <f>'APUS ARQUITECTURA'!J148</f>
        <v>35.840962666666663</v>
      </c>
      <c r="I14">
        <f>G14*H14</f>
        <v>350.94275944444439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>
        <f>(((6.95+5.2+2.1+2.05+0.45+1.45+1.95+1.15+(0.75*4)+0.3)*3)+(2.8*2))/30</f>
        <v>2.6466666666666665</v>
      </c>
      <c r="F16" t="s">
        <v>133</v>
      </c>
      <c r="G16" s="21">
        <f>E16*$M$2</f>
        <v>26.466666666666665</v>
      </c>
      <c r="H16" s="12">
        <f>'APUS ARQUITECTURA'!J168</f>
        <v>90.825879999999998</v>
      </c>
      <c r="I16">
        <f>G16*H16</f>
        <v>2403.8582906666666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>
        <f>(((17.65*2)+6.95*2-(2*0.9))/(120))</f>
        <v>0.39499999999999996</v>
      </c>
      <c r="F33" t="s">
        <v>144</v>
      </c>
      <c r="G33" s="21">
        <f>E33*$M$2</f>
        <v>3.9499999999999997</v>
      </c>
      <c r="H33" s="12">
        <f>'APUS ARQUITECTURA'!J430</f>
        <v>84.438490000000002</v>
      </c>
      <c r="I33">
        <f>G33*H33</f>
        <v>333.53203550000001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69">
        <f>((0.9+0.6)*1.9+(1*2.1))/30</f>
        <v>0.16499999999999998</v>
      </c>
      <c r="F35" t="s">
        <v>133</v>
      </c>
      <c r="G35" s="21">
        <f>E35*$M$2</f>
        <v>1.65</v>
      </c>
      <c r="H35" s="12">
        <f>'APUS ARQUITECTURA'!J449</f>
        <v>560.62260000000003</v>
      </c>
      <c r="I35">
        <f>G35*H35</f>
        <v>925.02728999999999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>
        <f>2.8/30</f>
        <v>9.3333333333333324E-2</v>
      </c>
      <c r="F36" t="s">
        <v>133</v>
      </c>
      <c r="G36" s="21">
        <f>E36*$M$2</f>
        <v>0.93333333333333324</v>
      </c>
      <c r="H36" s="12">
        <f>'APUS ARQUITECTURA'!J456</f>
        <v>367.87083424090611</v>
      </c>
      <c r="I36">
        <f>G36*H36</f>
        <v>343.34611195817899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71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70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f>1.13+E19</f>
        <v>2.13</v>
      </c>
      <c r="F41" t="s">
        <v>133</v>
      </c>
      <c r="G41" s="21">
        <f>E41*$M$2</f>
        <v>21.299999999999997</v>
      </c>
      <c r="H41" s="12">
        <f>'APUS ARQUITECTURA'!J484</f>
        <v>15.625164000000002</v>
      </c>
      <c r="I41">
        <f>G41*H41</f>
        <v>332.81599319999998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f>E14</f>
        <v>0.97916666666666663</v>
      </c>
      <c r="F42" s="105" t="s">
        <v>133</v>
      </c>
      <c r="G42" s="21">
        <f>E42*$M$2</f>
        <v>9.7916666666666661</v>
      </c>
      <c r="H42" s="12">
        <f>'APUS ARQUITECTURA'!J504</f>
        <v>15.956285454545455</v>
      </c>
      <c r="I42">
        <f>G42*H42</f>
        <v>156.23862840909089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45">
        <f>30/42.5</f>
        <v>0.70588235294117652</v>
      </c>
      <c r="F44" t="s">
        <v>1388</v>
      </c>
      <c r="G44" s="21">
        <f>E44*$M$2</f>
        <v>7.0588235294117654</v>
      </c>
      <c r="H44" s="12">
        <f>'APUS SANITARIAS'!J5</f>
        <v>193.33333333333331</v>
      </c>
      <c r="I44">
        <f>G44*H44</f>
        <v>1364.7058823529412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45">
        <f>30/42.5</f>
        <v>0.70588235294117652</v>
      </c>
      <c r="F45" t="s">
        <v>1388</v>
      </c>
      <c r="G45" s="21">
        <f>E45*$M$2</f>
        <v>7.0588235294117654</v>
      </c>
      <c r="H45" s="12">
        <f>'APUS SANITARIAS'!J12</f>
        <v>192.42</v>
      </c>
      <c r="I45">
        <f>G45*H45</f>
        <v>1358.2588235294118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45">
        <f>30/42.5</f>
        <v>0.70588235294117652</v>
      </c>
      <c r="F46" t="s">
        <v>1388</v>
      </c>
      <c r="G46" s="21">
        <f>E46*$M$2</f>
        <v>7.0588235294117654</v>
      </c>
      <c r="H46" s="12">
        <f>'APUS SANITARIAS'!J19</f>
        <v>67.521666666666661</v>
      </c>
      <c r="I46">
        <f>G46*H46</f>
        <v>476.62352941176471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>
        <v>0.15</v>
      </c>
      <c r="F47" t="s">
        <v>154</v>
      </c>
      <c r="G47" s="21">
        <f>E47*$M$2</f>
        <v>1.5</v>
      </c>
      <c r="H47" s="12">
        <f>'APUS SANITARIAS'!J26</f>
        <v>750</v>
      </c>
      <c r="I47">
        <f>G47*H47</f>
        <v>1125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>
        <f>35/42.5</f>
        <v>0.82352941176470584</v>
      </c>
      <c r="F48" t="s">
        <v>214</v>
      </c>
      <c r="G48" s="21">
        <f>E48*$M$2</f>
        <v>8.235294117647058</v>
      </c>
      <c r="H48" s="12">
        <f>'APUS SANITARIAS'!J32</f>
        <v>131.73781333333332</v>
      </c>
      <c r="I48">
        <f>G48*H48</f>
        <v>1084.899639215686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>
        <f>8/30</f>
        <v>0.26666666666666666</v>
      </c>
      <c r="F49" t="s">
        <v>214</v>
      </c>
      <c r="G49" s="21">
        <f>E49*$M$2</f>
        <v>2.6666666666666665</v>
      </c>
      <c r="H49" s="12">
        <f>'APUS SANITARIAS'!J50</f>
        <v>210.60376000000002</v>
      </c>
      <c r="I49">
        <f>G49*H49</f>
        <v>561.61002666666673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>
        <v>1.2</v>
      </c>
      <c r="F50" t="s">
        <v>154</v>
      </c>
      <c r="G50" s="21">
        <f>E50*$M$2</f>
        <v>12</v>
      </c>
      <c r="H50" s="12">
        <f>'APUS SANITARIAS'!J69</f>
        <v>200</v>
      </c>
      <c r="I50">
        <f>G50*H50</f>
        <v>2400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>
        <v>0.08</v>
      </c>
      <c r="F51" t="s">
        <v>154</v>
      </c>
      <c r="G51" s="21">
        <f>E51*$M$2</f>
        <v>0.8</v>
      </c>
      <c r="H51" s="12">
        <f>'APUS SANITARIAS'!J76</f>
        <v>537.21710399999995</v>
      </c>
      <c r="I51">
        <f>G51*H51</f>
        <v>429.77368319999999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>
        <f>35/42.5</f>
        <v>0.82352941176470584</v>
      </c>
      <c r="F53" t="s">
        <v>214</v>
      </c>
      <c r="G53" s="21">
        <f>E53*$M$2</f>
        <v>8.235294117647058</v>
      </c>
      <c r="H53" s="12">
        <f>'APUS SANITARIAS'!J108</f>
        <v>138.64527999999999</v>
      </c>
      <c r="I53">
        <f>G53*H53</f>
        <v>1141.7846588235291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>
        <f>35/42.5</f>
        <v>0.82352941176470584</v>
      </c>
      <c r="F54" t="s">
        <v>214</v>
      </c>
      <c r="G54" s="21">
        <f>E54*$M$2</f>
        <v>8.235294117647058</v>
      </c>
      <c r="H54" s="12">
        <f>'APUS SANITARIAS'!J127</f>
        <v>145.93577999999999</v>
      </c>
      <c r="I54">
        <f>G54*H54</f>
        <v>1201.8240705882351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>
        <f>35/42.5</f>
        <v>0.82352941176470584</v>
      </c>
      <c r="F55" t="s">
        <v>214</v>
      </c>
      <c r="G55" s="21">
        <f>E55*$M$2</f>
        <v>8.235294117647058</v>
      </c>
      <c r="H55" s="12">
        <f>'APUS SANITARIAS'!J145</f>
        <v>141.07118</v>
      </c>
      <c r="I55">
        <f>G55*H55</f>
        <v>1161.7626588235294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>
        <f>7/30</f>
        <v>0.23333333333333334</v>
      </c>
      <c r="F56" t="s">
        <v>149</v>
      </c>
      <c r="G56" s="21">
        <f>E56*$M$2</f>
        <v>2.3333333333333335</v>
      </c>
      <c r="H56" s="12">
        <f>'APUS SANITARIAS'!J163</f>
        <v>214.33091999999999</v>
      </c>
      <c r="I56">
        <f>G56*H56</f>
        <v>500.10548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>
        <f>7/30</f>
        <v>0.23333333333333334</v>
      </c>
      <c r="F57" t="s">
        <v>149</v>
      </c>
      <c r="G57" s="21">
        <f>E57*$M$2</f>
        <v>2.3333333333333335</v>
      </c>
      <c r="H57" s="12">
        <f>'APUS SANITARIAS'!J178</f>
        <v>101.51374313638702</v>
      </c>
      <c r="I57">
        <f>G57*H57</f>
        <v>236.86540065156973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f>14/30</f>
        <v>0.46666666666666667</v>
      </c>
      <c r="F59" t="s">
        <v>214</v>
      </c>
      <c r="G59" s="21">
        <f>E59*$M$2</f>
        <v>4.666666666666667</v>
      </c>
      <c r="H59" s="12">
        <f>'APUS ELECTRICAS'!J5</f>
        <v>121.04310400000001</v>
      </c>
      <c r="I59">
        <f>G59*H59</f>
        <v>564.86781866666672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f>14/30</f>
        <v>0.46666666666666667</v>
      </c>
      <c r="F60" t="s">
        <v>214</v>
      </c>
      <c r="G60" s="21">
        <f>E60*$M$2</f>
        <v>4.666666666666667</v>
      </c>
      <c r="H60" s="12">
        <f>'APUS ELECTRICAS'!J26</f>
        <v>163.73838000000001</v>
      </c>
      <c r="I60">
        <f>G60*H60</f>
        <v>764.11244000000011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f>14/30</f>
        <v>0.46666666666666667</v>
      </c>
      <c r="F61" t="s">
        <v>214</v>
      </c>
      <c r="G61" s="21">
        <f>E61*$M$2</f>
        <v>4.666666666666667</v>
      </c>
      <c r="H61" s="12">
        <f>'APUS ELECTRICAS'!J48</f>
        <v>118.30689999999998</v>
      </c>
      <c r="I61">
        <f>G61*H61</f>
        <v>552.09886666666659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6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6">
        <f>4/30</f>
        <v>0.13333333333333333</v>
      </c>
      <c r="F64" t="s">
        <v>149</v>
      </c>
      <c r="G64" s="21">
        <f>E64*$M$2</f>
        <v>1.3333333333333333</v>
      </c>
      <c r="H64" s="12">
        <f>'APUS ELECTRICAS'!J74</f>
        <v>396.14503200000001</v>
      </c>
      <c r="I64">
        <f>G64*H64</f>
        <v>528.19337599999994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6">
        <f>4/30</f>
        <v>0.13333333333333333</v>
      </c>
      <c r="F65" t="s">
        <v>149</v>
      </c>
      <c r="G65" s="21">
        <f>E65*$M$2</f>
        <v>1.3333333333333333</v>
      </c>
      <c r="H65" s="12">
        <f>'APUS ELECTRICAS'!J88</f>
        <v>105.9636</v>
      </c>
      <c r="I65">
        <f>G65*H65</f>
        <v>141.28479999999999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6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6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748B4-EC96-4C9B-BA38-1FB458DD3691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'!D41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27359.757797268849</v>
      </c>
      <c r="L4" s="25" t="s">
        <v>1368</v>
      </c>
      <c r="M4" s="130">
        <f>J4/M2</f>
        <v>2735.9757797268849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f>((((2*6.95/2)+2.8+1.8+2.05+1.8+0.45)*3)-2.8*1)/30</f>
        <v>1.4916666666666669</v>
      </c>
      <c r="F6" s="63" t="s">
        <v>133</v>
      </c>
      <c r="G6" s="21">
        <f>E6*$M$2</f>
        <v>14.91666666666667</v>
      </c>
      <c r="H6" s="12">
        <f>'APUS ARQUITECTURA'!J5</f>
        <v>135.824337926792</v>
      </c>
      <c r="I6">
        <f>G6*H6</f>
        <v>2026.0463740746477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>
        <f>((1*6.95)*3)/30</f>
        <v>0.69500000000000006</v>
      </c>
      <c r="F7" s="63" t="s">
        <v>133</v>
      </c>
      <c r="G7" s="21">
        <f>E7*$M$2</f>
        <v>6.9500000000000011</v>
      </c>
      <c r="H7" s="12">
        <f>'APUS ARQUITECTURA'!J32</f>
        <v>150.06569999999999</v>
      </c>
      <c r="I7">
        <f>G7*H7</f>
        <v>1042.9566150000001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70">
        <f>(((3*1.4)+(4*0.9)+1.95+1.45+2+2)*1.9)/30</f>
        <v>0.96266666666666656</v>
      </c>
      <c r="F9" s="63" t="s">
        <v>133</v>
      </c>
      <c r="G9" s="21">
        <f>E9*$M$2</f>
        <v>9.6266666666666652</v>
      </c>
      <c r="H9" s="12">
        <f>'APUS ARQUITECTURA'!J74</f>
        <v>200.94213799999997</v>
      </c>
      <c r="I9">
        <f>G9*H9</f>
        <v>1934.4029818133326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70">
        <f>(2*1.5*0.5)/30</f>
        <v>0.05</v>
      </c>
      <c r="F10" s="63" t="s">
        <v>133</v>
      </c>
      <c r="G10" s="21">
        <f>E10*$M$2</f>
        <v>0.5</v>
      </c>
      <c r="H10" s="12">
        <f>'APUS ARQUITECTURA'!J92</f>
        <v>300.22795400000001</v>
      </c>
      <c r="I10">
        <f>G10*H10</f>
        <v>150.11397700000001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/>
      <c r="F13" t="s">
        <v>133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f>((6.95*3.3)+(2.8*2.3))/30</f>
        <v>0.97916666666666663</v>
      </c>
      <c r="F14" t="s">
        <v>133</v>
      </c>
      <c r="G14" s="21">
        <f>E14*$M$2</f>
        <v>9.7916666666666661</v>
      </c>
      <c r="H14" s="12">
        <f>'APUS ARQUITECTURA'!J148</f>
        <v>35.840962666666663</v>
      </c>
      <c r="I14">
        <f>G14*H14</f>
        <v>350.94275944444439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>
        <f>(((6.95+5.2+2.1+2.05+0.45+1.45+1.95+1.15+(0.75*4)+0.3)*3)+(2.8*2))/30</f>
        <v>2.6466666666666665</v>
      </c>
      <c r="F16" t="s">
        <v>133</v>
      </c>
      <c r="G16" s="21">
        <f>E16*$M$2</f>
        <v>26.466666666666665</v>
      </c>
      <c r="H16" s="12">
        <f>'APUS ARQUITECTURA'!J168</f>
        <v>90.825879999999998</v>
      </c>
      <c r="I16">
        <f>G16*H16</f>
        <v>2403.8582906666666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>
        <f>(((17.65*2)+6.95*2-(2*0.9))/(120))</f>
        <v>0.39499999999999996</v>
      </c>
      <c r="F33" t="s">
        <v>144</v>
      </c>
      <c r="G33" s="21">
        <f>E33*$M$2</f>
        <v>3.9499999999999997</v>
      </c>
      <c r="H33" s="12">
        <f>'APUS ARQUITECTURA'!J430</f>
        <v>84.438490000000002</v>
      </c>
      <c r="I33">
        <f>G33*H33</f>
        <v>333.53203550000001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69">
        <f>((0.9+0.6)*1.9+(1*2.1))/30</f>
        <v>0.16499999999999998</v>
      </c>
      <c r="F35" t="s">
        <v>133</v>
      </c>
      <c r="G35" s="21">
        <f>E35*$M$2</f>
        <v>1.65</v>
      </c>
      <c r="H35" s="12">
        <f>'APUS ARQUITECTURA'!J449</f>
        <v>560.62260000000003</v>
      </c>
      <c r="I35">
        <f>G35*H35</f>
        <v>925.02728999999999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>
        <f>2.8/30</f>
        <v>9.3333333333333324E-2</v>
      </c>
      <c r="F36" t="s">
        <v>133</v>
      </c>
      <c r="G36" s="21">
        <f>E36*$M$2</f>
        <v>0.93333333333333324</v>
      </c>
      <c r="H36" s="12">
        <f>'APUS ARQUITECTURA'!J456</f>
        <v>367.87083424090611</v>
      </c>
      <c r="I36">
        <f>G36*H36</f>
        <v>343.34611195817899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71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70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f>1.13+E19</f>
        <v>2.13</v>
      </c>
      <c r="F41" t="s">
        <v>133</v>
      </c>
      <c r="G41" s="21">
        <f>E41*$M$2</f>
        <v>21.299999999999997</v>
      </c>
      <c r="H41" s="12">
        <f>'APUS ARQUITECTURA'!J484</f>
        <v>15.625164000000002</v>
      </c>
      <c r="I41">
        <f>G41*H41</f>
        <v>332.81599319999998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f>E14</f>
        <v>0.97916666666666663</v>
      </c>
      <c r="F42" s="105" t="s">
        <v>133</v>
      </c>
      <c r="G42" s="21">
        <f>E42*$M$2</f>
        <v>9.7916666666666661</v>
      </c>
      <c r="H42" s="12">
        <f>'APUS ARQUITECTURA'!J504</f>
        <v>15.956285454545455</v>
      </c>
      <c r="I42">
        <f>G42*H42</f>
        <v>156.23862840909089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318</v>
      </c>
      <c r="E44" s="145">
        <f>30/42.5</f>
        <v>0.70588235294117652</v>
      </c>
      <c r="F44" t="s">
        <v>1388</v>
      </c>
      <c r="G44" s="21">
        <f>E44*$M$2</f>
        <v>7.0588235294117654</v>
      </c>
      <c r="H44" s="12">
        <f>'APUS SANITARIAS'!J5</f>
        <v>193.33333333333331</v>
      </c>
      <c r="I44">
        <f>G44*H44</f>
        <v>1364.7058823529412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1021</v>
      </c>
      <c r="E45" s="145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45">
        <f>30/42.5</f>
        <v>0.70588235294117652</v>
      </c>
      <c r="F46" t="s">
        <v>1388</v>
      </c>
      <c r="G46" s="21">
        <f>E46*$M$2</f>
        <v>7.0588235294117654</v>
      </c>
      <c r="H46" s="12">
        <f>'APUS SANITARIAS'!J19</f>
        <v>67.521666666666661</v>
      </c>
      <c r="I46">
        <f>G46*H46</f>
        <v>476.62352941176471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>
        <v>0.15</v>
      </c>
      <c r="F47" t="s">
        <v>154</v>
      </c>
      <c r="G47" s="21">
        <f>E47*$M$2</f>
        <v>1.5</v>
      </c>
      <c r="H47" s="12">
        <f>'APUS SANITARIAS'!J26</f>
        <v>750</v>
      </c>
      <c r="I47">
        <f>G47*H47</f>
        <v>1125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>
        <f>35/42.5</f>
        <v>0.82352941176470584</v>
      </c>
      <c r="F48" t="s">
        <v>214</v>
      </c>
      <c r="G48" s="21">
        <f>E48*$M$2</f>
        <v>8.235294117647058</v>
      </c>
      <c r="H48" s="12">
        <f>'APUS SANITARIAS'!J32</f>
        <v>131.73781333333332</v>
      </c>
      <c r="I48">
        <f>G48*H48</f>
        <v>1084.899639215686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>
        <f>8/30</f>
        <v>0.26666666666666666</v>
      </c>
      <c r="F49" t="s">
        <v>214</v>
      </c>
      <c r="G49" s="21">
        <f>E49*$M$2</f>
        <v>2.6666666666666665</v>
      </c>
      <c r="H49" s="12">
        <f>'APUS SANITARIAS'!J50</f>
        <v>210.60376000000002</v>
      </c>
      <c r="I49">
        <f>G49*H49</f>
        <v>561.61002666666673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>
        <v>1.2</v>
      </c>
      <c r="F50" t="s">
        <v>154</v>
      </c>
      <c r="G50" s="21">
        <f>E50*$M$2</f>
        <v>12</v>
      </c>
      <c r="H50" s="12">
        <f>'APUS SANITARIAS'!J69</f>
        <v>200</v>
      </c>
      <c r="I50">
        <f>G50*H50</f>
        <v>2400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>
        <v>0.08</v>
      </c>
      <c r="F51" t="s">
        <v>154</v>
      </c>
      <c r="G51" s="21">
        <f>E51*$M$2</f>
        <v>0.8</v>
      </c>
      <c r="H51" s="12">
        <f>'APUS SANITARIAS'!J76</f>
        <v>537.21710399999995</v>
      </c>
      <c r="I51">
        <f>G51*H51</f>
        <v>429.77368319999999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>
        <f>35/42.5</f>
        <v>0.82352941176470584</v>
      </c>
      <c r="F53" t="s">
        <v>214</v>
      </c>
      <c r="G53" s="21">
        <f>E53*$M$2</f>
        <v>8.235294117647058</v>
      </c>
      <c r="H53" s="12">
        <f>'APUS SANITARIAS'!J108</f>
        <v>138.64527999999999</v>
      </c>
      <c r="I53">
        <f>G53*H53</f>
        <v>1141.7846588235291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>
        <f>35/42.5</f>
        <v>0.82352941176470584</v>
      </c>
      <c r="F54" t="s">
        <v>214</v>
      </c>
      <c r="G54" s="21">
        <f>E54*$M$2</f>
        <v>8.235294117647058</v>
      </c>
      <c r="H54" s="12">
        <f>'APUS SANITARIAS'!J127</f>
        <v>145.93577999999999</v>
      </c>
      <c r="I54">
        <f>G54*H54</f>
        <v>1201.8240705882351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>
        <f>35/42.5</f>
        <v>0.82352941176470584</v>
      </c>
      <c r="F55" t="s">
        <v>214</v>
      </c>
      <c r="G55" s="21">
        <f>E55*$M$2</f>
        <v>8.235294117647058</v>
      </c>
      <c r="H55" s="12">
        <f>'APUS SANITARIAS'!J145</f>
        <v>141.07118</v>
      </c>
      <c r="I55">
        <f>G55*H55</f>
        <v>1161.7626588235294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>
        <f>7/30</f>
        <v>0.23333333333333334</v>
      </c>
      <c r="F56" t="s">
        <v>149</v>
      </c>
      <c r="G56" s="21">
        <f>E56*$M$2</f>
        <v>2.3333333333333335</v>
      </c>
      <c r="H56" s="12">
        <f>'APUS SANITARIAS'!J163</f>
        <v>214.33091999999999</v>
      </c>
      <c r="I56">
        <f>G56*H56</f>
        <v>500.10548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>
        <f>7/30</f>
        <v>0.23333333333333334</v>
      </c>
      <c r="F57" t="s">
        <v>149</v>
      </c>
      <c r="G57" s="21">
        <f>E57*$M$2</f>
        <v>2.3333333333333335</v>
      </c>
      <c r="H57" s="12">
        <f>'APUS SANITARIAS'!J178</f>
        <v>101.51374313638702</v>
      </c>
      <c r="I57">
        <f>G57*H57</f>
        <v>236.86540065156973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f>14/30</f>
        <v>0.46666666666666667</v>
      </c>
      <c r="F59" t="s">
        <v>214</v>
      </c>
      <c r="G59" s="21">
        <f>E59*$M$2</f>
        <v>4.666666666666667</v>
      </c>
      <c r="H59" s="12">
        <f>'APUS ELECTRICAS'!J5</f>
        <v>121.04310400000001</v>
      </c>
      <c r="I59">
        <f>G59*H59</f>
        <v>564.86781866666672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f>14/30</f>
        <v>0.46666666666666667</v>
      </c>
      <c r="F60" t="s">
        <v>214</v>
      </c>
      <c r="G60" s="21">
        <f>E60*$M$2</f>
        <v>4.666666666666667</v>
      </c>
      <c r="H60" s="12">
        <f>'APUS ELECTRICAS'!J26</f>
        <v>163.73838000000001</v>
      </c>
      <c r="I60">
        <f>G60*H60</f>
        <v>764.11244000000011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f>14/30</f>
        <v>0.46666666666666667</v>
      </c>
      <c r="F61" t="s">
        <v>214</v>
      </c>
      <c r="G61" s="21">
        <f>E61*$M$2</f>
        <v>4.666666666666667</v>
      </c>
      <c r="H61" s="12">
        <f>'APUS ELECTRICAS'!J48</f>
        <v>118.30689999999998</v>
      </c>
      <c r="I61">
        <f>G61*H61</f>
        <v>552.09886666666659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6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6">
        <f>4/30</f>
        <v>0.13333333333333333</v>
      </c>
      <c r="F64" t="s">
        <v>149</v>
      </c>
      <c r="G64" s="21">
        <f>E64*$M$2</f>
        <v>1.3333333333333333</v>
      </c>
      <c r="H64" s="12">
        <f>'APUS ELECTRICAS'!J74</f>
        <v>396.14503200000001</v>
      </c>
      <c r="I64">
        <f>G64*H64</f>
        <v>528.19337599999994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6">
        <f>4/30</f>
        <v>0.13333333333333333</v>
      </c>
      <c r="F65" t="s">
        <v>149</v>
      </c>
      <c r="G65" s="21">
        <f>E65*$M$2</f>
        <v>1.3333333333333333</v>
      </c>
      <c r="H65" s="12">
        <f>'APUS ELECTRICAS'!J88</f>
        <v>105.9636</v>
      </c>
      <c r="I65">
        <f>G65*H65</f>
        <v>141.28479999999999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6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6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B6BC-5311-4590-B132-788EE3E3AE59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'!D42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28718.016620798262</v>
      </c>
      <c r="L4" s="25" t="s">
        <v>1368</v>
      </c>
      <c r="M4" s="130">
        <f>J4/M2</f>
        <v>2871.8016620798262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f>((((2*6.95/2)+2.8+1.8+2.05+1.8+0.45)*3)-2.8*1)/30</f>
        <v>1.4916666666666669</v>
      </c>
      <c r="F6" s="63" t="s">
        <v>133</v>
      </c>
      <c r="G6" s="21">
        <f>E6*$M$2</f>
        <v>14.91666666666667</v>
      </c>
      <c r="H6" s="12">
        <f>'APUS ARQUITECTURA'!J5</f>
        <v>135.824337926792</v>
      </c>
      <c r="I6">
        <f>G6*H6</f>
        <v>2026.0463740746477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>
        <f>((1*6.95)*3)/30</f>
        <v>0.69500000000000006</v>
      </c>
      <c r="F7" s="63" t="s">
        <v>133</v>
      </c>
      <c r="G7" s="21">
        <f>E7*$M$2</f>
        <v>6.9500000000000011</v>
      </c>
      <c r="H7" s="12">
        <f>'APUS ARQUITECTURA'!J32</f>
        <v>150.06569999999999</v>
      </c>
      <c r="I7">
        <f>G7*H7</f>
        <v>1042.9566150000001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70">
        <f>(((3*1.4)+(4*0.9)+1.95+1.45+2+2)*1.9)/30</f>
        <v>0.96266666666666656</v>
      </c>
      <c r="F9" s="63" t="s">
        <v>133</v>
      </c>
      <c r="G9" s="21">
        <f>E9*$M$2</f>
        <v>9.6266666666666652</v>
      </c>
      <c r="H9" s="12">
        <f>'APUS ARQUITECTURA'!J74</f>
        <v>200.94213799999997</v>
      </c>
      <c r="I9">
        <f>G9*H9</f>
        <v>1934.4029818133326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70">
        <f>(2*1.5*0.5)/30</f>
        <v>0.05</v>
      </c>
      <c r="F10" s="63" t="s">
        <v>133</v>
      </c>
      <c r="G10" s="21">
        <f>E10*$M$2</f>
        <v>0.5</v>
      </c>
      <c r="H10" s="12">
        <f>'APUS ARQUITECTURA'!J92</f>
        <v>300.22795400000001</v>
      </c>
      <c r="I10">
        <f>G10*H10</f>
        <v>150.11397700000001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/>
      <c r="F13" t="s">
        <v>133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f>((6.95*3.3)+(2.8*2.3))/30</f>
        <v>0.97916666666666663</v>
      </c>
      <c r="F14" t="s">
        <v>133</v>
      </c>
      <c r="G14" s="21">
        <f>E14*$M$2</f>
        <v>9.7916666666666661</v>
      </c>
      <c r="H14" s="12">
        <f>'APUS ARQUITECTURA'!J148</f>
        <v>35.840962666666663</v>
      </c>
      <c r="I14">
        <f>G14*H14</f>
        <v>350.94275944444439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>
        <f>(((6.95+5.2+2.1+2.05+0.45+1.45+1.95+1.15+(0.75*4)+0.3)*3)+(2.8*2))/30</f>
        <v>2.6466666666666665</v>
      </c>
      <c r="F16" t="s">
        <v>133</v>
      </c>
      <c r="G16" s="21">
        <f>E16*$M$2</f>
        <v>26.466666666666665</v>
      </c>
      <c r="H16" s="12">
        <f>'APUS ARQUITECTURA'!J168</f>
        <v>90.825879999999998</v>
      </c>
      <c r="I16">
        <f>G16*H16</f>
        <v>2403.8582906666666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>
        <f>(((17.65*2)+6.95*2-(2*0.9))/(120))</f>
        <v>0.39499999999999996</v>
      </c>
      <c r="F33" t="s">
        <v>144</v>
      </c>
      <c r="G33" s="21">
        <f>E33*$M$2</f>
        <v>3.9499999999999997</v>
      </c>
      <c r="H33" s="12">
        <f>'APUS ARQUITECTURA'!J430</f>
        <v>84.438490000000002</v>
      </c>
      <c r="I33">
        <f>G33*H33</f>
        <v>333.53203550000001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69">
        <f>((0.9+0.6)*1.9+(1*2.1))/30</f>
        <v>0.16499999999999998</v>
      </c>
      <c r="F35" t="s">
        <v>133</v>
      </c>
      <c r="G35" s="21">
        <f>E35*$M$2</f>
        <v>1.65</v>
      </c>
      <c r="H35" s="12">
        <f>'APUS ARQUITECTURA'!J449</f>
        <v>560.62260000000003</v>
      </c>
      <c r="I35">
        <f>G35*H35</f>
        <v>925.02728999999999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>
        <f>2.8/30</f>
        <v>9.3333333333333324E-2</v>
      </c>
      <c r="F36" t="s">
        <v>133</v>
      </c>
      <c r="G36" s="21">
        <f>E36*$M$2</f>
        <v>0.93333333333333324</v>
      </c>
      <c r="H36" s="12">
        <f>'APUS ARQUITECTURA'!J456</f>
        <v>367.87083424090611</v>
      </c>
      <c r="I36">
        <f>G36*H36</f>
        <v>343.34611195817899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71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70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f>1.13+E19</f>
        <v>2.13</v>
      </c>
      <c r="F41" t="s">
        <v>133</v>
      </c>
      <c r="G41" s="21">
        <f>E41*$M$2</f>
        <v>21.299999999999997</v>
      </c>
      <c r="H41" s="12">
        <f>'APUS ARQUITECTURA'!J484</f>
        <v>15.625164000000002</v>
      </c>
      <c r="I41">
        <f>G41*H41</f>
        <v>332.81599319999998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f>E14</f>
        <v>0.97916666666666663</v>
      </c>
      <c r="F42" s="105" t="s">
        <v>133</v>
      </c>
      <c r="G42" s="21">
        <f>E42*$M$2</f>
        <v>9.7916666666666661</v>
      </c>
      <c r="H42" s="12">
        <f>'APUS ARQUITECTURA'!J504</f>
        <v>15.956285454545455</v>
      </c>
      <c r="I42">
        <f>G42*H42</f>
        <v>156.23862840909089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45">
        <f>30/42.5</f>
        <v>0.70588235294117652</v>
      </c>
      <c r="F44" t="s">
        <v>1388</v>
      </c>
      <c r="G44" s="21">
        <f>E44*$M$2</f>
        <v>7.0588235294117654</v>
      </c>
      <c r="H44" s="12">
        <f>'APUS SANITARIAS'!J5</f>
        <v>193.33333333333331</v>
      </c>
      <c r="I44">
        <f>G44*H44</f>
        <v>1364.7058823529412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45">
        <f>30/42.5</f>
        <v>0.70588235294117652</v>
      </c>
      <c r="F45" t="s">
        <v>1388</v>
      </c>
      <c r="G45" s="21">
        <f>E45*$M$2</f>
        <v>7.0588235294117654</v>
      </c>
      <c r="H45" s="12">
        <f>'APUS SANITARIAS'!J12</f>
        <v>192.42</v>
      </c>
      <c r="I45">
        <f>G45*H45</f>
        <v>1358.2588235294118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45">
        <f>30/42.5</f>
        <v>0.70588235294117652</v>
      </c>
      <c r="F46" t="s">
        <v>1388</v>
      </c>
      <c r="G46" s="21">
        <f>E46*$M$2</f>
        <v>7.0588235294117654</v>
      </c>
      <c r="H46" s="12">
        <f>'APUS SANITARIAS'!J19</f>
        <v>67.521666666666661</v>
      </c>
      <c r="I46">
        <f>G46*H46</f>
        <v>476.62352941176471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>
        <v>0.15</v>
      </c>
      <c r="F47" t="s">
        <v>154</v>
      </c>
      <c r="G47" s="21">
        <f>E47*$M$2</f>
        <v>1.5</v>
      </c>
      <c r="H47" s="12">
        <f>'APUS SANITARIAS'!J26</f>
        <v>750</v>
      </c>
      <c r="I47">
        <f>G47*H47</f>
        <v>1125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>
        <f>35/42.5</f>
        <v>0.82352941176470584</v>
      </c>
      <c r="F48" t="s">
        <v>214</v>
      </c>
      <c r="G48" s="21">
        <f>E48*$M$2</f>
        <v>8.235294117647058</v>
      </c>
      <c r="H48" s="12">
        <f>'APUS SANITARIAS'!J32</f>
        <v>131.73781333333332</v>
      </c>
      <c r="I48">
        <f>G48*H48</f>
        <v>1084.899639215686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>
        <f>8/30</f>
        <v>0.26666666666666666</v>
      </c>
      <c r="F49" t="s">
        <v>214</v>
      </c>
      <c r="G49" s="21">
        <f>E49*$M$2</f>
        <v>2.6666666666666665</v>
      </c>
      <c r="H49" s="12">
        <f>'APUS SANITARIAS'!J50</f>
        <v>210.60376000000002</v>
      </c>
      <c r="I49">
        <f>G49*H49</f>
        <v>561.61002666666673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>
        <v>1.2</v>
      </c>
      <c r="F50" t="s">
        <v>154</v>
      </c>
      <c r="G50" s="21">
        <f>E50*$M$2</f>
        <v>12</v>
      </c>
      <c r="H50" s="12">
        <f>'APUS SANITARIAS'!J69</f>
        <v>200</v>
      </c>
      <c r="I50">
        <f>G50*H50</f>
        <v>2400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>
        <v>0.08</v>
      </c>
      <c r="F51" t="s">
        <v>154</v>
      </c>
      <c r="G51" s="21">
        <f>E51*$M$2</f>
        <v>0.8</v>
      </c>
      <c r="H51" s="12">
        <f>'APUS SANITARIAS'!J76</f>
        <v>537.21710399999995</v>
      </c>
      <c r="I51">
        <f>G51*H51</f>
        <v>429.77368319999999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>
        <f>35/42.5</f>
        <v>0.82352941176470584</v>
      </c>
      <c r="F53" t="s">
        <v>214</v>
      </c>
      <c r="G53" s="21">
        <f>E53*$M$2</f>
        <v>8.235294117647058</v>
      </c>
      <c r="H53" s="12">
        <f>'APUS SANITARIAS'!J108</f>
        <v>138.64527999999999</v>
      </c>
      <c r="I53">
        <f>G53*H53</f>
        <v>1141.7846588235291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>
        <f>35/42.5</f>
        <v>0.82352941176470584</v>
      </c>
      <c r="F54" t="s">
        <v>214</v>
      </c>
      <c r="G54" s="21">
        <f>E54*$M$2</f>
        <v>8.235294117647058</v>
      </c>
      <c r="H54" s="12">
        <f>'APUS SANITARIAS'!J127</f>
        <v>145.93577999999999</v>
      </c>
      <c r="I54">
        <f>G54*H54</f>
        <v>1201.8240705882351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>
        <f>35/42.5</f>
        <v>0.82352941176470584</v>
      </c>
      <c r="F55" t="s">
        <v>214</v>
      </c>
      <c r="G55" s="21">
        <f>E55*$M$2</f>
        <v>8.235294117647058</v>
      </c>
      <c r="H55" s="12">
        <f>'APUS SANITARIAS'!J145</f>
        <v>141.07118</v>
      </c>
      <c r="I55">
        <f>G55*H55</f>
        <v>1161.7626588235294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>
        <f>7/30</f>
        <v>0.23333333333333334</v>
      </c>
      <c r="F56" t="s">
        <v>149</v>
      </c>
      <c r="G56" s="21">
        <f>E56*$M$2</f>
        <v>2.3333333333333335</v>
      </c>
      <c r="H56" s="12">
        <f>'APUS SANITARIAS'!J163</f>
        <v>214.33091999999999</v>
      </c>
      <c r="I56">
        <f>G56*H56</f>
        <v>500.10548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>
        <f>7/30</f>
        <v>0.23333333333333334</v>
      </c>
      <c r="F57" t="s">
        <v>149</v>
      </c>
      <c r="G57" s="21">
        <f>E57*$M$2</f>
        <v>2.3333333333333335</v>
      </c>
      <c r="H57" s="12">
        <f>'APUS SANITARIAS'!J178</f>
        <v>101.51374313638702</v>
      </c>
      <c r="I57">
        <f>G57*H57</f>
        <v>236.86540065156973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f>14/30</f>
        <v>0.46666666666666667</v>
      </c>
      <c r="F59" t="s">
        <v>214</v>
      </c>
      <c r="G59" s="21">
        <f>E59*$M$2</f>
        <v>4.666666666666667</v>
      </c>
      <c r="H59" s="12">
        <f>'APUS ELECTRICAS'!J5</f>
        <v>121.04310400000001</v>
      </c>
      <c r="I59">
        <f>G59*H59</f>
        <v>564.86781866666672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f>14/30</f>
        <v>0.46666666666666667</v>
      </c>
      <c r="F60" t="s">
        <v>214</v>
      </c>
      <c r="G60" s="21">
        <f>E60*$M$2</f>
        <v>4.666666666666667</v>
      </c>
      <c r="H60" s="12">
        <f>'APUS ELECTRICAS'!J26</f>
        <v>163.73838000000001</v>
      </c>
      <c r="I60">
        <f>G60*H60</f>
        <v>764.11244000000011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f>14/30</f>
        <v>0.46666666666666667</v>
      </c>
      <c r="F61" t="s">
        <v>214</v>
      </c>
      <c r="G61" s="21">
        <f>E61*$M$2</f>
        <v>4.666666666666667</v>
      </c>
      <c r="H61" s="12">
        <f>'APUS ELECTRICAS'!J48</f>
        <v>118.30689999999998</v>
      </c>
      <c r="I61">
        <f>G61*H61</f>
        <v>552.09886666666659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6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6">
        <f>4/30</f>
        <v>0.13333333333333333</v>
      </c>
      <c r="F64" t="s">
        <v>149</v>
      </c>
      <c r="G64" s="21">
        <f>E64*$M$2</f>
        <v>1.3333333333333333</v>
      </c>
      <c r="H64" s="12">
        <f>'APUS ELECTRICAS'!J74</f>
        <v>396.14503200000001</v>
      </c>
      <c r="I64">
        <f>G64*H64</f>
        <v>528.19337599999994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6">
        <f>4/30</f>
        <v>0.13333333333333333</v>
      </c>
      <c r="F65" t="s">
        <v>149</v>
      </c>
      <c r="G65" s="21">
        <f>E65*$M$2</f>
        <v>1.3333333333333333</v>
      </c>
      <c r="H65" s="12">
        <f>'APUS ELECTRICAS'!J88</f>
        <v>105.9636</v>
      </c>
      <c r="I65">
        <f>G65*H65</f>
        <v>141.28479999999999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6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6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A22A-BCDF-453D-8619-05A9B316ED4A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'!D43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27359.757797268849</v>
      </c>
      <c r="L4" s="25" t="s">
        <v>1368</v>
      </c>
      <c r="M4" s="130">
        <f>J4/M2</f>
        <v>2735.9757797268849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f>((((2*6.95/2)+2.8+1.8+2.05+1.8+0.45)*3)-2.8*1)/30</f>
        <v>1.4916666666666669</v>
      </c>
      <c r="F6" s="63" t="s">
        <v>133</v>
      </c>
      <c r="G6" s="21">
        <f>E6*$M$2</f>
        <v>14.91666666666667</v>
      </c>
      <c r="H6" s="12">
        <f>'APUS ARQUITECTURA'!J5</f>
        <v>135.824337926792</v>
      </c>
      <c r="I6">
        <f>G6*H6</f>
        <v>2026.0463740746477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>
        <f>((1*6.95)*3)/30</f>
        <v>0.69500000000000006</v>
      </c>
      <c r="F7" s="63" t="s">
        <v>133</v>
      </c>
      <c r="G7" s="21">
        <f>E7*$M$2</f>
        <v>6.9500000000000011</v>
      </c>
      <c r="H7" s="12">
        <f>'APUS ARQUITECTURA'!J32</f>
        <v>150.06569999999999</v>
      </c>
      <c r="I7">
        <f>G7*H7</f>
        <v>1042.9566150000001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70">
        <f>(((3*1.4)+(4*0.9)+1.95+1.45+2+2)*1.9)/30</f>
        <v>0.96266666666666656</v>
      </c>
      <c r="F9" s="63" t="s">
        <v>133</v>
      </c>
      <c r="G9" s="21">
        <f>E9*$M$2</f>
        <v>9.6266666666666652</v>
      </c>
      <c r="H9" s="12">
        <f>'APUS ARQUITECTURA'!J74</f>
        <v>200.94213799999997</v>
      </c>
      <c r="I9">
        <f>G9*H9</f>
        <v>1934.4029818133326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70">
        <f>(2*1.5*0.5)/30</f>
        <v>0.05</v>
      </c>
      <c r="F10" s="63" t="s">
        <v>133</v>
      </c>
      <c r="G10" s="21">
        <f>E10*$M$2</f>
        <v>0.5</v>
      </c>
      <c r="H10" s="12">
        <f>'APUS ARQUITECTURA'!J92</f>
        <v>300.22795400000001</v>
      </c>
      <c r="I10">
        <f>G10*H10</f>
        <v>150.11397700000001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/>
      <c r="F13" t="s">
        <v>133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f>((6.95*3.3)+(2.8*2.3))/30</f>
        <v>0.97916666666666663</v>
      </c>
      <c r="F14" t="s">
        <v>133</v>
      </c>
      <c r="G14" s="21">
        <f>E14*$M$2</f>
        <v>9.7916666666666661</v>
      </c>
      <c r="H14" s="12">
        <f>'APUS ARQUITECTURA'!J148</f>
        <v>35.840962666666663</v>
      </c>
      <c r="I14">
        <f>G14*H14</f>
        <v>350.94275944444439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>
        <f>(((6.95+5.2+2.1+2.05+0.45+1.45+1.95+1.15+(0.75*4)+0.3)*3)+(2.8*2))/30</f>
        <v>2.6466666666666665</v>
      </c>
      <c r="F16" t="s">
        <v>133</v>
      </c>
      <c r="G16" s="21">
        <f>E16*$M$2</f>
        <v>26.466666666666665</v>
      </c>
      <c r="H16" s="12">
        <f>'APUS ARQUITECTURA'!J168</f>
        <v>90.825879999999998</v>
      </c>
      <c r="I16">
        <f>G16*H16</f>
        <v>2403.8582906666666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>
        <f>(((17.65*2)+6.95*2-(2*0.9))/(120))</f>
        <v>0.39499999999999996</v>
      </c>
      <c r="F33" t="s">
        <v>144</v>
      </c>
      <c r="G33" s="21">
        <f>E33*$M$2</f>
        <v>3.9499999999999997</v>
      </c>
      <c r="H33" s="12">
        <f>'APUS ARQUITECTURA'!J430</f>
        <v>84.438490000000002</v>
      </c>
      <c r="I33">
        <f>G33*H33</f>
        <v>333.53203550000001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69">
        <f>((0.9+0.6)*1.9+(1*2.1))/30</f>
        <v>0.16499999999999998</v>
      </c>
      <c r="F35" t="s">
        <v>133</v>
      </c>
      <c r="G35" s="21">
        <f>E35*$M$2</f>
        <v>1.65</v>
      </c>
      <c r="H35" s="12">
        <f>'APUS ARQUITECTURA'!J449</f>
        <v>560.62260000000003</v>
      </c>
      <c r="I35">
        <f>G35*H35</f>
        <v>925.02728999999999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>
        <f>2.8/30</f>
        <v>9.3333333333333324E-2</v>
      </c>
      <c r="F36" t="s">
        <v>133</v>
      </c>
      <c r="G36" s="21">
        <f>E36*$M$2</f>
        <v>0.93333333333333324</v>
      </c>
      <c r="H36" s="12">
        <f>'APUS ARQUITECTURA'!J456</f>
        <v>367.87083424090611</v>
      </c>
      <c r="I36">
        <f>G36*H36</f>
        <v>343.34611195817899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71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70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f>1.13+E19</f>
        <v>2.13</v>
      </c>
      <c r="F41" t="s">
        <v>133</v>
      </c>
      <c r="G41" s="21">
        <f>E41*$M$2</f>
        <v>21.299999999999997</v>
      </c>
      <c r="H41" s="12">
        <f>'APUS ARQUITECTURA'!J484</f>
        <v>15.625164000000002</v>
      </c>
      <c r="I41">
        <f>G41*H41</f>
        <v>332.81599319999998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f>E14</f>
        <v>0.97916666666666663</v>
      </c>
      <c r="F42" s="105" t="s">
        <v>133</v>
      </c>
      <c r="G42" s="21">
        <f>E42*$M$2</f>
        <v>9.7916666666666661</v>
      </c>
      <c r="H42" s="12">
        <f>'APUS ARQUITECTURA'!J504</f>
        <v>15.956285454545455</v>
      </c>
      <c r="I42">
        <f>G42*H42</f>
        <v>156.23862840909089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45">
        <f>30/42.5</f>
        <v>0.70588235294117652</v>
      </c>
      <c r="F44" t="s">
        <v>1388</v>
      </c>
      <c r="G44" s="21">
        <f>E44*$M$2</f>
        <v>7.0588235294117654</v>
      </c>
      <c r="H44" s="12">
        <f>'APUS SANITARIAS'!J5</f>
        <v>193.33333333333331</v>
      </c>
      <c r="I44">
        <f>G44*H44</f>
        <v>1364.7058823529412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1021</v>
      </c>
      <c r="E45" s="145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988</v>
      </c>
      <c r="E46" s="145">
        <f>30/42.5</f>
        <v>0.70588235294117652</v>
      </c>
      <c r="F46" t="s">
        <v>1388</v>
      </c>
      <c r="G46" s="21">
        <f>E46*$M$2</f>
        <v>7.0588235294117654</v>
      </c>
      <c r="H46" s="12">
        <f>'APUS SANITARIAS'!J19</f>
        <v>67.521666666666661</v>
      </c>
      <c r="I46">
        <f>G46*H46</f>
        <v>476.62352941176471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>
        <v>0.15</v>
      </c>
      <c r="F47" t="s">
        <v>154</v>
      </c>
      <c r="G47" s="21">
        <f>E47*$M$2</f>
        <v>1.5</v>
      </c>
      <c r="H47" s="12">
        <f>'APUS SANITARIAS'!J26</f>
        <v>750</v>
      </c>
      <c r="I47">
        <f>G47*H47</f>
        <v>1125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>
        <f>35/42.5</f>
        <v>0.82352941176470584</v>
      </c>
      <c r="F48" t="s">
        <v>214</v>
      </c>
      <c r="G48" s="21">
        <f>E48*$M$2</f>
        <v>8.235294117647058</v>
      </c>
      <c r="H48" s="12">
        <f>'APUS SANITARIAS'!J32</f>
        <v>131.73781333333332</v>
      </c>
      <c r="I48">
        <f>G48*H48</f>
        <v>1084.899639215686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>
        <f>8/30</f>
        <v>0.26666666666666666</v>
      </c>
      <c r="F49" t="s">
        <v>214</v>
      </c>
      <c r="G49" s="21">
        <f>E49*$M$2</f>
        <v>2.6666666666666665</v>
      </c>
      <c r="H49" s="12">
        <f>'APUS SANITARIAS'!J50</f>
        <v>210.60376000000002</v>
      </c>
      <c r="I49">
        <f>G49*H49</f>
        <v>561.61002666666673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>
        <v>1.2</v>
      </c>
      <c r="F50" t="s">
        <v>154</v>
      </c>
      <c r="G50" s="21">
        <f>E50*$M$2</f>
        <v>12</v>
      </c>
      <c r="H50" s="12">
        <f>'APUS SANITARIAS'!J69</f>
        <v>200</v>
      </c>
      <c r="I50">
        <f>G50*H50</f>
        <v>2400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>
        <v>0.08</v>
      </c>
      <c r="F51" t="s">
        <v>154</v>
      </c>
      <c r="G51" s="21">
        <f>E51*$M$2</f>
        <v>0.8</v>
      </c>
      <c r="H51" s="12">
        <f>'APUS SANITARIAS'!J76</f>
        <v>537.21710399999995</v>
      </c>
      <c r="I51">
        <f>G51*H51</f>
        <v>429.77368319999999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>
        <f>35/42.5</f>
        <v>0.82352941176470584</v>
      </c>
      <c r="F53" t="s">
        <v>214</v>
      </c>
      <c r="G53" s="21">
        <f>E53*$M$2</f>
        <v>8.235294117647058</v>
      </c>
      <c r="H53" s="12">
        <f>'APUS SANITARIAS'!J108</f>
        <v>138.64527999999999</v>
      </c>
      <c r="I53">
        <f>G53*H53</f>
        <v>1141.7846588235291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>
        <f>35/42.5</f>
        <v>0.82352941176470584</v>
      </c>
      <c r="F54" t="s">
        <v>214</v>
      </c>
      <c r="G54" s="21">
        <f>E54*$M$2</f>
        <v>8.235294117647058</v>
      </c>
      <c r="H54" s="12">
        <f>'APUS SANITARIAS'!J127</f>
        <v>145.93577999999999</v>
      </c>
      <c r="I54">
        <f>G54*H54</f>
        <v>1201.8240705882351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>
        <f>35/42.5</f>
        <v>0.82352941176470584</v>
      </c>
      <c r="F55" t="s">
        <v>214</v>
      </c>
      <c r="G55" s="21">
        <f>E55*$M$2</f>
        <v>8.235294117647058</v>
      </c>
      <c r="H55" s="12">
        <f>'APUS SANITARIAS'!J145</f>
        <v>141.07118</v>
      </c>
      <c r="I55">
        <f>G55*H55</f>
        <v>1161.7626588235294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>
        <f>7/30</f>
        <v>0.23333333333333334</v>
      </c>
      <c r="F56" t="s">
        <v>149</v>
      </c>
      <c r="G56" s="21">
        <f>E56*$M$2</f>
        <v>2.3333333333333335</v>
      </c>
      <c r="H56" s="12">
        <f>'APUS SANITARIAS'!J163</f>
        <v>214.33091999999999</v>
      </c>
      <c r="I56">
        <f>G56*H56</f>
        <v>500.10548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>
        <f>7/30</f>
        <v>0.23333333333333334</v>
      </c>
      <c r="F57" t="s">
        <v>149</v>
      </c>
      <c r="G57" s="21">
        <f>E57*$M$2</f>
        <v>2.3333333333333335</v>
      </c>
      <c r="H57" s="12">
        <f>'APUS SANITARIAS'!J178</f>
        <v>101.51374313638702</v>
      </c>
      <c r="I57">
        <f>G57*H57</f>
        <v>236.86540065156973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f>14/30</f>
        <v>0.46666666666666667</v>
      </c>
      <c r="F59" t="s">
        <v>214</v>
      </c>
      <c r="G59" s="21">
        <f>E59*$M$2</f>
        <v>4.666666666666667</v>
      </c>
      <c r="H59" s="12">
        <f>'APUS ELECTRICAS'!J5</f>
        <v>121.04310400000001</v>
      </c>
      <c r="I59">
        <f>G59*H59</f>
        <v>564.86781866666672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f>14/30</f>
        <v>0.46666666666666667</v>
      </c>
      <c r="F60" t="s">
        <v>214</v>
      </c>
      <c r="G60" s="21">
        <f>E60*$M$2</f>
        <v>4.666666666666667</v>
      </c>
      <c r="H60" s="12">
        <f>'APUS ELECTRICAS'!J26</f>
        <v>163.73838000000001</v>
      </c>
      <c r="I60">
        <f>G60*H60</f>
        <v>764.11244000000011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f>14/30</f>
        <v>0.46666666666666667</v>
      </c>
      <c r="F61" t="s">
        <v>214</v>
      </c>
      <c r="G61" s="21">
        <f>E61*$M$2</f>
        <v>4.666666666666667</v>
      </c>
      <c r="H61" s="12">
        <f>'APUS ELECTRICAS'!J48</f>
        <v>118.30689999999998</v>
      </c>
      <c r="I61">
        <f>G61*H61</f>
        <v>552.09886666666659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6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6">
        <f>4/30</f>
        <v>0.13333333333333333</v>
      </c>
      <c r="F64" t="s">
        <v>149</v>
      </c>
      <c r="G64" s="21">
        <f>E64*$M$2</f>
        <v>1.3333333333333333</v>
      </c>
      <c r="H64" s="12">
        <f>'APUS ELECTRICAS'!J74</f>
        <v>396.14503200000001</v>
      </c>
      <c r="I64">
        <f>G64*H64</f>
        <v>528.19337599999994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6">
        <f>4/30</f>
        <v>0.13333333333333333</v>
      </c>
      <c r="F65" t="s">
        <v>149</v>
      </c>
      <c r="G65" s="21">
        <f>E65*$M$2</f>
        <v>1.3333333333333333</v>
      </c>
      <c r="H65" s="12">
        <f>'APUS ELECTRICAS'!J88</f>
        <v>105.9636</v>
      </c>
      <c r="I65">
        <f>G65*H65</f>
        <v>141.28479999999999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6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6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C269-FC5B-48AC-B611-715046A5B127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'!D44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20344.784531751498</v>
      </c>
      <c r="L4" s="25" t="s">
        <v>1368</v>
      </c>
      <c r="M4" s="130">
        <f>J4/M2</f>
        <v>2034.4784531751498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v>1.5500000000000003</v>
      </c>
      <c r="F6" s="63" t="s">
        <v>133</v>
      </c>
      <c r="G6" s="21">
        <f>E6*$M$2</f>
        <v>15.500000000000004</v>
      </c>
      <c r="H6" s="12">
        <f>'APUS ARQUITECTURA'!J5</f>
        <v>135.824337926792</v>
      </c>
      <c r="I6">
        <f>G6*H6</f>
        <v>2105.2772378652762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/>
      <c r="F7" s="63" t="s">
        <v>133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65">
        <v>0.75294117647058822</v>
      </c>
      <c r="F9" s="63" t="s">
        <v>133</v>
      </c>
      <c r="G9" s="21">
        <f>E9*$M$2</f>
        <v>7.5294117647058822</v>
      </c>
      <c r="H9" s="12">
        <f>'APUS ARQUITECTURA'!J74</f>
        <v>200.94213799999997</v>
      </c>
      <c r="I9">
        <f>G9*H9</f>
        <v>1512.9760978823526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65">
        <v>7.0588235294117646E-2</v>
      </c>
      <c r="F10" s="63" t="s">
        <v>133</v>
      </c>
      <c r="G10" s="21">
        <f>E10*$M$2</f>
        <v>0.70588235294117641</v>
      </c>
      <c r="H10" s="12">
        <f>'APUS ARQUITECTURA'!J92</f>
        <v>300.22795400000001</v>
      </c>
      <c r="I10">
        <f>G10*H10</f>
        <v>211.92561458823528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/>
      <c r="F13" t="s">
        <v>133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v>0.62117647058823522</v>
      </c>
      <c r="F14" t="s">
        <v>133</v>
      </c>
      <c r="G14" s="21">
        <f>E14*$M$2</f>
        <v>6.2117647058823522</v>
      </c>
      <c r="H14" s="12">
        <f>'APUS ARQUITECTURA'!J148</f>
        <v>35.840962666666663</v>
      </c>
      <c r="I14">
        <f>G14*H14</f>
        <v>222.63562691764702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>
        <v>1.6840294117647061</v>
      </c>
      <c r="F16" t="s">
        <v>133</v>
      </c>
      <c r="G16" s="21">
        <f>E16*$M$2</f>
        <v>16.840294117647062</v>
      </c>
      <c r="H16" s="12">
        <f>'APUS ARQUITECTURA'!J168</f>
        <v>90.825879999999998</v>
      </c>
      <c r="I16">
        <f>G16*H16</f>
        <v>1529.5345326941178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69">
        <v>0.26509803921568625</v>
      </c>
      <c r="F35" t="s">
        <v>133</v>
      </c>
      <c r="G35" s="21">
        <f>E35*$M$2</f>
        <v>2.6509803921568627</v>
      </c>
      <c r="H35" s="12">
        <f>'APUS ARQUITECTURA'!J449</f>
        <v>560.62260000000003</v>
      </c>
      <c r="I35">
        <f>G35*H35</f>
        <v>1486.1995200000001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/>
      <c r="F36" t="s">
        <v>133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67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65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v>1.0645833333333334</v>
      </c>
      <c r="F41" t="s">
        <v>133</v>
      </c>
      <c r="G41" s="21">
        <f>E41*$M$2</f>
        <v>10.645833333333334</v>
      </c>
      <c r="H41" s="12">
        <f>'APUS ARQUITECTURA'!J484</f>
        <v>15.625164000000002</v>
      </c>
      <c r="I41">
        <f>G41*H41</f>
        <v>166.34289175000004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v>0.62117647058823522</v>
      </c>
      <c r="F42" s="105" t="s">
        <v>133</v>
      </c>
      <c r="G42" s="21">
        <f>E42*$M$2</f>
        <v>6.2117647058823522</v>
      </c>
      <c r="H42" s="12">
        <f>'APUS ARQUITECTURA'!J504</f>
        <v>15.956285454545455</v>
      </c>
      <c r="I42">
        <f>G42*H42</f>
        <v>99.116690823529396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45">
        <v>0.35294117647058826</v>
      </c>
      <c r="F44" t="s">
        <v>1388</v>
      </c>
      <c r="G44" s="21">
        <f>E44*$M$2</f>
        <v>3.5294117647058827</v>
      </c>
      <c r="H44" s="12">
        <f>'APUS SANITARIAS'!J5</f>
        <v>193.33333333333331</v>
      </c>
      <c r="I44">
        <f>G44*H44</f>
        <v>682.35294117647061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45">
        <v>0.35294117647058826</v>
      </c>
      <c r="F45" t="s">
        <v>1388</v>
      </c>
      <c r="G45" s="21">
        <f>E45*$M$2</f>
        <v>3.5294117647058827</v>
      </c>
      <c r="H45" s="12">
        <f>'APUS SANITARIAS'!J12</f>
        <v>192.42</v>
      </c>
      <c r="I45">
        <f>G45*H45</f>
        <v>679.12941176470588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45">
        <v>0.35294117647058826</v>
      </c>
      <c r="F46" t="s">
        <v>1388</v>
      </c>
      <c r="G46" s="21">
        <f>E46*$M$2</f>
        <v>3.5294117647058827</v>
      </c>
      <c r="H46" s="12">
        <f>'APUS SANITARIAS'!J19</f>
        <v>67.521666666666661</v>
      </c>
      <c r="I46">
        <f>G46*H46</f>
        <v>238.31176470588235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>
        <v>0.62745098039215685</v>
      </c>
      <c r="F48" t="s">
        <v>214</v>
      </c>
      <c r="G48" s="21">
        <f>E48*$M$2</f>
        <v>6.2745098039215685</v>
      </c>
      <c r="H48" s="12">
        <f>'APUS SANITARIAS'!J32</f>
        <v>131.73781333333332</v>
      </c>
      <c r="I48">
        <f>G48*H48</f>
        <v>826.59020130718943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>
        <v>0.15686274509803921</v>
      </c>
      <c r="F49" t="s">
        <v>214</v>
      </c>
      <c r="G49" s="21">
        <f>E49*$M$2</f>
        <v>1.5686274509803921</v>
      </c>
      <c r="H49" s="12">
        <f>'APUS SANITARIAS'!J50</f>
        <v>210.60376000000002</v>
      </c>
      <c r="I49">
        <f>G49*H49</f>
        <v>330.35883921568632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>
        <v>0.5490196078431373</v>
      </c>
      <c r="F53" t="s">
        <v>214</v>
      </c>
      <c r="G53" s="21">
        <f>E53*$M$2</f>
        <v>5.4901960784313726</v>
      </c>
      <c r="H53" s="12">
        <f>'APUS SANITARIAS'!J108</f>
        <v>138.64527999999999</v>
      </c>
      <c r="I53">
        <f>G53*H53</f>
        <v>761.18977254901949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>
        <v>0.5490196078431373</v>
      </c>
      <c r="F54" t="s">
        <v>214</v>
      </c>
      <c r="G54" s="21">
        <f>E54*$M$2</f>
        <v>5.4901960784313726</v>
      </c>
      <c r="H54" s="12">
        <f>'APUS SANITARIAS'!J127</f>
        <v>145.93577999999999</v>
      </c>
      <c r="I54">
        <f>G54*H54</f>
        <v>801.21604705882351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>
        <v>0.5490196078431373</v>
      </c>
      <c r="F55" t="s">
        <v>214</v>
      </c>
      <c r="G55" s="21">
        <f>E55*$M$2</f>
        <v>5.4901960784313726</v>
      </c>
      <c r="H55" s="12">
        <f>'APUS SANITARIAS'!J145</f>
        <v>141.07118</v>
      </c>
      <c r="I55">
        <f>G55*H55</f>
        <v>774.50843921568628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>
        <v>0.11764705882352941</v>
      </c>
      <c r="F56" t="s">
        <v>149</v>
      </c>
      <c r="G56" s="21">
        <f>E56*$M$2</f>
        <v>1.1764705882352942</v>
      </c>
      <c r="H56" s="12">
        <f>'APUS SANITARIAS'!J163</f>
        <v>214.33091999999999</v>
      </c>
      <c r="I56">
        <f>G56*H56</f>
        <v>252.15402352941177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>
        <v>0.11764705882352941</v>
      </c>
      <c r="F57" t="s">
        <v>149</v>
      </c>
      <c r="G57" s="21">
        <f>E57*$M$2</f>
        <v>1.1764705882352942</v>
      </c>
      <c r="H57" s="12">
        <f>'APUS SANITARIAS'!J178</f>
        <v>101.51374313638702</v>
      </c>
      <c r="I57">
        <f>G57*H57</f>
        <v>119.42793310163179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v>0.70588235294117652</v>
      </c>
      <c r="F59" t="s">
        <v>214</v>
      </c>
      <c r="G59" s="21">
        <f>E59*$M$2</f>
        <v>7.0588235294117654</v>
      </c>
      <c r="H59" s="12">
        <f>'APUS ELECTRICAS'!J5</f>
        <v>121.04310400000001</v>
      </c>
      <c r="I59">
        <f>G59*H59</f>
        <v>854.42191058823551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v>0.70588235294117652</v>
      </c>
      <c r="F60" t="s">
        <v>214</v>
      </c>
      <c r="G60" s="21">
        <f>E60*$M$2</f>
        <v>7.0588235294117654</v>
      </c>
      <c r="H60" s="12">
        <f>'APUS ELECTRICAS'!J26</f>
        <v>163.73838000000001</v>
      </c>
      <c r="I60">
        <f>G60*H60</f>
        <v>1155.8003294117648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v>0.70588235294117652</v>
      </c>
      <c r="F61" t="s">
        <v>214</v>
      </c>
      <c r="G61" s="21">
        <f>E61*$M$2</f>
        <v>7.0588235294117654</v>
      </c>
      <c r="H61" s="12">
        <f>'APUS ELECTRICAS'!J48</f>
        <v>118.30689999999998</v>
      </c>
      <c r="I61">
        <f>G61*H61</f>
        <v>835.10752941176463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5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5">
        <v>0.31372549019607843</v>
      </c>
      <c r="F64" t="s">
        <v>149</v>
      </c>
      <c r="G64" s="21">
        <f>E64*$M$2</f>
        <v>3.1372549019607843</v>
      </c>
      <c r="H64" s="12">
        <f>'APUS ELECTRICAS'!J74</f>
        <v>396.14503200000001</v>
      </c>
      <c r="I64">
        <f>G64*H64</f>
        <v>1242.8079435294119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5">
        <v>0.31372549019607843</v>
      </c>
      <c r="F65" t="s">
        <v>149</v>
      </c>
      <c r="G65" s="21">
        <f>E65*$M$2</f>
        <v>3.1372549019607843</v>
      </c>
      <c r="H65" s="12">
        <f>'APUS ELECTRICAS'!J88</f>
        <v>105.9636</v>
      </c>
      <c r="I65">
        <f>G65*H65</f>
        <v>332.43482352941174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5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5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1799-7901-40DE-AF86-9CE1C03DD81F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'!D45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19665.65511998679</v>
      </c>
      <c r="L4" s="25" t="s">
        <v>1368</v>
      </c>
      <c r="M4" s="130">
        <f>J4/M2</f>
        <v>1966.5655119986791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v>1.5500000000000003</v>
      </c>
      <c r="F6" s="63" t="s">
        <v>133</v>
      </c>
      <c r="G6" s="21">
        <f>E6*$M$2</f>
        <v>15.500000000000004</v>
      </c>
      <c r="H6" s="12">
        <f>'APUS ARQUITECTURA'!J5</f>
        <v>135.824337926792</v>
      </c>
      <c r="I6">
        <f>G6*H6</f>
        <v>2105.2772378652762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/>
      <c r="F7" s="63" t="s">
        <v>133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48">
        <v>0.75294117647058822</v>
      </c>
      <c r="F9" s="63" t="s">
        <v>133</v>
      </c>
      <c r="G9" s="21">
        <f>E9*$M$2</f>
        <v>7.5294117647058822</v>
      </c>
      <c r="H9" s="12">
        <f>'APUS ARQUITECTURA'!J74</f>
        <v>200.94213799999997</v>
      </c>
      <c r="I9">
        <f>G9*H9</f>
        <v>1512.9760978823526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48">
        <v>7.0588235294117646E-2</v>
      </c>
      <c r="F10" s="63" t="s">
        <v>133</v>
      </c>
      <c r="G10" s="21">
        <f>E10*$M$2</f>
        <v>0.70588235294117641</v>
      </c>
      <c r="H10" s="12">
        <f>'APUS ARQUITECTURA'!J92</f>
        <v>300.22795400000001</v>
      </c>
      <c r="I10">
        <f>G10*H10</f>
        <v>211.92561458823528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/>
      <c r="F13" t="s">
        <v>133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v>0.62117647058823522</v>
      </c>
      <c r="F14" t="s">
        <v>133</v>
      </c>
      <c r="G14" s="21">
        <f>E14*$M$2</f>
        <v>6.2117647058823522</v>
      </c>
      <c r="H14" s="12">
        <f>'APUS ARQUITECTURA'!J148</f>
        <v>35.840962666666663</v>
      </c>
      <c r="I14">
        <f>G14*H14</f>
        <v>222.63562691764702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>
        <v>1.6840294117647061</v>
      </c>
      <c r="F16" t="s">
        <v>133</v>
      </c>
      <c r="G16" s="21">
        <f>E16*$M$2</f>
        <v>16.840294117647062</v>
      </c>
      <c r="H16" s="12">
        <f>'APUS ARQUITECTURA'!J168</f>
        <v>90.825879999999998</v>
      </c>
      <c r="I16">
        <f>G16*H16</f>
        <v>1529.5345326941178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52">
        <v>0.26509803921568625</v>
      </c>
      <c r="F35" t="s">
        <v>133</v>
      </c>
      <c r="G35" s="21">
        <f>E35*$M$2</f>
        <v>2.6509803921568627</v>
      </c>
      <c r="H35" s="12">
        <f>'APUS ARQUITECTURA'!J449</f>
        <v>560.62260000000003</v>
      </c>
      <c r="I35">
        <f>G35*H35</f>
        <v>1486.1995200000001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/>
      <c r="F36" t="s">
        <v>133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55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48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v>1.0645833333333334</v>
      </c>
      <c r="F41" t="s">
        <v>133</v>
      </c>
      <c r="G41" s="21">
        <f>E41*$M$2</f>
        <v>10.645833333333334</v>
      </c>
      <c r="H41" s="12">
        <f>'APUS ARQUITECTURA'!J484</f>
        <v>15.625164000000002</v>
      </c>
      <c r="I41">
        <f>G41*H41</f>
        <v>166.34289175000004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v>0.62117647058823522</v>
      </c>
      <c r="F42" s="105" t="s">
        <v>133</v>
      </c>
      <c r="G42" s="21">
        <f>E42*$M$2</f>
        <v>6.2117647058823522</v>
      </c>
      <c r="H42" s="12">
        <f>'APUS ARQUITECTURA'!J504</f>
        <v>15.956285454545455</v>
      </c>
      <c r="I42">
        <f>G42*H42</f>
        <v>99.116690823529396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45">
        <v>0.35294117647058826</v>
      </c>
      <c r="F44" t="s">
        <v>1388</v>
      </c>
      <c r="G44" s="21">
        <f>E44*$M$2</f>
        <v>3.5294117647058827</v>
      </c>
      <c r="H44" s="12">
        <f>'APUS SANITARIAS'!J5</f>
        <v>193.33333333333331</v>
      </c>
      <c r="I44">
        <f>G44*H44</f>
        <v>682.35294117647061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1021</v>
      </c>
      <c r="E45" s="145"/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45">
        <v>0.35294117647058826</v>
      </c>
      <c r="F46" t="s">
        <v>1388</v>
      </c>
      <c r="G46" s="21">
        <f>E46*$M$2</f>
        <v>3.5294117647058827</v>
      </c>
      <c r="H46" s="12">
        <f>'APUS SANITARIAS'!J19</f>
        <v>67.521666666666661</v>
      </c>
      <c r="I46">
        <f>G46*H46</f>
        <v>238.31176470588235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>
        <v>0.62745098039215685</v>
      </c>
      <c r="F48" t="s">
        <v>214</v>
      </c>
      <c r="G48" s="21">
        <f>E48*$M$2</f>
        <v>6.2745098039215685</v>
      </c>
      <c r="H48" s="12">
        <f>'APUS SANITARIAS'!J32</f>
        <v>131.73781333333332</v>
      </c>
      <c r="I48">
        <f>G48*H48</f>
        <v>826.59020130718943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>
        <v>0.15686274509803921</v>
      </c>
      <c r="F49" t="s">
        <v>214</v>
      </c>
      <c r="G49" s="21">
        <f>E49*$M$2</f>
        <v>1.5686274509803921</v>
      </c>
      <c r="H49" s="12">
        <f>'APUS SANITARIAS'!J50</f>
        <v>210.60376000000002</v>
      </c>
      <c r="I49">
        <f>G49*H49</f>
        <v>330.35883921568632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>
        <v>0.5490196078431373</v>
      </c>
      <c r="F53" t="s">
        <v>214</v>
      </c>
      <c r="G53" s="21">
        <f>E53*$M$2</f>
        <v>5.4901960784313726</v>
      </c>
      <c r="H53" s="12">
        <f>'APUS SANITARIAS'!J108</f>
        <v>138.64527999999999</v>
      </c>
      <c r="I53">
        <f>G53*H53</f>
        <v>761.18977254901949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>
        <v>0.5490196078431373</v>
      </c>
      <c r="F54" t="s">
        <v>214</v>
      </c>
      <c r="G54" s="21">
        <f>E54*$M$2</f>
        <v>5.4901960784313726</v>
      </c>
      <c r="H54" s="12">
        <f>'APUS SANITARIAS'!J127</f>
        <v>145.93577999999999</v>
      </c>
      <c r="I54">
        <f>G54*H54</f>
        <v>801.21604705882351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>
        <v>0.5490196078431373</v>
      </c>
      <c r="F55" t="s">
        <v>214</v>
      </c>
      <c r="G55" s="21">
        <f>E55*$M$2</f>
        <v>5.4901960784313726</v>
      </c>
      <c r="H55" s="12">
        <f>'APUS SANITARIAS'!J145</f>
        <v>141.07118</v>
      </c>
      <c r="I55">
        <f>G55*H55</f>
        <v>774.50843921568628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>
        <v>0.11764705882352941</v>
      </c>
      <c r="F56" t="s">
        <v>149</v>
      </c>
      <c r="G56" s="21">
        <f>E56*$M$2</f>
        <v>1.1764705882352942</v>
      </c>
      <c r="H56" s="12">
        <f>'APUS SANITARIAS'!J163</f>
        <v>214.33091999999999</v>
      </c>
      <c r="I56">
        <f>G56*H56</f>
        <v>252.15402352941177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>
        <v>0.11764705882352941</v>
      </c>
      <c r="F57" t="s">
        <v>149</v>
      </c>
      <c r="G57" s="21">
        <f>E57*$M$2</f>
        <v>1.1764705882352942</v>
      </c>
      <c r="H57" s="12">
        <f>'APUS SANITARIAS'!J178</f>
        <v>101.51374313638702</v>
      </c>
      <c r="I57">
        <f>G57*H57</f>
        <v>119.42793310163179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v>0.70588235294117652</v>
      </c>
      <c r="F59" t="s">
        <v>214</v>
      </c>
      <c r="G59" s="21">
        <f>E59*$M$2</f>
        <v>7.0588235294117654</v>
      </c>
      <c r="H59" s="12">
        <f>'APUS ELECTRICAS'!J5</f>
        <v>121.04310400000001</v>
      </c>
      <c r="I59">
        <f>G59*H59</f>
        <v>854.42191058823551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v>0.70588235294117652</v>
      </c>
      <c r="F60" t="s">
        <v>214</v>
      </c>
      <c r="G60" s="21">
        <f>E60*$M$2</f>
        <v>7.0588235294117654</v>
      </c>
      <c r="H60" s="12">
        <f>'APUS ELECTRICAS'!J26</f>
        <v>163.73838000000001</v>
      </c>
      <c r="I60">
        <f>G60*H60</f>
        <v>1155.8003294117648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v>0.70588235294117652</v>
      </c>
      <c r="F61" t="s">
        <v>214</v>
      </c>
      <c r="G61" s="21">
        <f>E61*$M$2</f>
        <v>7.0588235294117654</v>
      </c>
      <c r="H61" s="12">
        <f>'APUS ELECTRICAS'!J48</f>
        <v>118.30689999999998</v>
      </c>
      <c r="I61">
        <f>G61*H61</f>
        <v>835.10752941176463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5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5">
        <v>0.31372549019607843</v>
      </c>
      <c r="F64" t="s">
        <v>149</v>
      </c>
      <c r="G64" s="21">
        <f>E64*$M$2</f>
        <v>3.1372549019607843</v>
      </c>
      <c r="H64" s="12">
        <f>'APUS ELECTRICAS'!J74</f>
        <v>396.14503200000001</v>
      </c>
      <c r="I64">
        <f>G64*H64</f>
        <v>1242.8079435294119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5">
        <v>0.31372549019607843</v>
      </c>
      <c r="F65" t="s">
        <v>149</v>
      </c>
      <c r="G65" s="21">
        <f>E65*$M$2</f>
        <v>3.1372549019607843</v>
      </c>
      <c r="H65" s="12">
        <f>'APUS ELECTRICAS'!J88</f>
        <v>105.9636</v>
      </c>
      <c r="I65">
        <f>G65*H65</f>
        <v>332.43482352941174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5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5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FB00-D82A-4281-992D-E941A1975B78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'!D46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19363.934076253321</v>
      </c>
      <c r="L4" s="25" t="s">
        <v>1368</v>
      </c>
      <c r="M4" s="130">
        <f>J4/M2</f>
        <v>1936.3934076253322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((2*2.25*3)-(1*2)-(0.75*2.1))/9</f>
        <v>1.1027777777777779</v>
      </c>
      <c r="F6" s="63" t="s">
        <v>133</v>
      </c>
      <c r="G6" s="21">
        <f>E6*$M$2</f>
        <v>11.027777777777779</v>
      </c>
      <c r="H6" s="12">
        <f>'APUS ARQUITECTURA'!J5</f>
        <v>135.824337926792</v>
      </c>
      <c r="I6">
        <f>G6*H6</f>
        <v>1497.8406154704562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>
        <f>(2*(4/2)*3)/9</f>
        <v>1.3333333333333333</v>
      </c>
      <c r="F7" s="63" t="s">
        <v>133</v>
      </c>
      <c r="G7" s="21">
        <f>E7*$M$2</f>
        <v>13.333333333333332</v>
      </c>
      <c r="H7" s="12">
        <f>'APUS ARQUITECTURA'!J32</f>
        <v>150.06569999999999</v>
      </c>
      <c r="I7">
        <f>G7*H7</f>
        <v>2000.8759999999997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v>2.84</v>
      </c>
      <c r="F13" t="s">
        <v>133</v>
      </c>
      <c r="G13" s="21">
        <f>E13*$M$2</f>
        <v>28.4</v>
      </c>
      <c r="H13" s="12">
        <f>'APUS ARQUITECTURA'!J127</f>
        <v>27.122965133333338</v>
      </c>
      <c r="I13">
        <f>G13*H13</f>
        <v>770.29220978666672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((2*2.25*3.3)-(2*1)-(0.75*1))/9</f>
        <v>1.3444444444444443</v>
      </c>
      <c r="F14" t="s">
        <v>133</v>
      </c>
      <c r="G14" s="21">
        <f>E14*$M$2</f>
        <v>13.444444444444443</v>
      </c>
      <c r="H14" s="12">
        <f>'APUS ARQUITECTURA'!J148</f>
        <v>35.840962666666663</v>
      </c>
      <c r="I14">
        <f>G14*H14</f>
        <v>481.86183140740729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>
        <f>(2*(2.25+4)*3)/9</f>
        <v>4.166666666666667</v>
      </c>
      <c r="F16" t="s">
        <v>133</v>
      </c>
      <c r="G16" s="21">
        <f>E16*$M$2</f>
        <v>41.666666666666671</v>
      </c>
      <c r="H16" s="12">
        <f>'APUS ARQUITECTURA'!J168</f>
        <v>90.825879999999998</v>
      </c>
      <c r="I16">
        <f>G16*H16</f>
        <v>3784.4116666666669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>
        <f>(((17.65*2)+6.95*2-(2*0.9))/(120))</f>
        <v>0.39499999999999996</v>
      </c>
      <c r="F33" t="s">
        <v>144</v>
      </c>
      <c r="G33" s="21">
        <f>E33*$M$2</f>
        <v>3.9499999999999997</v>
      </c>
      <c r="H33" s="12">
        <f>'APUS ARQUITECTURA'!J430</f>
        <v>84.438490000000002</v>
      </c>
      <c r="I33">
        <f>G33*H33</f>
        <v>333.53203550000001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v>0.16</v>
      </c>
      <c r="F35" t="s">
        <v>133</v>
      </c>
      <c r="G35" s="21">
        <f>E35*$M$2</f>
        <v>1.6</v>
      </c>
      <c r="H35" s="12">
        <f>'APUS ARQUITECTURA'!J449</f>
        <v>560.62260000000003</v>
      </c>
      <c r="I35">
        <f>G35*H35</f>
        <v>896.99616000000015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(1*2)/9</f>
        <v>0.22222222222222221</v>
      </c>
      <c r="F36" t="s">
        <v>133</v>
      </c>
      <c r="G36" s="21">
        <f>E36*$M$2</f>
        <v>2.2222222222222223</v>
      </c>
      <c r="H36" s="12">
        <f>'APUS ARQUITECTURA'!J456</f>
        <v>367.87083424090611</v>
      </c>
      <c r="I36">
        <f>G36*H36</f>
        <v>817.49074275756914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v>2.84</v>
      </c>
      <c r="F41" t="s">
        <v>133</v>
      </c>
      <c r="G41" s="21">
        <f>E41*$M$2</f>
        <v>28.4</v>
      </c>
      <c r="H41" s="12">
        <f>'APUS ARQUITECTURA'!J484</f>
        <v>15.625164000000002</v>
      </c>
      <c r="I41">
        <f>G41*H41</f>
        <v>443.75465760000003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1.3444444444444443</v>
      </c>
      <c r="F42" s="105" t="s">
        <v>133</v>
      </c>
      <c r="G42" s="21">
        <f>E42*$M$2</f>
        <v>13.444444444444443</v>
      </c>
      <c r="H42" s="12">
        <f>'APUS ARQUITECTURA'!J504</f>
        <v>15.956285454545455</v>
      </c>
      <c r="I42">
        <f>G42*H42</f>
        <v>214.5233933333333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984</v>
      </c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986</v>
      </c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>
        <f>1/9</f>
        <v>0.1111111111111111</v>
      </c>
      <c r="F46" t="s">
        <v>1388</v>
      </c>
      <c r="G46" s="21">
        <f>E46*$M$2</f>
        <v>1.1111111111111112</v>
      </c>
      <c r="H46" s="12">
        <f>'APUS SANITARIAS'!J19</f>
        <v>67.521666666666661</v>
      </c>
      <c r="I46">
        <f>G46*H46</f>
        <v>75.024074074074065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>
        <f>1/9</f>
        <v>0.1111111111111111</v>
      </c>
      <c r="F48" t="s">
        <v>214</v>
      </c>
      <c r="G48" s="21">
        <f>E48*$M$2</f>
        <v>1.1111111111111112</v>
      </c>
      <c r="H48" s="12">
        <f>'APUS SANITARIAS'!J32</f>
        <v>131.73781333333332</v>
      </c>
      <c r="I48">
        <f>G48*H48</f>
        <v>146.37534814814813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>
        <f>1/9</f>
        <v>0.1111111111111111</v>
      </c>
      <c r="F49" t="s">
        <v>214</v>
      </c>
      <c r="G49" s="21">
        <f>E49*$M$2</f>
        <v>1.1111111111111112</v>
      </c>
      <c r="H49" s="12">
        <f>'APUS SANITARIAS'!J50</f>
        <v>210.60376000000002</v>
      </c>
      <c r="I49">
        <f>G49*H49</f>
        <v>234.00417777777781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>
        <f>2/9</f>
        <v>0.22222222222222221</v>
      </c>
      <c r="F53" t="s">
        <v>214</v>
      </c>
      <c r="G53" s="21">
        <f>E53*$M$2</f>
        <v>2.2222222222222223</v>
      </c>
      <c r="H53" s="12">
        <f>'APUS SANITARIAS'!J108</f>
        <v>138.64527999999999</v>
      </c>
      <c r="I53">
        <f>G53*H53</f>
        <v>308.10062222222223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>
        <f t="shared" ref="E54:E55" si="0">2/9</f>
        <v>0.22222222222222221</v>
      </c>
      <c r="F54" t="s">
        <v>214</v>
      </c>
      <c r="G54" s="21">
        <f>E54*$M$2</f>
        <v>2.2222222222222223</v>
      </c>
      <c r="H54" s="12">
        <f>'APUS SANITARIAS'!J127</f>
        <v>145.93577999999999</v>
      </c>
      <c r="I54">
        <f>G54*H54</f>
        <v>324.30173333333335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>
        <f t="shared" si="0"/>
        <v>0.22222222222222221</v>
      </c>
      <c r="F55" t="s">
        <v>214</v>
      </c>
      <c r="G55" s="21">
        <f>E55*$M$2</f>
        <v>2.2222222222222223</v>
      </c>
      <c r="H55" s="12">
        <f>'APUS SANITARIAS'!J145</f>
        <v>141.07118</v>
      </c>
      <c r="I55">
        <f>G55*H55</f>
        <v>313.49151111111109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>
        <f>1/9</f>
        <v>0.1111111111111111</v>
      </c>
      <c r="F56" t="s">
        <v>149</v>
      </c>
      <c r="G56" s="21">
        <f>E56*$M$2</f>
        <v>1.1111111111111112</v>
      </c>
      <c r="H56" s="12">
        <f>'APUS SANITARIAS'!J163</f>
        <v>214.33091999999999</v>
      </c>
      <c r="I56">
        <f>G56*H56</f>
        <v>238.14546666666666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>
        <f>1/9</f>
        <v>0.1111111111111111</v>
      </c>
      <c r="F57" t="s">
        <v>149</v>
      </c>
      <c r="G57" s="21">
        <f>E57*$M$2</f>
        <v>1.1111111111111112</v>
      </c>
      <c r="H57" s="12">
        <f>'APUS SANITARIAS'!J178</f>
        <v>101.51374313638702</v>
      </c>
      <c r="I57">
        <f>G57*H57</f>
        <v>112.79304792931892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6/9</f>
        <v>0.66666666666666663</v>
      </c>
      <c r="F59" t="s">
        <v>214</v>
      </c>
      <c r="G59" s="21">
        <f>E59*$M$2</f>
        <v>6.6666666666666661</v>
      </c>
      <c r="H59" s="12">
        <f>'APUS ELECTRICAS'!J5</f>
        <v>121.04310400000001</v>
      </c>
      <c r="I59">
        <f>G59*H59</f>
        <v>806.95402666666666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6/9</f>
        <v>0.66666666666666663</v>
      </c>
      <c r="F60" t="s">
        <v>214</v>
      </c>
      <c r="G60" s="21">
        <f>E60*$M$2</f>
        <v>6.6666666666666661</v>
      </c>
      <c r="H60" s="12">
        <f>'APUS ELECTRICAS'!J26</f>
        <v>163.73838000000001</v>
      </c>
      <c r="I60">
        <f>G60*H60</f>
        <v>1091.5891999999999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6/9</f>
        <v>0.66666666666666663</v>
      </c>
      <c r="F61" t="s">
        <v>214</v>
      </c>
      <c r="G61" s="21">
        <f>E61*$M$2</f>
        <v>6.6666666666666661</v>
      </c>
      <c r="H61" s="12">
        <f>'APUS ELECTRICAS'!J48</f>
        <v>118.30689999999998</v>
      </c>
      <c r="I61">
        <f>G61*H61</f>
        <v>788.71266666666645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1/9</f>
        <v>0.1111111111111111</v>
      </c>
      <c r="F64" t="s">
        <v>149</v>
      </c>
      <c r="G64" s="21">
        <f>E64*$M$2</f>
        <v>1.1111111111111112</v>
      </c>
      <c r="H64" s="12">
        <f>'APUS ELECTRICAS'!J74</f>
        <v>396.14503200000001</v>
      </c>
      <c r="I64">
        <f>G64*H64</f>
        <v>440.1611466666667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1/9</f>
        <v>0.1111111111111111</v>
      </c>
      <c r="F65" t="s">
        <v>149</v>
      </c>
      <c r="G65" s="21">
        <f>E65*$M$2</f>
        <v>1.1111111111111112</v>
      </c>
      <c r="H65" s="12">
        <f>'APUS ELECTRICAS'!J88</f>
        <v>105.9636</v>
      </c>
      <c r="I65">
        <f>G65*H65</f>
        <v>117.73733333333334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99E6-0861-40DB-80CF-95BC789275CF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'!D47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19363.934076253321</v>
      </c>
      <c r="L4" s="25" t="s">
        <v>1368</v>
      </c>
      <c r="M4" s="130">
        <f>J4/M2</f>
        <v>1936.3934076253322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((2*2.25*3)-(1*2)-(0.75*2.1))/9</f>
        <v>1.1027777777777779</v>
      </c>
      <c r="F6" s="63" t="s">
        <v>133</v>
      </c>
      <c r="G6" s="21">
        <f>E6*$M$2</f>
        <v>11.027777777777779</v>
      </c>
      <c r="H6" s="12">
        <f>'APUS ARQUITECTURA'!J5</f>
        <v>135.824337926792</v>
      </c>
      <c r="I6">
        <f>G6*H6</f>
        <v>1497.8406154704562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>
        <f>(2*(4/2)*3)/9</f>
        <v>1.3333333333333333</v>
      </c>
      <c r="F7" s="63" t="s">
        <v>133</v>
      </c>
      <c r="G7" s="21">
        <f>E7*$M$2</f>
        <v>13.333333333333332</v>
      </c>
      <c r="H7" s="12">
        <f>'APUS ARQUITECTURA'!J32</f>
        <v>150.06569999999999</v>
      </c>
      <c r="I7">
        <f>G7*H7</f>
        <v>2000.8759999999997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v>2.84</v>
      </c>
      <c r="F13" t="s">
        <v>133</v>
      </c>
      <c r="G13" s="21">
        <f>E13*$M$2</f>
        <v>28.4</v>
      </c>
      <c r="H13" s="12">
        <f>'APUS ARQUITECTURA'!J127</f>
        <v>27.122965133333338</v>
      </c>
      <c r="I13">
        <f>G13*H13</f>
        <v>770.29220978666672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((2*2.25*3.3)-(2*1)-(0.75*1))/9</f>
        <v>1.3444444444444443</v>
      </c>
      <c r="F14" t="s">
        <v>133</v>
      </c>
      <c r="G14" s="21">
        <f>E14*$M$2</f>
        <v>13.444444444444443</v>
      </c>
      <c r="H14" s="12">
        <f>'APUS ARQUITECTURA'!J148</f>
        <v>35.840962666666663</v>
      </c>
      <c r="I14">
        <f>G14*H14</f>
        <v>481.86183140740729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>
        <f>(2*(2.25+4)*3)/9</f>
        <v>4.166666666666667</v>
      </c>
      <c r="F16" t="s">
        <v>133</v>
      </c>
      <c r="G16" s="21">
        <f>E16*$M$2</f>
        <v>41.666666666666671</v>
      </c>
      <c r="H16" s="12">
        <f>'APUS ARQUITECTURA'!J168</f>
        <v>90.825879999999998</v>
      </c>
      <c r="I16">
        <f>G16*H16</f>
        <v>3784.4116666666669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>
        <f>(((17.65*2)+6.95*2-(2*0.9))/(120))</f>
        <v>0.39499999999999996</v>
      </c>
      <c r="F33" t="s">
        <v>144</v>
      </c>
      <c r="G33" s="21">
        <f>E33*$M$2</f>
        <v>3.9499999999999997</v>
      </c>
      <c r="H33" s="12">
        <f>'APUS ARQUITECTURA'!J430</f>
        <v>84.438490000000002</v>
      </c>
      <c r="I33">
        <f>G33*H33</f>
        <v>333.53203550000001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v>0.16</v>
      </c>
      <c r="F35" t="s">
        <v>133</v>
      </c>
      <c r="G35" s="21">
        <f>E35*$M$2</f>
        <v>1.6</v>
      </c>
      <c r="H35" s="12">
        <f>'APUS ARQUITECTURA'!J449</f>
        <v>560.62260000000003</v>
      </c>
      <c r="I35">
        <f>G35*H35</f>
        <v>896.99616000000015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(1*2)/9</f>
        <v>0.22222222222222221</v>
      </c>
      <c r="F36" t="s">
        <v>133</v>
      </c>
      <c r="G36" s="21">
        <f>E36*$M$2</f>
        <v>2.2222222222222223</v>
      </c>
      <c r="H36" s="12">
        <f>'APUS ARQUITECTURA'!J456</f>
        <v>367.87083424090611</v>
      </c>
      <c r="I36">
        <f>G36*H36</f>
        <v>817.49074275756914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v>2.84</v>
      </c>
      <c r="F41" t="s">
        <v>133</v>
      </c>
      <c r="G41" s="21">
        <f>E41*$M$2</f>
        <v>28.4</v>
      </c>
      <c r="H41" s="12">
        <f>'APUS ARQUITECTURA'!J484</f>
        <v>15.625164000000002</v>
      </c>
      <c r="I41">
        <f>G41*H41</f>
        <v>443.75465760000003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1.3444444444444443</v>
      </c>
      <c r="F42" s="105" t="s">
        <v>133</v>
      </c>
      <c r="G42" s="21">
        <f>E42*$M$2</f>
        <v>13.444444444444443</v>
      </c>
      <c r="H42" s="12">
        <f>'APUS ARQUITECTURA'!J504</f>
        <v>15.956285454545455</v>
      </c>
      <c r="I42">
        <f>G42*H42</f>
        <v>214.5233933333333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984</v>
      </c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986</v>
      </c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988</v>
      </c>
      <c r="E46" s="124">
        <f>1/9</f>
        <v>0.1111111111111111</v>
      </c>
      <c r="F46" t="s">
        <v>1388</v>
      </c>
      <c r="G46" s="21">
        <f>E46*$M$2</f>
        <v>1.1111111111111112</v>
      </c>
      <c r="H46" s="12">
        <f>'APUS SANITARIAS'!J19</f>
        <v>67.521666666666661</v>
      </c>
      <c r="I46">
        <f>G46*H46</f>
        <v>75.024074074074065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>
        <f>1/9</f>
        <v>0.1111111111111111</v>
      </c>
      <c r="F48" t="s">
        <v>214</v>
      </c>
      <c r="G48" s="21">
        <f>E48*$M$2</f>
        <v>1.1111111111111112</v>
      </c>
      <c r="H48" s="12">
        <f>'APUS SANITARIAS'!J32</f>
        <v>131.73781333333332</v>
      </c>
      <c r="I48">
        <f>G48*H48</f>
        <v>146.37534814814813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>
        <f>1/9</f>
        <v>0.1111111111111111</v>
      </c>
      <c r="F49" t="s">
        <v>214</v>
      </c>
      <c r="G49" s="21">
        <f>E49*$M$2</f>
        <v>1.1111111111111112</v>
      </c>
      <c r="H49" s="12">
        <f>'APUS SANITARIAS'!J50</f>
        <v>210.60376000000002</v>
      </c>
      <c r="I49">
        <f>G49*H49</f>
        <v>234.00417777777781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>
        <f>2/9</f>
        <v>0.22222222222222221</v>
      </c>
      <c r="F53" t="s">
        <v>214</v>
      </c>
      <c r="G53" s="21">
        <f>E53*$M$2</f>
        <v>2.2222222222222223</v>
      </c>
      <c r="H53" s="12">
        <f>'APUS SANITARIAS'!J108</f>
        <v>138.64527999999999</v>
      </c>
      <c r="I53">
        <f>G53*H53</f>
        <v>308.10062222222223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>
        <f t="shared" ref="E54:E55" si="0">2/9</f>
        <v>0.22222222222222221</v>
      </c>
      <c r="F54" t="s">
        <v>214</v>
      </c>
      <c r="G54" s="21">
        <f>E54*$M$2</f>
        <v>2.2222222222222223</v>
      </c>
      <c r="H54" s="12">
        <f>'APUS SANITARIAS'!J127</f>
        <v>145.93577999999999</v>
      </c>
      <c r="I54">
        <f>G54*H54</f>
        <v>324.30173333333335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>
        <f t="shared" si="0"/>
        <v>0.22222222222222221</v>
      </c>
      <c r="F55" t="s">
        <v>214</v>
      </c>
      <c r="G55" s="21">
        <f>E55*$M$2</f>
        <v>2.2222222222222223</v>
      </c>
      <c r="H55" s="12">
        <f>'APUS SANITARIAS'!J145</f>
        <v>141.07118</v>
      </c>
      <c r="I55">
        <f>G55*H55</f>
        <v>313.49151111111109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>
        <f>1/9</f>
        <v>0.1111111111111111</v>
      </c>
      <c r="F56" t="s">
        <v>149</v>
      </c>
      <c r="G56" s="21">
        <f>E56*$M$2</f>
        <v>1.1111111111111112</v>
      </c>
      <c r="H56" s="12">
        <f>'APUS SANITARIAS'!J163</f>
        <v>214.33091999999999</v>
      </c>
      <c r="I56">
        <f>G56*H56</f>
        <v>238.14546666666666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>
        <f>1/9</f>
        <v>0.1111111111111111</v>
      </c>
      <c r="F57" t="s">
        <v>149</v>
      </c>
      <c r="G57" s="21">
        <f>E57*$M$2</f>
        <v>1.1111111111111112</v>
      </c>
      <c r="H57" s="12">
        <f>'APUS SANITARIAS'!J178</f>
        <v>101.51374313638702</v>
      </c>
      <c r="I57">
        <f>G57*H57</f>
        <v>112.79304792931892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6/9</f>
        <v>0.66666666666666663</v>
      </c>
      <c r="F59" t="s">
        <v>214</v>
      </c>
      <c r="G59" s="21">
        <f>E59*$M$2</f>
        <v>6.6666666666666661</v>
      </c>
      <c r="H59" s="12">
        <f>'APUS ELECTRICAS'!J5</f>
        <v>121.04310400000001</v>
      </c>
      <c r="I59">
        <f>G59*H59</f>
        <v>806.95402666666666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6/9</f>
        <v>0.66666666666666663</v>
      </c>
      <c r="F60" t="s">
        <v>214</v>
      </c>
      <c r="G60" s="21">
        <f>E60*$M$2</f>
        <v>6.6666666666666661</v>
      </c>
      <c r="H60" s="12">
        <f>'APUS ELECTRICAS'!J26</f>
        <v>163.73838000000001</v>
      </c>
      <c r="I60">
        <f>G60*H60</f>
        <v>1091.5891999999999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6/9</f>
        <v>0.66666666666666663</v>
      </c>
      <c r="F61" t="s">
        <v>214</v>
      </c>
      <c r="G61" s="21">
        <f>E61*$M$2</f>
        <v>6.6666666666666661</v>
      </c>
      <c r="H61" s="12">
        <f>'APUS ELECTRICAS'!J48</f>
        <v>118.30689999999998</v>
      </c>
      <c r="I61">
        <f>G61*H61</f>
        <v>788.71266666666645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1/9</f>
        <v>0.1111111111111111</v>
      </c>
      <c r="F64" t="s">
        <v>149</v>
      </c>
      <c r="G64" s="21">
        <f>E64*$M$2</f>
        <v>1.1111111111111112</v>
      </c>
      <c r="H64" s="12">
        <f>'APUS ELECTRICAS'!J74</f>
        <v>396.14503200000001</v>
      </c>
      <c r="I64">
        <f>G64*H64</f>
        <v>440.1611466666667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1/9</f>
        <v>0.1111111111111111</v>
      </c>
      <c r="F65" t="s">
        <v>149</v>
      </c>
      <c r="G65" s="21">
        <f>E65*$M$2</f>
        <v>1.1111111111111112</v>
      </c>
      <c r="H65" s="12">
        <f>'APUS ELECTRICAS'!J88</f>
        <v>105.9636</v>
      </c>
      <c r="I65">
        <f>G65*H65</f>
        <v>117.73733333333334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FCA82-AC52-48DF-BC8C-C658D6B41C77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'!D48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15865.197012380037</v>
      </c>
      <c r="L4" s="25" t="s">
        <v>1368</v>
      </c>
      <c r="M4" s="130">
        <f>J4/M2</f>
        <v>1586.5197012380036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(2.8*2)/9.2</f>
        <v>0.60869565217391308</v>
      </c>
      <c r="F6" s="63" t="s">
        <v>133</v>
      </c>
      <c r="G6" s="21">
        <f>E6*$M$2</f>
        <v>6.0869565217391308</v>
      </c>
      <c r="H6" s="12">
        <f>'APUS ARQUITECTURA'!J5</f>
        <v>135.824337926792</v>
      </c>
      <c r="I6">
        <f>G6*H6</f>
        <v>826.75683955438615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/>
      <c r="F7" s="63" t="s">
        <v>133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>
        <f>(1.5+3+3.1-0.9)*3/9.2</f>
        <v>2.1847826086956523</v>
      </c>
      <c r="F8" s="63" t="s">
        <v>133</v>
      </c>
      <c r="G8" s="21">
        <f>E8*$M$2</f>
        <v>21.847826086956523</v>
      </c>
      <c r="H8" s="12">
        <f>'APUS ARQUITECTURA'!J50</f>
        <v>141.06679428571431</v>
      </c>
      <c r="I8">
        <f>G8*H8</f>
        <v>3082.0027881987585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((2.8*2)+(3*0.4))/9.2</f>
        <v>0.73913043478260876</v>
      </c>
      <c r="F13" t="s">
        <v>133</v>
      </c>
      <c r="G13" s="21">
        <f>E13*$M$2</f>
        <v>7.3913043478260878</v>
      </c>
      <c r="H13" s="12">
        <f>'APUS ARQUITECTURA'!J127</f>
        <v>27.122965133333338</v>
      </c>
      <c r="I13">
        <f>G13*H13</f>
        <v>200.47409011594209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/>
      <c r="F14" t="s">
        <v>133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>
        <v>1</v>
      </c>
      <c r="F22" t="s">
        <v>133</v>
      </c>
      <c r="G22" s="21">
        <f>E22*$M$2</f>
        <v>10</v>
      </c>
      <c r="H22" s="12">
        <f>'APUS ARQUITECTURA'!J252</f>
        <v>206.77337199999999</v>
      </c>
      <c r="I22">
        <f>G22*H22</f>
        <v>2067.7337200000002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>
        <f>(3.1+2.9+0.4+1.8+2.95)*0.1/9.2</f>
        <v>0.12119565217391308</v>
      </c>
      <c r="F30" t="s">
        <v>144</v>
      </c>
      <c r="G30" s="21">
        <f>E30*$M$2</f>
        <v>1.2119565217391308</v>
      </c>
      <c r="H30" s="12">
        <f>'APUS ARQUITECTURA'!J383</f>
        <v>36.537022000000007</v>
      </c>
      <c r="I30">
        <f>G30*H30</f>
        <v>44.281282097826107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/>
      <c r="F35" t="s">
        <v>133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/>
      <c r="F36" t="s">
        <v>133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>
        <f>2.9*2.85/9.2</f>
        <v>0.89836956521739142</v>
      </c>
      <c r="F37" t="s">
        <v>133</v>
      </c>
      <c r="G37" s="21">
        <f>E37*$M$2</f>
        <v>8.983695652173914</v>
      </c>
      <c r="H37" s="12">
        <f>'APUS ARQUITECTURA'!J463</f>
        <v>514.53719413716362</v>
      </c>
      <c r="I37">
        <f>G37*H37</f>
        <v>4622.4455538518023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E13*2</f>
        <v>1.4782608695652175</v>
      </c>
      <c r="F41" t="s">
        <v>133</v>
      </c>
      <c r="G41" s="21">
        <f>E41*$M$2</f>
        <v>14.782608695652176</v>
      </c>
      <c r="H41" s="12">
        <f>'APUS ARQUITECTURA'!J484</f>
        <v>15.625164000000002</v>
      </c>
      <c r="I41">
        <f>G41*H41</f>
        <v>230.98068521739137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/>
      <c r="F42" s="105" t="s">
        <v>133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 t="shared" ref="G44:G46" si="0"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v>0.5</v>
      </c>
      <c r="F59" t="s">
        <v>214</v>
      </c>
      <c r="G59" s="21">
        <f>E59*$M$2</f>
        <v>5</v>
      </c>
      <c r="H59" s="12">
        <f>'APUS ELECTRICAS'!J5</f>
        <v>121.04310400000001</v>
      </c>
      <c r="I59">
        <f>G59*H59</f>
        <v>605.21552000000008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v>0.5</v>
      </c>
      <c r="F60" t="s">
        <v>214</v>
      </c>
      <c r="G60" s="21">
        <f>E60*$M$2</f>
        <v>5</v>
      </c>
      <c r="H60" s="12">
        <f>'APUS ELECTRICAS'!J26</f>
        <v>163.73838000000001</v>
      </c>
      <c r="I60">
        <f>G60*H60</f>
        <v>818.69190000000003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v>0.5</v>
      </c>
      <c r="F61" t="s">
        <v>214</v>
      </c>
      <c r="G61" s="21">
        <f>E61*$M$2</f>
        <v>5</v>
      </c>
      <c r="H61" s="12">
        <f>'APUS ELECTRICAS'!J48</f>
        <v>118.30689999999998</v>
      </c>
      <c r="I61">
        <f>G61*H61</f>
        <v>591.53449999999998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>
        <f>3/9.2</f>
        <v>0.32608695652173914</v>
      </c>
      <c r="F62" t="s">
        <v>214</v>
      </c>
      <c r="G62" s="21">
        <f>E62*$M$2</f>
        <v>3.2608695652173916</v>
      </c>
      <c r="H62" s="12">
        <f>'APUS ELECTRICAS'!J66</f>
        <v>7.34</v>
      </c>
      <c r="I62">
        <f>G62*H62</f>
        <v>23.934782608695652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v>0.13</v>
      </c>
      <c r="F64" t="s">
        <v>149</v>
      </c>
      <c r="G64" s="21">
        <f>E64*$M$2</f>
        <v>1.3</v>
      </c>
      <c r="H64" s="12">
        <f>'APUS ELECTRICAS'!J74</f>
        <v>396.14503200000001</v>
      </c>
      <c r="I64">
        <f>G64*H64</f>
        <v>514.98854160000008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v>0.13</v>
      </c>
      <c r="F65" t="s">
        <v>149</v>
      </c>
      <c r="G65" s="21">
        <f>E65*$M$2</f>
        <v>1.3</v>
      </c>
      <c r="H65" s="12">
        <f>'APUS ELECTRICAS'!J88</f>
        <v>105.9636</v>
      </c>
      <c r="I65">
        <f>G65*H65</f>
        <v>137.75268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F9002-DCEF-493B-A5A0-562932673124}">
  <sheetPr>
    <tabColor rgb="FFFFFF00"/>
  </sheetPr>
  <dimension ref="A2:BP183"/>
  <sheetViews>
    <sheetView workbookViewId="0">
      <selection activeCell="H8" sqref="H8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'!D49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12031.649448561117</v>
      </c>
      <c r="L4" s="25" t="s">
        <v>1368</v>
      </c>
      <c r="M4" s="130">
        <f>J4/M2</f>
        <v>1203.1649448561116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(2.2+1.4+0.1)*3/10.3</f>
        <v>1.0776699029126213</v>
      </c>
      <c r="F6" s="63" t="s">
        <v>133</v>
      </c>
      <c r="G6" s="21">
        <f>E6*$M$2</f>
        <v>10.776699029126213</v>
      </c>
      <c r="H6" s="12">
        <f>'APUS ARQUITECTURA'!J5</f>
        <v>135.824337926792</v>
      </c>
      <c r="I6">
        <f>G6*H6</f>
        <v>1463.73801066737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>
        <f>2.4*3/10.3</f>
        <v>0.69902912621359214</v>
      </c>
      <c r="F7" s="63" t="s">
        <v>133</v>
      </c>
      <c r="G7" s="21">
        <f>E7*$M$2</f>
        <v>6.990291262135921</v>
      </c>
      <c r="H7" s="12">
        <f>'APUS ARQUITECTURA'!J32</f>
        <v>150.06569999999999</v>
      </c>
      <c r="I7">
        <f>G7*H7</f>
        <v>1049.0029514563105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72">
        <f>(2.4+4.4+4.4+1.4+0.1)*3/10.3</f>
        <v>3.6990291262135919</v>
      </c>
      <c r="F13" t="s">
        <v>133</v>
      </c>
      <c r="G13" s="21">
        <f>E13*$M$2</f>
        <v>36.990291262135919</v>
      </c>
      <c r="H13" s="12">
        <f>'APUS ARQUITECTURA'!J127</f>
        <v>27.122965133333338</v>
      </c>
      <c r="I13">
        <f>G13*H13</f>
        <v>1003.2863801747574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2.4*3.3/10.3</f>
        <v>0.76893203883495131</v>
      </c>
      <c r="F14" t="s">
        <v>133</v>
      </c>
      <c r="G14" s="21">
        <f>E14*$M$2</f>
        <v>7.6893203883495129</v>
      </c>
      <c r="H14" s="12">
        <f>'APUS ARQUITECTURA'!J148</f>
        <v>35.840962666666663</v>
      </c>
      <c r="I14">
        <f>G14*H14</f>
        <v>275.59264497087372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>
        <f>(2.4+4.4+4.4+1.5)*0.1/10.3</f>
        <v>0.12330097087378643</v>
      </c>
      <c r="F32" t="s">
        <v>144</v>
      </c>
      <c r="G32" s="21">
        <f>E32*$M$2</f>
        <v>1.2330097087378642</v>
      </c>
      <c r="H32" s="12">
        <f>'APUS ARQUITECTURA'!J410</f>
        <v>44.192746666666665</v>
      </c>
      <c r="I32">
        <f>G32*H32</f>
        <v>54.490085695792885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2.1*0.9/10.3</f>
        <v>0.18349514563106797</v>
      </c>
      <c r="F35" t="s">
        <v>133</v>
      </c>
      <c r="G35" s="21">
        <f>E35*$M$2</f>
        <v>1.8349514563106797</v>
      </c>
      <c r="H35" s="12">
        <f>'APUS ARQUITECTURA'!J449</f>
        <v>560.62260000000003</v>
      </c>
      <c r="I35">
        <f>G35*H35</f>
        <v>1028.7152563106797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0.65*1.5/10.3</f>
        <v>9.4660194174757281E-2</v>
      </c>
      <c r="F36" t="s">
        <v>133</v>
      </c>
      <c r="G36" s="21">
        <f>E36*$M$2</f>
        <v>0.94660194174757284</v>
      </c>
      <c r="H36" s="12">
        <f>'APUS ARQUITECTURA'!J456</f>
        <v>367.87083424090611</v>
      </c>
      <c r="I36">
        <f>G36*H36</f>
        <v>348.22724600474123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1+(E13)</f>
        <v>4.6990291262135919</v>
      </c>
      <c r="F41" t="s">
        <v>133</v>
      </c>
      <c r="G41" s="21">
        <f>E41*$M$2</f>
        <v>46.990291262135919</v>
      </c>
      <c r="H41" s="12">
        <f>'APUS ARQUITECTURA'!J484</f>
        <v>15.625164000000002</v>
      </c>
      <c r="I41">
        <f>G41*H41</f>
        <v>734.23100737864081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/>
      <c r="F42" s="105" t="s">
        <v>133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>
        <f>1/10.3</f>
        <v>9.7087378640776698E-2</v>
      </c>
      <c r="F44" t="s">
        <v>1388</v>
      </c>
      <c r="G44" s="21">
        <f>E44*$M$2</f>
        <v>0.970873786407767</v>
      </c>
      <c r="H44" s="12">
        <f>'APUS SANITARIAS'!J5</f>
        <v>193.33333333333331</v>
      </c>
      <c r="I44">
        <f>G44*H44</f>
        <v>187.70226537216826</v>
      </c>
      <c r="J44" s="124"/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>
        <f t="shared" ref="E45:E46" si="0">1/10.3</f>
        <v>9.7087378640776698E-2</v>
      </c>
      <c r="F45" t="s">
        <v>1388</v>
      </c>
      <c r="G45" s="21">
        <f t="shared" ref="G44:G46" si="1">E45*$M$2</f>
        <v>0.970873786407767</v>
      </c>
      <c r="H45" s="12">
        <f>'APUS SANITARIAS'!J12</f>
        <v>192.42</v>
      </c>
      <c r="I45">
        <f t="shared" ref="I45:I46" si="2">G45*H45</f>
        <v>186.8155339805825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>
        <f t="shared" si="0"/>
        <v>9.7087378640776698E-2</v>
      </c>
      <c r="F46" t="s">
        <v>1388</v>
      </c>
      <c r="G46" s="21">
        <f t="shared" si="1"/>
        <v>0.970873786407767</v>
      </c>
      <c r="H46" s="12">
        <f>'APUS SANITARIAS'!J19</f>
        <v>67.521666666666661</v>
      </c>
      <c r="I46">
        <f t="shared" si="2"/>
        <v>65.555016181229774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>
        <f>1/10.3</f>
        <v>9.7087378640776698E-2</v>
      </c>
      <c r="F48" t="s">
        <v>214</v>
      </c>
      <c r="G48" s="21">
        <f>E48*$M$2</f>
        <v>0.970873786407767</v>
      </c>
      <c r="H48" s="12">
        <f>'APUS SANITARIAS'!J32</f>
        <v>131.73781333333332</v>
      </c>
      <c r="I48">
        <f>G48*H48</f>
        <v>127.90078964401293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>
        <f>1/10.3</f>
        <v>9.7087378640776698E-2</v>
      </c>
      <c r="F53" t="s">
        <v>214</v>
      </c>
      <c r="G53" s="21">
        <f>E53*$M$2</f>
        <v>0.970873786407767</v>
      </c>
      <c r="H53" s="12">
        <f>'APUS SANITARIAS'!J108</f>
        <v>138.64527999999999</v>
      </c>
      <c r="I53">
        <f>G53*H53</f>
        <v>134.60706796116503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>
        <f t="shared" ref="E54:E55" si="3">1/10.3</f>
        <v>9.7087378640776698E-2</v>
      </c>
      <c r="F54" t="s">
        <v>214</v>
      </c>
      <c r="G54" s="21">
        <f>E54*$M$2</f>
        <v>0.970873786407767</v>
      </c>
      <c r="H54" s="12">
        <f>'APUS SANITARIAS'!J127</f>
        <v>145.93577999999999</v>
      </c>
      <c r="I54">
        <f>G54*H54</f>
        <v>141.68522330097088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>
        <f t="shared" si="3"/>
        <v>9.7087378640776698E-2</v>
      </c>
      <c r="F55" t="s">
        <v>214</v>
      </c>
      <c r="G55" s="21">
        <f>E55*$M$2</f>
        <v>0.970873786407767</v>
      </c>
      <c r="H55" s="12">
        <f>'APUS SANITARIAS'!J145</f>
        <v>141.07118</v>
      </c>
      <c r="I55">
        <f>G55*H55</f>
        <v>136.96231067961165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>
        <f>1/10.3</f>
        <v>9.7087378640776698E-2</v>
      </c>
      <c r="F56" t="s">
        <v>149</v>
      </c>
      <c r="G56" s="21">
        <f>E56*$M$2</f>
        <v>0.970873786407767</v>
      </c>
      <c r="H56" s="12">
        <f>'APUS SANITARIAS'!J163</f>
        <v>214.33091999999999</v>
      </c>
      <c r="I56">
        <f>G56*H56</f>
        <v>208.0882718446602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>
        <f>1/10.3</f>
        <v>9.7087378640776698E-2</v>
      </c>
      <c r="F57" t="s">
        <v>149</v>
      </c>
      <c r="G57" s="21">
        <f>E57*$M$2</f>
        <v>0.970873786407767</v>
      </c>
      <c r="H57" s="12">
        <f>'APUS SANITARIAS'!J178</f>
        <v>101.51374313638702</v>
      </c>
      <c r="I57">
        <f>G57*H57</f>
        <v>98.557032171249531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3/10.3</f>
        <v>0.29126213592233008</v>
      </c>
      <c r="F59" t="s">
        <v>214</v>
      </c>
      <c r="G59" s="21">
        <f>E59*$M$2</f>
        <v>2.9126213592233006</v>
      </c>
      <c r="H59" s="12">
        <f>'APUS ELECTRICAS'!J5</f>
        <v>121.04310400000001</v>
      </c>
      <c r="I59">
        <f>G59*H59</f>
        <v>352.55273009708736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3/10.3</f>
        <v>0.29126213592233008</v>
      </c>
      <c r="F60" t="s">
        <v>214</v>
      </c>
      <c r="G60" s="21">
        <f>E60*$M$2</f>
        <v>2.9126213592233006</v>
      </c>
      <c r="H60" s="12">
        <f>'APUS ELECTRICAS'!J26</f>
        <v>163.73838000000001</v>
      </c>
      <c r="I60">
        <f>G60*H60</f>
        <v>476.9079029126213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3/10.3</f>
        <v>0.29126213592233008</v>
      </c>
      <c r="F61" t="s">
        <v>214</v>
      </c>
      <c r="G61" s="21">
        <f>E61*$M$2</f>
        <v>2.9126213592233006</v>
      </c>
      <c r="H61" s="12">
        <f>'APUS ELECTRICAS'!J48</f>
        <v>118.30689999999998</v>
      </c>
      <c r="I61">
        <f>G61*H61</f>
        <v>344.58320388349506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1/10.3</f>
        <v>9.7087378640776698E-2</v>
      </c>
      <c r="F64" t="s">
        <v>149</v>
      </c>
      <c r="G64" s="21">
        <f>E64*$M$2</f>
        <v>0.970873786407767</v>
      </c>
      <c r="H64" s="12">
        <f>'APUS ELECTRICAS'!J74</f>
        <v>396.14503200000001</v>
      </c>
      <c r="I64">
        <f>G64*H64</f>
        <v>384.60682718446606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1/10.3</f>
        <v>9.7087378640776698E-2</v>
      </c>
      <c r="F65" t="s">
        <v>149</v>
      </c>
      <c r="G65" s="21">
        <f>E65*$M$2</f>
        <v>0.970873786407767</v>
      </c>
      <c r="H65" s="12">
        <f>'APUS ELECTRICAS'!J88</f>
        <v>105.9636</v>
      </c>
      <c r="I65">
        <f>G65*H65</f>
        <v>102.87728155339806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8E16-21D7-462C-A4DD-44C55898E10F}">
  <sheetPr>
    <tabColor rgb="FFFFFF00"/>
  </sheetPr>
  <dimension ref="A2:BP183"/>
  <sheetViews>
    <sheetView workbookViewId="0">
      <selection activeCell="H8" sqref="H8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'!D50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6956.6249221885682</v>
      </c>
      <c r="L4" s="25" t="s">
        <v>1368</v>
      </c>
      <c r="M4" s="130">
        <f>J4/M2</f>
        <v>695.66249221885687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6.95*3/28</f>
        <v>0.74464285714285716</v>
      </c>
      <c r="F6" s="63" t="s">
        <v>133</v>
      </c>
      <c r="G6" s="21">
        <f>E6*$M$2</f>
        <v>7.4464285714285712</v>
      </c>
      <c r="H6" s="12">
        <f>'APUS ARQUITECTURA'!J5</f>
        <v>135.824337926792</v>
      </c>
      <c r="I6">
        <f>G6*H6</f>
        <v>1011.4062306334332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>
        <f>2.8*3/28</f>
        <v>0.29999999999999993</v>
      </c>
      <c r="F7" s="63" t="s">
        <v>133</v>
      </c>
      <c r="G7" s="21">
        <f>E7*$M$2</f>
        <v>2.9999999999999991</v>
      </c>
      <c r="H7" s="12">
        <f>'APUS ARQUITECTURA'!J32</f>
        <v>150.06569999999999</v>
      </c>
      <c r="I7">
        <f>G7*H7</f>
        <v>450.19709999999986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>
        <f>0.8*3/28</f>
        <v>8.5714285714285729E-2</v>
      </c>
      <c r="F8" s="63" t="s">
        <v>133</v>
      </c>
      <c r="G8" s="21">
        <f>E8*$M$2</f>
        <v>0.85714285714285732</v>
      </c>
      <c r="H8" s="12">
        <f>'APUS ARQUITECTURA'!J50</f>
        <v>141.06679428571431</v>
      </c>
      <c r="I8">
        <f>G8*H8</f>
        <v>120.91439510204086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72">
        <f>+E6+E6+E7+(1.15*3/28)</f>
        <v>1.9124999999999999</v>
      </c>
      <c r="F13" t="s">
        <v>133</v>
      </c>
      <c r="G13" s="21">
        <f>E13*$M$2</f>
        <v>19.125</v>
      </c>
      <c r="H13" s="12">
        <f>'APUS ARQUITECTURA'!J127</f>
        <v>27.122965133333338</v>
      </c>
      <c r="I13">
        <f>G13*H13</f>
        <v>518.72670817500011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/>
      <c r="F14" t="s">
        <v>133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>
        <v>1</v>
      </c>
      <c r="F25" t="s">
        <v>133</v>
      </c>
      <c r="G25" s="21">
        <f>E25*$M$2</f>
        <v>10</v>
      </c>
      <c r="H25" s="12">
        <f>'APUS ARQUITECTURA'!J318</f>
        <v>51.986298000000005</v>
      </c>
      <c r="I25">
        <f>G25*H25</f>
        <v>519.86298000000011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>
        <f>((3.9*2)+(6.95*2)-2)/28</f>
        <v>0.70357142857142851</v>
      </c>
      <c r="F28" t="s">
        <v>144</v>
      </c>
      <c r="G28" s="21">
        <f>E28*$M$2</f>
        <v>7.0357142857142847</v>
      </c>
      <c r="H28" s="12">
        <f>'APUS ARQUITECTURA'!J347</f>
        <v>20.569980000000001</v>
      </c>
      <c r="I28">
        <f>G28*H28</f>
        <v>144.72450214285712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2*2.1/28</f>
        <v>0.15</v>
      </c>
      <c r="F35" t="s">
        <v>133</v>
      </c>
      <c r="G35" s="21">
        <f>E35*$M$2</f>
        <v>1.5</v>
      </c>
      <c r="H35" s="12">
        <f>'APUS ARQUITECTURA'!J449</f>
        <v>560.62260000000003</v>
      </c>
      <c r="I35">
        <f>G35*H35</f>
        <v>840.93389999999999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/>
      <c r="F36" t="s">
        <v>133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(3.9+6.95+6.95+3.9+0.2-2)*3/28</f>
        <v>2.1321428571428571</v>
      </c>
      <c r="F41" t="s">
        <v>133</v>
      </c>
      <c r="G41" s="21">
        <f>E41*$M$2</f>
        <v>21.321428571428569</v>
      </c>
      <c r="H41" s="12">
        <f>'APUS ARQUITECTURA'!J484</f>
        <v>15.625164000000002</v>
      </c>
      <c r="I41">
        <f>G41*H41</f>
        <v>333.15081814285713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/>
      <c r="F42" s="105" t="s">
        <v>133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 t="shared" ref="G44:G46" si="0"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1/10</f>
        <v>0.1</v>
      </c>
      <c r="F59" t="s">
        <v>214</v>
      </c>
      <c r="G59" s="21">
        <f>E59*$M$2</f>
        <v>1</v>
      </c>
      <c r="H59" s="12">
        <f>'APUS ELECTRICAS'!J5</f>
        <v>121.04310400000001</v>
      </c>
      <c r="I59">
        <f>G59*H59</f>
        <v>121.04310400000001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1/10</f>
        <v>0.1</v>
      </c>
      <c r="F60" t="s">
        <v>214</v>
      </c>
      <c r="G60" s="21">
        <f>E60*$M$2</f>
        <v>1</v>
      </c>
      <c r="H60" s="12">
        <f>'APUS ELECTRICAS'!J26</f>
        <v>163.73838000000001</v>
      </c>
      <c r="I60">
        <f>G60*H60</f>
        <v>163.73838000000001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1/10</f>
        <v>0.1</v>
      </c>
      <c r="F61" t="s">
        <v>214</v>
      </c>
      <c r="G61" s="21">
        <f>E61*$M$2</f>
        <v>1</v>
      </c>
      <c r="H61" s="12">
        <f>'APUS ELECTRICAS'!J48</f>
        <v>118.30689999999998</v>
      </c>
      <c r="I61">
        <f>G61*H61</f>
        <v>118.30689999999998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>
        <f>5/28</f>
        <v>0.17857142857142858</v>
      </c>
      <c r="F62" t="s">
        <v>214</v>
      </c>
      <c r="G62" s="21">
        <f>E62*$M$2</f>
        <v>1.7857142857142858</v>
      </c>
      <c r="H62" s="12">
        <f>'APUS ELECTRICAS'!J66</f>
        <v>7.34</v>
      </c>
      <c r="I62">
        <f>G62*H62</f>
        <v>13.107142857142858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1/10</f>
        <v>0.1</v>
      </c>
      <c r="F64" t="s">
        <v>149</v>
      </c>
      <c r="G64" s="21">
        <f>E64*$M$2</f>
        <v>1</v>
      </c>
      <c r="H64" s="12">
        <f>'APUS ELECTRICAS'!J74</f>
        <v>396.14503200000001</v>
      </c>
      <c r="I64">
        <f>G64*H64</f>
        <v>396.14503200000001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1/10</f>
        <v>0.1</v>
      </c>
      <c r="F65" t="s">
        <v>149</v>
      </c>
      <c r="G65" s="21">
        <f>E65*$M$2</f>
        <v>1</v>
      </c>
      <c r="H65" s="12">
        <f>'APUS ELECTRICAS'!J88</f>
        <v>105.9636</v>
      </c>
      <c r="I65">
        <f>G65*H65</f>
        <v>105.9636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12A6-0118-471A-B32E-677ED5108684}">
  <sheetPr>
    <tabColor rgb="FFFFFF00"/>
  </sheetPr>
  <dimension ref="A2:BP183"/>
  <sheetViews>
    <sheetView topLeftCell="A26" workbookViewId="0">
      <selection activeCell="J4" sqref="J4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'!D51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5649.8678546920228</v>
      </c>
      <c r="L4" s="25" t="s">
        <v>1368</v>
      </c>
      <c r="M4" s="130">
        <f>J4/M2</f>
        <v>564.98678546920223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(((2*6.95/2)+2.8)*3-(30*0.2)-(0.9*2.1))/(30)</f>
        <v>0.71199999999999997</v>
      </c>
      <c r="F6" s="63" t="s">
        <v>133</v>
      </c>
      <c r="G6" s="21">
        <f>E6*$M$2</f>
        <v>7.1199999999999992</v>
      </c>
      <c r="H6" s="12">
        <f>'APUS ARQUITECTURA'!J5</f>
        <v>135.824337926792</v>
      </c>
      <c r="I6">
        <f>G6*H6</f>
        <v>967.06928603875895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/>
      <c r="F7" s="63" t="s">
        <v>133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(((2*6.95)+(2*2.8))*3)/(30)</f>
        <v>1.95</v>
      </c>
      <c r="F13" t="s">
        <v>133</v>
      </c>
      <c r="G13" s="21">
        <f>E13*$M$2</f>
        <v>19.5</v>
      </c>
      <c r="H13" s="12">
        <f>'APUS ARQUITECTURA'!J127</f>
        <v>27.122965133333338</v>
      </c>
      <c r="I13">
        <f>G13*H13</f>
        <v>528.8978201000001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((2.8*3.3)-(30*0.2)-(0.9*2.1))/(30)</f>
        <v>4.4999999999999943E-2</v>
      </c>
      <c r="F14" t="s">
        <v>133</v>
      </c>
      <c r="G14" s="21">
        <f>E14*$M$2</f>
        <v>0.4499999999999994</v>
      </c>
      <c r="H14" s="12">
        <f>'APUS ARQUITECTURA'!J148</f>
        <v>35.840962666666663</v>
      </c>
      <c r="I14">
        <f>G14*H14</f>
        <v>16.128433199999975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/>
      <c r="F19" t="s">
        <v>203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f>1</f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>G23*H23</f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>
        <f>(((2*6.95)+(2*2.8))- 0.9*2.1)/(30)</f>
        <v>0.58699999999999997</v>
      </c>
      <c r="F32" t="s">
        <v>144</v>
      </c>
      <c r="G32" s="21">
        <f>E32*$M$2</f>
        <v>5.8699999999999992</v>
      </c>
      <c r="H32" s="12">
        <f>'APUS ARQUITECTURA'!J410</f>
        <v>44.192746666666665</v>
      </c>
      <c r="I32">
        <f>G32*H32</f>
        <v>259.41142293333331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0.9*2.1/30</f>
        <v>6.3E-2</v>
      </c>
      <c r="F35" t="s">
        <v>133</v>
      </c>
      <c r="G35" s="21">
        <f>E35*$M$2</f>
        <v>0.63</v>
      </c>
      <c r="H35" s="12">
        <f>'APUS ARQUITECTURA'!J449</f>
        <v>560.62260000000003</v>
      </c>
      <c r="I35">
        <f>G35*H35</f>
        <v>353.19223800000003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v>0.09</v>
      </c>
      <c r="F36" t="s">
        <v>133</v>
      </c>
      <c r="G36" s="21">
        <f>E36*$M$2</f>
        <v>0.89999999999999991</v>
      </c>
      <c r="H36" s="12">
        <f>'APUS ARQUITECTURA'!J456</f>
        <v>367.87083424090611</v>
      </c>
      <c r="I36">
        <f>G36*H36</f>
        <v>331.08375081681544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(((2*6.95)+(2*2.8))*3+30-30*0.2-0.9*2.1)/(30)</f>
        <v>2.6869999999999998</v>
      </c>
      <c r="F41" t="s">
        <v>133</v>
      </c>
      <c r="G41" s="21">
        <f>E41*$M$2</f>
        <v>26.869999999999997</v>
      </c>
      <c r="H41" s="12">
        <f>'APUS ARQUITECTURA'!J484</f>
        <v>15.625164000000002</v>
      </c>
      <c r="I41">
        <f>G41*H41</f>
        <v>419.84815667999999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(2.8*3.3-30*0.2-0.9*2.1)/(30)</f>
        <v>4.4999999999999943E-2</v>
      </c>
      <c r="F42" s="105" t="s">
        <v>133</v>
      </c>
      <c r="G42" s="21">
        <f>E42*$M$2</f>
        <v>0.4499999999999994</v>
      </c>
      <c r="H42" s="12">
        <f>'APUS ARQUITECTURA'!J504</f>
        <v>15.956285454545455</v>
      </c>
      <c r="I42">
        <f>G42*H42</f>
        <v>7.1803284545454451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 t="shared" ref="G44:G46" si="0"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2/30</f>
        <v>6.6666666666666666E-2</v>
      </c>
      <c r="F59" t="s">
        <v>214</v>
      </c>
      <c r="G59" s="21">
        <f>E59*$M$2</f>
        <v>0.66666666666666663</v>
      </c>
      <c r="H59" s="12">
        <f>'APUS ELECTRICAS'!J5</f>
        <v>121.04310400000001</v>
      </c>
      <c r="I59">
        <f>G59*H59</f>
        <v>80.695402666666666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2/30</f>
        <v>6.6666666666666666E-2</v>
      </c>
      <c r="F60" t="s">
        <v>214</v>
      </c>
      <c r="G60" s="21">
        <f>E60*$M$2</f>
        <v>0.66666666666666663</v>
      </c>
      <c r="H60" s="12">
        <f>'APUS ELECTRICAS'!J26</f>
        <v>163.73838000000001</v>
      </c>
      <c r="I60">
        <f>G60*H60</f>
        <v>109.15891999999999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2/30</f>
        <v>6.6666666666666666E-2</v>
      </c>
      <c r="F61" t="s">
        <v>214</v>
      </c>
      <c r="G61" s="21">
        <f>E61*$M$2</f>
        <v>0.66666666666666663</v>
      </c>
      <c r="H61" s="12">
        <f>'APUS ELECTRICAS'!J48</f>
        <v>118.30689999999998</v>
      </c>
      <c r="I61">
        <f>G61*H61</f>
        <v>78.871266666666656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/>
      <c r="F64" t="s">
        <v>149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/>
      <c r="F65" t="s">
        <v>149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279.85309999999998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95.843099999999993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95.843099999999993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26.403334000000001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25.004334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19.232787999999999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16.371788000000002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62.670152000000002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58.850152000000008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57.88015200000001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99.340459999999993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633.69880000000001</v>
      </c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520.83879999999999</v>
      </c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367.66879999999998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96.144090000000006</v>
      </c>
    </row>
    <row r="91" spans="1:68">
      <c r="H91" s="12">
        <f>'APUS COMUNICACIONES'!J513</f>
        <v>64.330690000000004</v>
      </c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A6DE-8DB5-4C37-901E-AEF1E0C3ED0E}">
  <sheetPr>
    <tabColor rgb="FFFFFF00"/>
  </sheetPr>
  <dimension ref="A2:BP183"/>
  <sheetViews>
    <sheetView workbookViewId="0">
      <selection activeCell="H7" sqref="H7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'!D52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5901.8921708063863</v>
      </c>
      <c r="L4" s="25" t="s">
        <v>1368</v>
      </c>
      <c r="M4" s="130">
        <f>J4/M2</f>
        <v>590.18921708063863</v>
      </c>
    </row>
    <row r="5" spans="1:68">
      <c r="A5" s="1" t="s">
        <v>755</v>
      </c>
      <c r="E5" s="10"/>
      <c r="G5" s="21"/>
    </row>
    <row r="6" spans="1:68">
      <c r="A6" t="s">
        <v>757</v>
      </c>
      <c r="E6" s="123">
        <v>1.26</v>
      </c>
      <c r="F6" s="63" t="s">
        <v>133</v>
      </c>
      <c r="G6" s="21">
        <f>E6*$M$2</f>
        <v>12.6</v>
      </c>
      <c r="H6" s="12">
        <f>'APUS ARQUITECTURA'!J5</f>
        <v>135.824337926792</v>
      </c>
      <c r="I6">
        <f>G6*H6</f>
        <v>1711.3866578775792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3"/>
      <c r="F7" s="63" t="s">
        <v>133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3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95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95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3">
        <f>+E6+E6+E7+(1.15*3/28)</f>
        <v>2.6432142857142855</v>
      </c>
      <c r="F13" t="s">
        <v>133</v>
      </c>
      <c r="G13" s="21">
        <f>E13*$M$2</f>
        <v>26.432142857142857</v>
      </c>
      <c r="H13" s="12">
        <f>'APUS ARQUITECTURA'!J127</f>
        <v>27.122965133333338</v>
      </c>
      <c r="I13">
        <f>G13*H13</f>
        <v>716.91808911357157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3"/>
      <c r="F14" t="s">
        <v>133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3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3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3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3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3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3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3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3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3">
        <v>1</v>
      </c>
      <c r="F25" t="s">
        <v>133</v>
      </c>
      <c r="G25" s="21">
        <f>E25*$M$2</f>
        <v>10</v>
      </c>
      <c r="H25" s="12">
        <f>'APUS ARQUITECTURA'!J318</f>
        <v>51.986298000000005</v>
      </c>
      <c r="I25">
        <f>G25*H25</f>
        <v>519.86298000000011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3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3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3">
        <v>0.4</v>
      </c>
      <c r="F28" t="s">
        <v>144</v>
      </c>
      <c r="G28" s="21">
        <f>E28*$M$2</f>
        <v>4</v>
      </c>
      <c r="H28" s="12">
        <f>'APUS ARQUITECTURA'!J347</f>
        <v>20.569980000000001</v>
      </c>
      <c r="I28">
        <f>G28*H28</f>
        <v>82.279920000000004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3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3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3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3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3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3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95">
        <f>0.9*2.1/30</f>
        <v>6.3E-2</v>
      </c>
      <c r="F35" t="s">
        <v>133</v>
      </c>
      <c r="G35" s="21">
        <f>E35*$M$2</f>
        <v>0.63</v>
      </c>
      <c r="H35" s="12">
        <f>'APUS ARQUITECTURA'!J449</f>
        <v>560.62260000000003</v>
      </c>
      <c r="I35">
        <f>G35*H35</f>
        <v>353.19223800000003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3"/>
      <c r="F36" t="s">
        <v>133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3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3">
        <f>(((2*6.95)+(2*2.8))*3+30-30*0.2-0.9*2.1)/(30)</f>
        <v>2.6869999999999998</v>
      </c>
      <c r="F41" t="s">
        <v>133</v>
      </c>
      <c r="G41" s="21">
        <f>E41*$M$2</f>
        <v>26.869999999999997</v>
      </c>
      <c r="H41" s="12">
        <f>'APUS ARQUITECTURA'!J484</f>
        <v>15.625164000000002</v>
      </c>
      <c r="I41">
        <f>G41*H41</f>
        <v>419.84815667999999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3"/>
      <c r="F42" s="105" t="s">
        <v>133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 t="shared" ref="G44:G46" si="0"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3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3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3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3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3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3"/>
      <c r="F53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3"/>
      <c r="F54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3"/>
      <c r="F55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3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3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3"/>
      <c r="F59" t="s">
        <v>214</v>
      </c>
      <c r="G59" s="21">
        <f>E59*$M$2</f>
        <v>0</v>
      </c>
      <c r="H59" s="12">
        <f>'APUS ELECTRICAS'!J5</f>
        <v>121.04310400000001</v>
      </c>
      <c r="I59">
        <f>G59*H59</f>
        <v>0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3"/>
      <c r="F60" t="s">
        <v>214</v>
      </c>
      <c r="G60" s="21">
        <f>E60*$M$2</f>
        <v>0</v>
      </c>
      <c r="H60" s="12">
        <f>'APUS ELECTRICAS'!J26</f>
        <v>163.73838000000001</v>
      </c>
      <c r="I60">
        <f>G60*H60</f>
        <v>0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3"/>
      <c r="F61" t="s">
        <v>214</v>
      </c>
      <c r="G61" s="21">
        <f>E61*$M$2</f>
        <v>0</v>
      </c>
      <c r="H61" s="12">
        <f>'APUS ELECTRICAS'!J48</f>
        <v>118.30689999999998</v>
      </c>
      <c r="I61">
        <f>G61*H61</f>
        <v>0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3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3"/>
      <c r="F64" t="s">
        <v>149</v>
      </c>
      <c r="G64" s="21">
        <f>E64*$M$2</f>
        <v>0</v>
      </c>
      <c r="H64" s="12">
        <f>'APUS ELECTRICAS'!J74</f>
        <v>396.14503200000001</v>
      </c>
      <c r="I64">
        <f>G64*H64</f>
        <v>0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3"/>
      <c r="F65" t="s">
        <v>149</v>
      </c>
      <c r="G65" s="21">
        <f>E65*$M$2</f>
        <v>0</v>
      </c>
      <c r="H65" s="12">
        <f>'APUS ELECTRICAS'!J88</f>
        <v>105.9636</v>
      </c>
      <c r="I65">
        <f>G65*H65</f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3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3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279.85309999999998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95.843099999999993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95.843099999999993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26.403334000000001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25.004334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19.232787999999999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16.371788000000002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62.670152000000002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58.850152000000008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57.88015200000001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99.340459999999993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633.69880000000001</v>
      </c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520.83879999999999</v>
      </c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367.66879999999998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96.144090000000006</v>
      </c>
    </row>
    <row r="91" spans="1:68">
      <c r="H91" s="12">
        <f>'APUS COMUNICACIONES'!J513</f>
        <v>64.330690000000004</v>
      </c>
    </row>
    <row r="99" spans="1:8">
      <c r="A99" s="89"/>
    </row>
    <row r="101" spans="1:8">
      <c r="G101" s="21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395C-4FF2-40BF-848A-DD32F350A428}">
  <sheetPr>
    <tabColor rgb="FFFFFF00"/>
  </sheetPr>
  <dimension ref="A2:BP183"/>
  <sheetViews>
    <sheetView topLeftCell="A37" workbookViewId="0">
      <selection activeCell="H39" sqref="H39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'!D53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21287.678028990576</v>
      </c>
      <c r="L4" s="25" t="s">
        <v>1368</v>
      </c>
      <c r="M4" s="130">
        <f>J4/M2</f>
        <v>2128.7678028990576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(4.15+2.35+2.45+1.85+0.5+0.45)*3/7.3</f>
        <v>4.8287671232876708</v>
      </c>
      <c r="F6" s="63" t="s">
        <v>133</v>
      </c>
      <c r="G6" s="21">
        <f>E6*$M$2</f>
        <v>48.287671232876704</v>
      </c>
      <c r="H6" s="12">
        <f>'APUS ARQUITECTURA'!J5</f>
        <v>135.824337926792</v>
      </c>
      <c r="I6">
        <f>G6*H6</f>
        <v>6558.6409752320778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>
        <v>0</v>
      </c>
      <c r="F7" s="63" t="s">
        <v>133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(4+2.35+2.3+1.85+1.15+0.9)*3/7.3</f>
        <v>5.1575342465753424</v>
      </c>
      <c r="F13" t="s">
        <v>133</v>
      </c>
      <c r="G13" s="21">
        <f>E13*$M$2</f>
        <v>51.575342465753423</v>
      </c>
      <c r="H13" s="12">
        <f>'APUS ARQUITECTURA'!J127</f>
        <v>27.122965133333338</v>
      </c>
      <c r="I13">
        <f>G13*H13</f>
        <v>1398.8762154383564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(1.8+1.85)*3.3/7.3</f>
        <v>1.6500000000000001</v>
      </c>
      <c r="F14" t="s">
        <v>133</v>
      </c>
      <c r="G14" s="21">
        <f>E14*$M$2</f>
        <v>16.5</v>
      </c>
      <c r="H14" s="12">
        <f>'APUS ARQUITECTURA'!J148</f>
        <v>35.840962666666663</v>
      </c>
      <c r="I14">
        <f>G14*H14</f>
        <v>591.37588399999993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>
        <f>(1.75+1.15+1.85+0.45)*3/7.3</f>
        <v>2.1369863013698631</v>
      </c>
      <c r="F16" t="s">
        <v>133</v>
      </c>
      <c r="G16" s="21">
        <f>E16*$M$2</f>
        <v>21.36986301369863</v>
      </c>
      <c r="H16" s="12">
        <f>'APUS ARQUITECTURA'!J168</f>
        <v>90.825879999999998</v>
      </c>
      <c r="I16">
        <f>G16*H16</f>
        <v>1940.93661369863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>
        <v>1</v>
      </c>
      <c r="F25" t="s">
        <v>133</v>
      </c>
      <c r="G25" s="21">
        <f>E25*$M$2</f>
        <v>10</v>
      </c>
      <c r="H25" s="12">
        <f>'APUS ARQUITECTURA'!J318</f>
        <v>51.986298000000005</v>
      </c>
      <c r="I25">
        <f>G25*H25</f>
        <v>519.86298000000011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>
        <f>(2.15+2.35+2.3+0.45)*0.15/7.3</f>
        <v>0.14897260273972601</v>
      </c>
      <c r="F28" t="s">
        <v>144</v>
      </c>
      <c r="G28" s="21">
        <f>E28*$M$2</f>
        <v>1.4897260273972601</v>
      </c>
      <c r="H28" s="12">
        <f>'APUS ARQUITECTURA'!J347</f>
        <v>20.569980000000001</v>
      </c>
      <c r="I28">
        <f>G28*H28</f>
        <v>30.643634589041095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(0.75+1)*2.1/7.3</f>
        <v>0.50342465753424659</v>
      </c>
      <c r="F35" t="s">
        <v>133</v>
      </c>
      <c r="G35" s="21">
        <f>E35*$M$2</f>
        <v>5.0342465753424657</v>
      </c>
      <c r="H35" s="12">
        <f>'APUS ARQUITECTURA'!J449</f>
        <v>560.62260000000003</v>
      </c>
      <c r="I35">
        <f>G35*H35</f>
        <v>2822.3124041095894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1*1/7.3</f>
        <v>0.13698630136986301</v>
      </c>
      <c r="F36" t="s">
        <v>133</v>
      </c>
      <c r="G36" s="21">
        <f>E36*$M$2</f>
        <v>1.3698630136986301</v>
      </c>
      <c r="H36" s="12">
        <f>'APUS ARQUITECTURA'!J456</f>
        <v>367.87083424090611</v>
      </c>
      <c r="I36">
        <f>G36*H36</f>
        <v>503.93264964507682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+E13</f>
        <v>5.1575342465753424</v>
      </c>
      <c r="F41" t="s">
        <v>133</v>
      </c>
      <c r="G41" s="21">
        <f>E41*$M$2</f>
        <v>51.575342465753423</v>
      </c>
      <c r="H41" s="12">
        <f>'APUS ARQUITECTURA'!J484</f>
        <v>15.625164000000002</v>
      </c>
      <c r="I41">
        <f>G41*H41</f>
        <v>805.87318438356169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/>
      <c r="F42" s="105" t="s">
        <v>133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24">
        <f>2/7.3</f>
        <v>0.27397260273972601</v>
      </c>
      <c r="F44" t="s">
        <v>1388</v>
      </c>
      <c r="G44" s="21">
        <f>E44*$M$2</f>
        <v>2.7397260273972601</v>
      </c>
      <c r="H44" s="12">
        <f>'APUS SANITARIAS'!J5</f>
        <v>193.33333333333331</v>
      </c>
      <c r="I44">
        <f>G44*H44</f>
        <v>529.68036529680353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24">
        <f t="shared" ref="E45:E46" si="0">2/7.3</f>
        <v>0.27397260273972601</v>
      </c>
      <c r="F45" t="s">
        <v>1388</v>
      </c>
      <c r="G45" s="21">
        <f t="shared" ref="G45:G46" si="1">E45*$M$2</f>
        <v>2.7397260273972601</v>
      </c>
      <c r="H45" s="12">
        <f>'APUS SANITARIAS'!J12</f>
        <v>192.42</v>
      </c>
      <c r="I45">
        <f t="shared" ref="I45:I46" si="2">G45*H45</f>
        <v>527.17808219178073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24">
        <f t="shared" si="0"/>
        <v>0.27397260273972601</v>
      </c>
      <c r="F46" t="s">
        <v>1388</v>
      </c>
      <c r="G46" s="21">
        <f t="shared" si="1"/>
        <v>2.7397260273972601</v>
      </c>
      <c r="H46" s="12">
        <f>'APUS SANITARIAS'!J19</f>
        <v>67.521666666666661</v>
      </c>
      <c r="I46">
        <f t="shared" si="2"/>
        <v>184.99086757990864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>
        <f>1/7.3</f>
        <v>0.13698630136986301</v>
      </c>
      <c r="F48" t="s">
        <v>214</v>
      </c>
      <c r="G48" s="21">
        <f>E48*$M$2</f>
        <v>1.3698630136986301</v>
      </c>
      <c r="H48" s="12">
        <f>'APUS SANITARIAS'!J32</f>
        <v>131.73781333333332</v>
      </c>
      <c r="I48">
        <f>G48*H48</f>
        <v>180.46275799086754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>
        <f>1/7.3</f>
        <v>0.13698630136986301</v>
      </c>
      <c r="F53" t="s">
        <v>214</v>
      </c>
      <c r="G53" s="21">
        <f>E53*$M$2</f>
        <v>1.3698630136986301</v>
      </c>
      <c r="H53" s="12">
        <f>'APUS SANITARIAS'!J108</f>
        <v>138.64527999999999</v>
      </c>
      <c r="I53">
        <f>G53*H53</f>
        <v>189.92504109589038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>
        <f t="shared" ref="E54:E55" si="3">1/7.3</f>
        <v>0.13698630136986301</v>
      </c>
      <c r="F54" t="s">
        <v>214</v>
      </c>
      <c r="G54" s="21">
        <f>E54*$M$2</f>
        <v>1.3698630136986301</v>
      </c>
      <c r="H54" s="12">
        <f>'APUS SANITARIAS'!J127</f>
        <v>145.93577999999999</v>
      </c>
      <c r="I54">
        <f>G54*H54</f>
        <v>199.91202739726026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>
        <f t="shared" si="3"/>
        <v>0.13698630136986301</v>
      </c>
      <c r="F55" t="s">
        <v>214</v>
      </c>
      <c r="G55" s="21">
        <f>E55*$M$2</f>
        <v>1.3698630136986301</v>
      </c>
      <c r="H55" s="12">
        <f>'APUS SANITARIAS'!J145</f>
        <v>141.07118</v>
      </c>
      <c r="I55">
        <f>G55*H55</f>
        <v>193.24819178082191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>
        <f>1/7.3</f>
        <v>0.13698630136986301</v>
      </c>
      <c r="F56" t="s">
        <v>149</v>
      </c>
      <c r="G56" s="21">
        <f>E56*$M$2</f>
        <v>1.3698630136986301</v>
      </c>
      <c r="H56" s="12">
        <f>'APUS SANITARIAS'!J163</f>
        <v>214.33091999999999</v>
      </c>
      <c r="I56">
        <f>G56*H56</f>
        <v>293.60399999999998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>
        <f>1/7.3</f>
        <v>0.13698630136986301</v>
      </c>
      <c r="F57" t="s">
        <v>149</v>
      </c>
      <c r="G57" s="21">
        <f>E57*$M$2</f>
        <v>1.3698630136986301</v>
      </c>
      <c r="H57" s="12">
        <f>'APUS SANITARIAS'!J178</f>
        <v>101.51374313638702</v>
      </c>
      <c r="I57">
        <f>G57*H57</f>
        <v>139.05992210463975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3/10.84</f>
        <v>0.2767527675276753</v>
      </c>
      <c r="F59" t="s">
        <v>214</v>
      </c>
      <c r="G59" s="21">
        <f>E59*$M$2</f>
        <v>2.767527675276753</v>
      </c>
      <c r="H59" s="12">
        <f>'APUS ELECTRICAS'!J5</f>
        <v>121.04310400000001</v>
      </c>
      <c r="I59">
        <f>G59*H59</f>
        <v>334.99014022140227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3/10.84</f>
        <v>0.2767527675276753</v>
      </c>
      <c r="F60" t="s">
        <v>214</v>
      </c>
      <c r="G60" s="21">
        <f>E60*$M$2</f>
        <v>2.767527675276753</v>
      </c>
      <c r="H60" s="12">
        <f>'APUS ELECTRICAS'!J26</f>
        <v>163.73838000000001</v>
      </c>
      <c r="I60">
        <f>G60*H60</f>
        <v>453.15049815498162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3/10.84</f>
        <v>0.2767527675276753</v>
      </c>
      <c r="F61" t="s">
        <v>214</v>
      </c>
      <c r="G61" s="21">
        <f>E61*$M$2</f>
        <v>2.767527675276753</v>
      </c>
      <c r="H61" s="12">
        <f>'APUS ELECTRICAS'!J48</f>
        <v>118.30689999999998</v>
      </c>
      <c r="I61">
        <f>G61*H61</f>
        <v>327.41761992619922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/>
      <c r="F62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1/10.84</f>
        <v>9.2250922509225092E-2</v>
      </c>
      <c r="F64" t="s">
        <v>149</v>
      </c>
      <c r="G64" s="21">
        <f>E64*$M$2</f>
        <v>0.92250922509225086</v>
      </c>
      <c r="H64" s="12">
        <f>'APUS ELECTRICAS'!J74</f>
        <v>396.14503200000001</v>
      </c>
      <c r="I64">
        <f>G64*H64</f>
        <v>365.44744649446494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1/10.84</f>
        <v>9.2250922509225092E-2</v>
      </c>
      <c r="F65" t="s">
        <v>149</v>
      </c>
      <c r="G65" s="21">
        <f>E65*$M$2</f>
        <v>0.92250922509225086</v>
      </c>
      <c r="H65" s="12">
        <f>'APUS ELECTRICAS'!J88</f>
        <v>105.9636</v>
      </c>
      <c r="I65">
        <f>G65*H65</f>
        <v>97.752398523985235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279.85309999999998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95.843099999999993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95.843099999999993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26.403334000000001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25.004334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19.232787999999999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16.371788000000002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62.670152000000002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58.850152000000008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57.88015200000001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99.340459999999993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633.69880000000001</v>
      </c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520.83879999999999</v>
      </c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367.66879999999998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96.144090000000006</v>
      </c>
    </row>
    <row r="91" spans="1:68">
      <c r="H91" s="12">
        <f>'APUS COMUNICACIONES'!J513</f>
        <v>64.330690000000004</v>
      </c>
    </row>
    <row r="99" spans="1:8">
      <c r="A99" s="89"/>
    </row>
    <row r="101" spans="1:8">
      <c r="G101" s="21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79F3D-C135-4313-8F0A-A5775131D251}">
  <sheetPr>
    <tabColor rgb="FFFFFF00"/>
  </sheetPr>
  <dimension ref="A2:BP183"/>
  <sheetViews>
    <sheetView workbookViewId="0">
      <selection activeCell="H16" sqref="H1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'!D54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11842.254897076806</v>
      </c>
      <c r="L4" s="25" t="s">
        <v>1368</v>
      </c>
      <c r="M4" s="130">
        <f>J4/M2</f>
        <v>1184.2254897076805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v>1.26</v>
      </c>
      <c r="F6" s="63" t="s">
        <v>133</v>
      </c>
      <c r="G6" s="21">
        <f>E6*$M$2</f>
        <v>12.6</v>
      </c>
      <c r="H6" s="12">
        <f>'APUS ARQUITECTURA'!J5</f>
        <v>135.824337926792</v>
      </c>
      <c r="I6">
        <f>G6*H6</f>
        <v>1711.3866578775792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/>
      <c r="F7" s="63" t="s">
        <v>133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+E6+E6+E7+(1.15*3/28)</f>
        <v>2.6432142857142855</v>
      </c>
      <c r="F13" t="s">
        <v>133</v>
      </c>
      <c r="G13" s="21">
        <f>E13*$M$2</f>
        <v>26.432142857142857</v>
      </c>
      <c r="H13" s="12">
        <f>'APUS ARQUITECTURA'!J127</f>
        <v>27.122965133333338</v>
      </c>
      <c r="I13">
        <f>G13*H13</f>
        <v>716.91808911357157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/>
      <c r="F14" t="s">
        <v>133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>
        <v>1</v>
      </c>
      <c r="F25" t="s">
        <v>133</v>
      </c>
      <c r="G25" s="21">
        <f>E25*$M$2</f>
        <v>10</v>
      </c>
      <c r="H25" s="12">
        <f>'APUS ARQUITECTURA'!J318</f>
        <v>51.986298000000005</v>
      </c>
      <c r="I25">
        <f>G25*H25</f>
        <v>519.86298000000011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>
        <v>0.4</v>
      </c>
      <c r="F28" t="s">
        <v>144</v>
      </c>
      <c r="G28" s="21">
        <f>E28*$M$2</f>
        <v>4</v>
      </c>
      <c r="H28" s="12">
        <f>'APUS ARQUITECTURA'!J347</f>
        <v>20.569980000000001</v>
      </c>
      <c r="I28">
        <f>G28*H28</f>
        <v>82.279920000000004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>
        <f>(((17.65*2)+6.95*2-(2*0.9))/(120))</f>
        <v>0.39499999999999996</v>
      </c>
      <c r="F33" t="s">
        <v>144</v>
      </c>
      <c r="G33" s="21">
        <f>E33*$M$2</f>
        <v>3.9499999999999997</v>
      </c>
      <c r="H33" s="12">
        <f>'APUS ARQUITECTURA'!J430</f>
        <v>84.438490000000002</v>
      </c>
      <c r="I33">
        <f>G33*H33</f>
        <v>333.53203550000001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(0.75+1)*2.1/7.3</f>
        <v>0.50342465753424659</v>
      </c>
      <c r="F35" t="s">
        <v>133</v>
      </c>
      <c r="G35" s="21">
        <f>E35*$M$2</f>
        <v>5.0342465753424657</v>
      </c>
      <c r="H35" s="12">
        <f>'APUS ARQUITECTURA'!J449</f>
        <v>560.62260000000003</v>
      </c>
      <c r="I35">
        <f>G35*H35</f>
        <v>2822.3124041095894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/>
      <c r="F36" t="s">
        <v>133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+E13</f>
        <v>2.6432142857142855</v>
      </c>
      <c r="F41" t="s">
        <v>133</v>
      </c>
      <c r="G41" s="21">
        <f>E41*$M$2</f>
        <v>26.432142857142857</v>
      </c>
      <c r="H41" s="12">
        <f>'APUS ARQUITECTURA'!J484</f>
        <v>15.625164000000002</v>
      </c>
      <c r="I41">
        <f>G41*H41</f>
        <v>413.00656701428574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/>
      <c r="F42" s="105" t="s">
        <v>133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E44" s="145">
        <f>2/9.33</f>
        <v>0.21436227224008575</v>
      </c>
      <c r="F44" t="s">
        <v>1388</v>
      </c>
      <c r="G44" s="21">
        <f>E44*$M$2</f>
        <v>2.1436227224008575</v>
      </c>
      <c r="H44" s="12">
        <f>'APUS SANITARIAS'!J5</f>
        <v>193.33333333333331</v>
      </c>
      <c r="I44">
        <f>G44*H44</f>
        <v>414.43372633083243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E45" s="145">
        <f t="shared" ref="E45:E46" si="0">2/9.33</f>
        <v>0.21436227224008575</v>
      </c>
      <c r="F45" t="s">
        <v>1388</v>
      </c>
      <c r="G45" s="21">
        <f>E45*$M$2</f>
        <v>2.1436227224008575</v>
      </c>
      <c r="H45" s="12">
        <f>'APUS SANITARIAS'!J12</f>
        <v>192.42</v>
      </c>
      <c r="I45">
        <f t="shared" ref="I45:I46" si="1">G45*H45</f>
        <v>412.47588424437299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E46" s="145">
        <f t="shared" si="0"/>
        <v>0.21436227224008575</v>
      </c>
      <c r="F46" t="s">
        <v>1388</v>
      </c>
      <c r="G46" s="21">
        <f>E46*$M$2</f>
        <v>2.1436227224008575</v>
      </c>
      <c r="H46" s="12">
        <f>'APUS SANITARIAS'!J19</f>
        <v>67.521666666666661</v>
      </c>
      <c r="I46">
        <f t="shared" si="1"/>
        <v>144.74097892104322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>
        <f>2/9.33</f>
        <v>0.21436227224008575</v>
      </c>
      <c r="F48" t="s">
        <v>214</v>
      </c>
      <c r="G48" s="21">
        <f>E48*$M$2</f>
        <v>2.1436227224008575</v>
      </c>
      <c r="H48" s="12">
        <f>'APUS SANITARIAS'!J32</f>
        <v>131.73781333333332</v>
      </c>
      <c r="I48">
        <f>G48*H48</f>
        <v>282.39617006073598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>
        <f>2/9.33</f>
        <v>0.21436227224008575</v>
      </c>
      <c r="F53" t="s">
        <v>214</v>
      </c>
      <c r="G53" s="21">
        <f>E53*$M$2</f>
        <v>2.1436227224008575</v>
      </c>
      <c r="H53" s="12">
        <f>'APUS SANITARIAS'!J108</f>
        <v>138.64527999999999</v>
      </c>
      <c r="I53">
        <f>G53*H53</f>
        <v>297.20317256162912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>
        <f t="shared" ref="E54:E55" si="2">2/9.33</f>
        <v>0.21436227224008575</v>
      </c>
      <c r="F54" t="s">
        <v>214</v>
      </c>
      <c r="G54" s="21">
        <f>E54*$M$2</f>
        <v>2.1436227224008575</v>
      </c>
      <c r="H54" s="12">
        <f>'APUS SANITARIAS'!J127</f>
        <v>145.93577999999999</v>
      </c>
      <c r="I54">
        <f>G54*H54</f>
        <v>312.8312540192926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>
        <f t="shared" si="2"/>
        <v>0.21436227224008575</v>
      </c>
      <c r="F55" t="s">
        <v>214</v>
      </c>
      <c r="G55" s="21">
        <f>E55*$M$2</f>
        <v>2.1436227224008575</v>
      </c>
      <c r="H55" s="12">
        <f>'APUS SANITARIAS'!J145</f>
        <v>141.07118</v>
      </c>
      <c r="I55">
        <f>G55*H55</f>
        <v>302.40338692390139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1/9.33</f>
        <v>0.10718113612004287</v>
      </c>
      <c r="F59" t="s">
        <v>214</v>
      </c>
      <c r="G59" s="21">
        <f>E59*$M$2</f>
        <v>1.0718113612004287</v>
      </c>
      <c r="H59" s="12">
        <f>'APUS ELECTRICAS'!J5</f>
        <v>121.04310400000001</v>
      </c>
      <c r="I59">
        <f>G59*H59</f>
        <v>129.73537406216508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1/9.33</f>
        <v>0.10718113612004287</v>
      </c>
      <c r="F60" t="s">
        <v>214</v>
      </c>
      <c r="G60" s="21">
        <f>E60*$M$2</f>
        <v>1.0718113612004287</v>
      </c>
      <c r="H60" s="12">
        <f>'APUS ELECTRICAS'!J26</f>
        <v>163.73838000000001</v>
      </c>
      <c r="I60">
        <f>G60*H60</f>
        <v>175.49665594855307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1/9.33</f>
        <v>0.10718113612004287</v>
      </c>
      <c r="F61" t="s">
        <v>214</v>
      </c>
      <c r="G61" s="21">
        <f>E61*$M$2</f>
        <v>1.0718113612004287</v>
      </c>
      <c r="H61" s="12">
        <f>'APUS ELECTRICAS'!J48</f>
        <v>118.30689999999998</v>
      </c>
      <c r="I61">
        <f>G61*H61</f>
        <v>126.80267952840299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>
        <f>1/9.33</f>
        <v>0.10718113612004287</v>
      </c>
      <c r="F62" t="s">
        <v>214</v>
      </c>
      <c r="G62" s="21">
        <f>E62*$M$2</f>
        <v>1.0718113612004287</v>
      </c>
      <c r="H62" s="12">
        <f>'APUS ELECTRICAS'!J66</f>
        <v>7.34</v>
      </c>
      <c r="I62">
        <f>G62*H62</f>
        <v>7.867095391211147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1/9.33</f>
        <v>0.10718113612004287</v>
      </c>
      <c r="F64" t="s">
        <v>149</v>
      </c>
      <c r="G64" s="21">
        <f>E64*$M$2</f>
        <v>1.0718113612004287</v>
      </c>
      <c r="H64" s="12">
        <f>'APUS ELECTRICAS'!J74</f>
        <v>396.14503200000001</v>
      </c>
      <c r="I64">
        <f>G64*H64</f>
        <v>424.59274598070743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1/9.33</f>
        <v>0.10718113612004287</v>
      </c>
      <c r="F65" t="s">
        <v>149</v>
      </c>
      <c r="G65" s="21">
        <f>E65*$M$2</f>
        <v>1.0718113612004287</v>
      </c>
      <c r="H65" s="12">
        <f>'APUS ELECTRICAS'!J88</f>
        <v>105.9636</v>
      </c>
      <c r="I65">
        <f>G65*H65</f>
        <v>113.57299035369775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279.85309999999998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95.843099999999993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95.843099999999993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26.403334000000001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25.004334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19.232787999999999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16.371788000000002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62.670152000000002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58.850152000000008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57.88015200000001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99.340459999999993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633.69880000000001</v>
      </c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520.83879999999999</v>
      </c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367.66879999999998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96.144090000000006</v>
      </c>
    </row>
    <row r="91" spans="1:68">
      <c r="H91" s="12">
        <f>'APUS COMUNICACIONES'!J513</f>
        <v>64.330690000000004</v>
      </c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1E789-967D-43B7-BF30-0810B1E6D6AA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'!D55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10148.482905882953</v>
      </c>
      <c r="L4" s="25" t="s">
        <v>1368</v>
      </c>
      <c r="M4" s="130">
        <f>J4/M2</f>
        <v>1014.8482905882953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(((2.8*4+6.95)*3)-(0.2*60))/60</f>
        <v>0.70749999999999991</v>
      </c>
      <c r="F6" s="63" t="s">
        <v>133</v>
      </c>
      <c r="G6" s="21">
        <f>E6*$M$2</f>
        <v>7.0749999999999993</v>
      </c>
      <c r="H6" s="12">
        <f>'APUS ARQUITECTURA'!J5</f>
        <v>135.824337926792</v>
      </c>
      <c r="I6">
        <f>G6*H6</f>
        <v>960.95719083205324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>
        <f>6.95*3/60</f>
        <v>0.34750000000000003</v>
      </c>
      <c r="F7" s="63" t="s">
        <v>133</v>
      </c>
      <c r="G7" s="21">
        <f>E7*$M$2</f>
        <v>3.4750000000000005</v>
      </c>
      <c r="H7" s="12">
        <f>'APUS ARQUITECTURA'!J32</f>
        <v>150.06569999999999</v>
      </c>
      <c r="I7">
        <f>G7*H7</f>
        <v>521.47830750000003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((4*8.65)*3)/60</f>
        <v>1.7300000000000002</v>
      </c>
      <c r="F13" t="s">
        <v>133</v>
      </c>
      <c r="G13" s="21">
        <f>E13*$M$2</f>
        <v>17.3</v>
      </c>
      <c r="H13" s="12">
        <f>'APUS ARQUITECTURA'!J127</f>
        <v>27.122965133333338</v>
      </c>
      <c r="I13">
        <f>G13*H13</f>
        <v>469.22729680666674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((2*8.65*3.3)+((8.65/2)*3.3)-(60*0.2)-(2*0.75*2.1))/60</f>
        <v>0.93687500000000001</v>
      </c>
      <c r="F14" t="s">
        <v>133</v>
      </c>
      <c r="G14" s="21">
        <f>E14*$M$2</f>
        <v>9.3687500000000004</v>
      </c>
      <c r="H14" s="12">
        <f>'APUS ARQUITECTURA'!J148</f>
        <v>35.840962666666663</v>
      </c>
      <c r="I14">
        <f>G14*H14</f>
        <v>335.78501898333332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1.1000000000000001</v>
      </c>
      <c r="F19" t="s">
        <v>203</v>
      </c>
      <c r="G19" s="21">
        <f>E19*$M$2</f>
        <v>11</v>
      </c>
      <c r="H19" s="12">
        <f>'APUS ARQUITECTURA'!J212</f>
        <v>62.663358000000002</v>
      </c>
      <c r="I19">
        <f>G19*H19</f>
        <v>689.29693800000007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>
        <v>1</v>
      </c>
      <c r="F26" t="s">
        <v>133</v>
      </c>
      <c r="G26" s="21">
        <f>E26*$M$2</f>
        <v>10</v>
      </c>
      <c r="H26" s="12">
        <f>'APUS ARQUITECTURA'!J340</f>
        <v>201.23</v>
      </c>
      <c r="I26">
        <f>G26*H26</f>
        <v>2012.3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>
        <f>((6.95+8.65)*2-(2*1))/64</f>
        <v>0.45625000000000004</v>
      </c>
      <c r="F31" t="s">
        <v>144</v>
      </c>
      <c r="G31" s="21">
        <f>E31*$M$2</f>
        <v>4.5625</v>
      </c>
      <c r="H31" s="12">
        <f>'APUS ARQUITECTURA'!J403</f>
        <v>25</v>
      </c>
      <c r="I31">
        <f>G31*H31</f>
        <v>114.0625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2*2.1/60</f>
        <v>7.0000000000000007E-2</v>
      </c>
      <c r="F35" t="s">
        <v>133</v>
      </c>
      <c r="G35" s="21">
        <f>E35*$M$2</f>
        <v>0.70000000000000007</v>
      </c>
      <c r="H35" s="12">
        <f>'APUS ARQUITECTURA'!J449</f>
        <v>560.62260000000003</v>
      </c>
      <c r="I35">
        <f>G35*H35</f>
        <v>392.43582000000004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(64*0.25)/64</f>
        <v>0.25</v>
      </c>
      <c r="F36" t="s">
        <v>133</v>
      </c>
      <c r="G36" s="21">
        <f>E36*$M$2</f>
        <v>2.5</v>
      </c>
      <c r="H36" s="12">
        <f>'APUS ARQUITECTURA'!J456</f>
        <v>367.87083424090611</v>
      </c>
      <c r="I36">
        <f>G36*H36</f>
        <v>919.67708560226527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E18+E13</f>
        <v>1.7300000000000002</v>
      </c>
      <c r="F41" t="s">
        <v>133</v>
      </c>
      <c r="G41" s="21">
        <f>E41*$M$2</f>
        <v>17.3</v>
      </c>
      <c r="H41" s="12">
        <f>'APUS ARQUITECTURA'!J484</f>
        <v>15.625164000000002</v>
      </c>
      <c r="I41">
        <f>G41*H41</f>
        <v>270.31533720000004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0.93687500000000001</v>
      </c>
      <c r="F42" s="105" t="s">
        <v>133</v>
      </c>
      <c r="G42" s="21">
        <f>E42*$M$2</f>
        <v>9.3687500000000004</v>
      </c>
      <c r="H42" s="12">
        <f>'APUS ARQUITECTURA'!J504</f>
        <v>15.956285454545455</v>
      </c>
      <c r="I42">
        <f>G42*H42</f>
        <v>149.49044935227275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 t="shared" ref="G44:G46" si="0"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>
        <v>0.02</v>
      </c>
      <c r="F53" t="s">
        <v>214</v>
      </c>
      <c r="G53" s="21">
        <f>E53*$M$2</f>
        <v>0.2</v>
      </c>
      <c r="H53" s="12">
        <f>'APUS SANITARIAS'!J108</f>
        <v>138.64527999999999</v>
      </c>
      <c r="I53">
        <f>G53*H53</f>
        <v>27.729056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>
        <v>0.02</v>
      </c>
      <c r="F54" t="s">
        <v>214</v>
      </c>
      <c r="G54" s="21">
        <f>E54*$M$2</f>
        <v>0.2</v>
      </c>
      <c r="H54" s="12">
        <f>'APUS SANITARIAS'!J127</f>
        <v>145.93577999999999</v>
      </c>
      <c r="I54">
        <f>G54*H54</f>
        <v>29.187156000000002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>
        <v>0.02</v>
      </c>
      <c r="F55" t="s">
        <v>214</v>
      </c>
      <c r="G55" s="21">
        <f>E55*$M$2</f>
        <v>0.2</v>
      </c>
      <c r="H55" s="12">
        <f>'APUS SANITARIAS'!J145</f>
        <v>141.07118</v>
      </c>
      <c r="I55">
        <f>G55*H55</f>
        <v>28.214236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30/120</f>
        <v>0.25</v>
      </c>
      <c r="F59" t="s">
        <v>214</v>
      </c>
      <c r="G59" s="21">
        <f>E59*$M$2</f>
        <v>2.5</v>
      </c>
      <c r="H59" s="12">
        <f>'APUS ELECTRICAS'!J5</f>
        <v>121.04310400000001</v>
      </c>
      <c r="I59">
        <f>G59*H59</f>
        <v>302.60776000000004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30/120</f>
        <v>0.25</v>
      </c>
      <c r="F60" t="s">
        <v>214</v>
      </c>
      <c r="G60" s="21">
        <f>E60*$M$2</f>
        <v>2.5</v>
      </c>
      <c r="H60" s="12">
        <f>'APUS ELECTRICAS'!J26</f>
        <v>163.73838000000001</v>
      </c>
      <c r="I60">
        <f>G60*H60</f>
        <v>409.34595000000002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30/120</f>
        <v>0.25</v>
      </c>
      <c r="F61" t="s">
        <v>214</v>
      </c>
      <c r="G61" s="21">
        <f>E61*$M$2</f>
        <v>2.5</v>
      </c>
      <c r="H61" s="12">
        <f>'APUS ELECTRICAS'!J48</f>
        <v>118.30689999999998</v>
      </c>
      <c r="I61">
        <f>G61*H61</f>
        <v>295.76724999999999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>
        <f>3/120</f>
        <v>2.5000000000000001E-2</v>
      </c>
      <c r="F62" t="s">
        <v>214</v>
      </c>
      <c r="G62" s="21">
        <f>E62*$M$2</f>
        <v>0.25</v>
      </c>
      <c r="H62" s="12">
        <f>'APUS ELECTRICAS'!J66</f>
        <v>7.34</v>
      </c>
      <c r="I62">
        <f>G62*H62</f>
        <v>1.835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(64/10)/60</f>
        <v>0.10666666666666667</v>
      </c>
      <c r="F64" t="s">
        <v>149</v>
      </c>
      <c r="G64" s="21">
        <f>E64*$M$2</f>
        <v>1.0666666666666667</v>
      </c>
      <c r="H64" s="12">
        <f>'APUS ELECTRICAS'!J74</f>
        <v>396.14503200000001</v>
      </c>
      <c r="I64">
        <f>G64*H64</f>
        <v>422.55470080000003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(64/10)/60</f>
        <v>0.10666666666666667</v>
      </c>
      <c r="F65" t="s">
        <v>149</v>
      </c>
      <c r="G65" s="21">
        <f>E65*$M$2</f>
        <v>1.0666666666666667</v>
      </c>
      <c r="H65" s="12">
        <f>'APUS ELECTRICAS'!J88</f>
        <v>105.9636</v>
      </c>
      <c r="I65">
        <f>G65*H65</f>
        <v>113.02784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>G72*H72</f>
        <v>36.294941296928322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2">E73*$M$2</f>
        <v>6.8259385665529013E-2</v>
      </c>
      <c r="H73" s="61">
        <f>'APUS COMUNICACIONES'!J23</f>
        <v>95.843099999999993</v>
      </c>
      <c r="I73">
        <f>G73*H73</f>
        <v>6.5421911262798629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2"/>
        <v>0.11604095563139932</v>
      </c>
      <c r="H74" s="61">
        <f>'APUS COMUNICACIONES'!J41</f>
        <v>95.843099999999993</v>
      </c>
      <c r="I74">
        <f>G74*H74</f>
        <v>11.121724914675768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2"/>
        <v>3.2491467576791805E-2</v>
      </c>
      <c r="H75" s="61">
        <f>'APUS COMUNICACIONES'!J59</f>
        <v>26.403334000000001</v>
      </c>
      <c r="I75">
        <f>G75*H75</f>
        <v>0.85788307058020474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2"/>
        <v>0.6778839590443686</v>
      </c>
      <c r="H76" s="61">
        <f>'APUS COMUNICACIONES'!J77</f>
        <v>25.004334</v>
      </c>
      <c r="I76">
        <f>G76*H76</f>
        <v>16.950036925187714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2"/>
        <v>2.742457337883959</v>
      </c>
      <c r="H77" s="61">
        <f>'APUS COMUNICACIONES'!J95</f>
        <v>19.232787999999999</v>
      </c>
      <c r="I77">
        <f>G77*H77</f>
        <v>52.74510057856655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2"/>
        <v>1.6109215017064846E-2</v>
      </c>
      <c r="H78" s="61">
        <f>'APUS COMUNICACIONES'!J113</f>
        <v>16.371788000000002</v>
      </c>
      <c r="I78">
        <f>G78*H78</f>
        <v>0.26373665310580208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2"/>
        <v>6.8259385665529013E-2</v>
      </c>
      <c r="H79" s="61">
        <f>'APUS COMUNICACIONES'!J131</f>
        <v>62.670152000000002</v>
      </c>
      <c r="I79">
        <f>G79*H79</f>
        <v>4.2778260750853248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2"/>
        <v>0.12969283276450511</v>
      </c>
      <c r="H80" s="61">
        <f>'APUS COMUNICACIONES'!J146</f>
        <v>58.850152000000008</v>
      </c>
      <c r="I80">
        <f>G80*H80</f>
        <v>7.6324429215017071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2"/>
        <v>2.0477815699658702E-2</v>
      </c>
      <c r="H81" s="61">
        <f>'APUS COMUNICACIONES'!J161</f>
        <v>57.88015200000001</v>
      </c>
      <c r="I81">
        <f>G81*H81</f>
        <v>1.1852590853242322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2"/>
        <v>0.12627986348122866</v>
      </c>
      <c r="H82" s="61">
        <f>'APUS COMUNICACIONES'!J176</f>
        <v>99.340459999999993</v>
      </c>
      <c r="I82">
        <f>G82*H82</f>
        <v>12.544699726962456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3">E85*$M$2</f>
        <v>2.7303754266211604E-2</v>
      </c>
      <c r="H85" s="12">
        <f>'APUS COMUNICACIONES'!J422</f>
        <v>633.69880000000001</v>
      </c>
      <c r="I85">
        <f>G85*H85</f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>G86*H86</f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4">E88*$M$2</f>
        <v>6.8259385665529013E-2</v>
      </c>
      <c r="H88" s="12">
        <f>'APUS COMUNICACIONES'!J469</f>
        <v>367.66879999999998</v>
      </c>
      <c r="I88">
        <f>G88*H88</f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5">E90*$M$2</f>
        <v>2.7303754266211604E-2</v>
      </c>
      <c r="H90" s="12">
        <f>'APUS COMUNICACIONES'!J497</f>
        <v>96.144090000000006</v>
      </c>
      <c r="I90">
        <f>G90*H90</f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5"/>
        <v>2.7303754266211604E-2</v>
      </c>
      <c r="H91" s="12">
        <f>'APUS COMUNICACIONES'!J513</f>
        <v>64.330690000000004</v>
      </c>
      <c r="I91">
        <f>G91*H91</f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97D1-B408-4495-8A14-C7C1FADE8356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'!D56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10148.482905882953</v>
      </c>
      <c r="L4" s="25" t="s">
        <v>1368</v>
      </c>
      <c r="M4" s="130">
        <f>J4/M2</f>
        <v>1014.8482905882953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(((2.8*4+6.95)*3)-(0.2*60))/60</f>
        <v>0.70749999999999991</v>
      </c>
      <c r="F6" s="63" t="s">
        <v>133</v>
      </c>
      <c r="G6" s="21">
        <f>E6*$M$2</f>
        <v>7.0749999999999993</v>
      </c>
      <c r="H6" s="12">
        <f>'APUS ARQUITECTURA'!J5</f>
        <v>135.824337926792</v>
      </c>
      <c r="I6">
        <f>G6*H6</f>
        <v>960.95719083205324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>
        <f>6.95*3/60</f>
        <v>0.34750000000000003</v>
      </c>
      <c r="F7" s="63" t="s">
        <v>133</v>
      </c>
      <c r="G7" s="21">
        <f>E7*$M$2</f>
        <v>3.4750000000000005</v>
      </c>
      <c r="H7" s="12">
        <f>'APUS ARQUITECTURA'!J32</f>
        <v>150.06569999999999</v>
      </c>
      <c r="I7">
        <f>G7*H7</f>
        <v>521.47830750000003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((4*8.65)*3)/60</f>
        <v>1.7300000000000002</v>
      </c>
      <c r="F13" t="s">
        <v>133</v>
      </c>
      <c r="G13" s="21">
        <f>E13*$M$2</f>
        <v>17.3</v>
      </c>
      <c r="H13" s="12">
        <f>'APUS ARQUITECTURA'!J127</f>
        <v>27.122965133333338</v>
      </c>
      <c r="I13">
        <f>G13*H13</f>
        <v>469.22729680666674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((2*8.65*3.3)+((8.65/2)*3.3)-(60*0.2)-(2*0.75*2.1))/60</f>
        <v>0.93687500000000001</v>
      </c>
      <c r="F14" t="s">
        <v>133</v>
      </c>
      <c r="G14" s="21">
        <f>E14*$M$2</f>
        <v>9.3687500000000004</v>
      </c>
      <c r="H14" s="12">
        <f>'APUS ARQUITECTURA'!J148</f>
        <v>35.840962666666663</v>
      </c>
      <c r="I14">
        <f>G14*H14</f>
        <v>335.78501898333332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1.1000000000000001</v>
      </c>
      <c r="F19" t="s">
        <v>203</v>
      </c>
      <c r="G19" s="21">
        <f>E19*$M$2</f>
        <v>11</v>
      </c>
      <c r="H19" s="12">
        <f>'APUS ARQUITECTURA'!J212</f>
        <v>62.663358000000002</v>
      </c>
      <c r="I19">
        <f>G19*H19</f>
        <v>689.29693800000007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>
        <v>1</v>
      </c>
      <c r="F26" t="s">
        <v>133</v>
      </c>
      <c r="G26" s="21">
        <f>E26*$M$2</f>
        <v>10</v>
      </c>
      <c r="H26" s="12">
        <f>'APUS ARQUITECTURA'!J340</f>
        <v>201.23</v>
      </c>
      <c r="I26">
        <f>G26*H26</f>
        <v>2012.3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>
        <f>((6.95+8.65)*2-(2*1))/64</f>
        <v>0.45625000000000004</v>
      </c>
      <c r="F31" t="s">
        <v>144</v>
      </c>
      <c r="G31" s="21">
        <f>E31*$M$2</f>
        <v>4.5625</v>
      </c>
      <c r="H31" s="12">
        <f>'APUS ARQUITECTURA'!J403</f>
        <v>25</v>
      </c>
      <c r="I31">
        <f>G31*H31</f>
        <v>114.0625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2*2.1/60</f>
        <v>7.0000000000000007E-2</v>
      </c>
      <c r="F35" t="s">
        <v>133</v>
      </c>
      <c r="G35" s="21">
        <f>E35*$M$2</f>
        <v>0.70000000000000007</v>
      </c>
      <c r="H35" s="12">
        <f>'APUS ARQUITECTURA'!J449</f>
        <v>560.62260000000003</v>
      </c>
      <c r="I35">
        <f>G35*H35</f>
        <v>392.43582000000004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(64*0.25)/64</f>
        <v>0.25</v>
      </c>
      <c r="F36" t="s">
        <v>133</v>
      </c>
      <c r="G36" s="21">
        <f>E36*$M$2</f>
        <v>2.5</v>
      </c>
      <c r="H36" s="12">
        <f>'APUS ARQUITECTURA'!J456</f>
        <v>367.87083424090611</v>
      </c>
      <c r="I36">
        <f>G36*H36</f>
        <v>919.67708560226527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E18+E13</f>
        <v>1.7300000000000002</v>
      </c>
      <c r="F41" t="s">
        <v>133</v>
      </c>
      <c r="G41" s="21">
        <f>E41*$M$2</f>
        <v>17.3</v>
      </c>
      <c r="H41" s="12">
        <f>'APUS ARQUITECTURA'!J484</f>
        <v>15.625164000000002</v>
      </c>
      <c r="I41">
        <f>G41*H41</f>
        <v>270.31533720000004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0.93687500000000001</v>
      </c>
      <c r="F42" s="105" t="s">
        <v>133</v>
      </c>
      <c r="G42" s="21">
        <f>E42*$M$2</f>
        <v>9.3687500000000004</v>
      </c>
      <c r="H42" s="12">
        <f>'APUS ARQUITECTURA'!J504</f>
        <v>15.956285454545455</v>
      </c>
      <c r="I42">
        <f>G42*H42</f>
        <v>149.49044935227275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 t="shared" ref="G44:G46" si="0"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 t="shared" si="0"/>
        <v>0</v>
      </c>
      <c r="H45" s="12">
        <f>'APUS SANITARIAS'!J12</f>
        <v>192.42</v>
      </c>
      <c r="I45">
        <f t="shared" ref="I45:I46" si="1"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 t="shared" si="0"/>
        <v>0</v>
      </c>
      <c r="H46" s="12">
        <f>'APUS SANITARIAS'!J19</f>
        <v>67.521666666666661</v>
      </c>
      <c r="I46">
        <f t="shared" si="1"/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>
        <v>0.02</v>
      </c>
      <c r="F53" t="s">
        <v>214</v>
      </c>
      <c r="G53" s="21">
        <f>E53*$M$2</f>
        <v>0.2</v>
      </c>
      <c r="H53" s="12">
        <f>'APUS SANITARIAS'!J108</f>
        <v>138.64527999999999</v>
      </c>
      <c r="I53">
        <f>G53*H53</f>
        <v>27.729056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>
        <v>0.02</v>
      </c>
      <c r="F54" t="s">
        <v>214</v>
      </c>
      <c r="G54" s="21">
        <f>E54*$M$2</f>
        <v>0.2</v>
      </c>
      <c r="H54" s="12">
        <f>'APUS SANITARIAS'!J127</f>
        <v>145.93577999999999</v>
      </c>
      <c r="I54">
        <f>G54*H54</f>
        <v>29.187156000000002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>
        <v>0.02</v>
      </c>
      <c r="F55" t="s">
        <v>214</v>
      </c>
      <c r="G55" s="21">
        <f>E55*$M$2</f>
        <v>0.2</v>
      </c>
      <c r="H55" s="12">
        <f>'APUS SANITARIAS'!J145</f>
        <v>141.07118</v>
      </c>
      <c r="I55">
        <f>G55*H55</f>
        <v>28.214236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30/120</f>
        <v>0.25</v>
      </c>
      <c r="F59" t="s">
        <v>214</v>
      </c>
      <c r="G59" s="21">
        <f>E59*$M$2</f>
        <v>2.5</v>
      </c>
      <c r="H59" s="12">
        <f>'APUS ELECTRICAS'!J5</f>
        <v>121.04310400000001</v>
      </c>
      <c r="I59">
        <f>G59*H59</f>
        <v>302.60776000000004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30/120</f>
        <v>0.25</v>
      </c>
      <c r="F60" t="s">
        <v>214</v>
      </c>
      <c r="G60" s="21">
        <f>E60*$M$2</f>
        <v>2.5</v>
      </c>
      <c r="H60" s="12">
        <f>'APUS ELECTRICAS'!J26</f>
        <v>163.73838000000001</v>
      </c>
      <c r="I60">
        <f>G60*H60</f>
        <v>409.34595000000002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30/120</f>
        <v>0.25</v>
      </c>
      <c r="F61" t="s">
        <v>214</v>
      </c>
      <c r="G61" s="21">
        <f>E61*$M$2</f>
        <v>2.5</v>
      </c>
      <c r="H61" s="12">
        <f>'APUS ELECTRICAS'!J48</f>
        <v>118.30689999999998</v>
      </c>
      <c r="I61">
        <f>G61*H61</f>
        <v>295.76724999999999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>
        <f>3/120</f>
        <v>2.5000000000000001E-2</v>
      </c>
      <c r="F62" t="s">
        <v>214</v>
      </c>
      <c r="G62" s="21">
        <f>E62*$M$2</f>
        <v>0.25</v>
      </c>
      <c r="H62" s="12">
        <f>'APUS ELECTRICAS'!J66</f>
        <v>7.34</v>
      </c>
      <c r="I62">
        <f>G62*H62</f>
        <v>1.835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(64/10)/60</f>
        <v>0.10666666666666667</v>
      </c>
      <c r="F64" t="s">
        <v>149</v>
      </c>
      <c r="G64" s="21">
        <f>E64*$M$2</f>
        <v>1.0666666666666667</v>
      </c>
      <c r="H64" s="12">
        <f>'APUS ELECTRICAS'!J74</f>
        <v>396.14503200000001</v>
      </c>
      <c r="I64">
        <f>G64*H64</f>
        <v>422.55470080000003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(64/10)/60</f>
        <v>0.10666666666666667</v>
      </c>
      <c r="F65" t="s">
        <v>149</v>
      </c>
      <c r="G65" s="21">
        <f>E65*$M$2</f>
        <v>1.0666666666666667</v>
      </c>
      <c r="H65" s="12">
        <f>'APUS ELECTRICAS'!J88</f>
        <v>105.9636</v>
      </c>
      <c r="I65">
        <f>G65*H65</f>
        <v>113.02784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>G72*H72</f>
        <v>36.294941296928322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2">E73*$M$2</f>
        <v>6.8259385665529013E-2</v>
      </c>
      <c r="H73" s="61">
        <f>'APUS COMUNICACIONES'!J23</f>
        <v>95.843099999999993</v>
      </c>
      <c r="I73">
        <f>G73*H73</f>
        <v>6.5421911262798629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2"/>
        <v>0.11604095563139932</v>
      </c>
      <c r="H74" s="61">
        <f>'APUS COMUNICACIONES'!J41</f>
        <v>95.843099999999993</v>
      </c>
      <c r="I74">
        <f>G74*H74</f>
        <v>11.121724914675768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2"/>
        <v>3.2491467576791805E-2</v>
      </c>
      <c r="H75" s="61">
        <f>'APUS COMUNICACIONES'!J59</f>
        <v>26.403334000000001</v>
      </c>
      <c r="I75">
        <f>G75*H75</f>
        <v>0.85788307058020474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2"/>
        <v>0.6778839590443686</v>
      </c>
      <c r="H76" s="61">
        <f>'APUS COMUNICACIONES'!J77</f>
        <v>25.004334</v>
      </c>
      <c r="I76">
        <f>G76*H76</f>
        <v>16.950036925187714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2"/>
        <v>2.742457337883959</v>
      </c>
      <c r="H77" s="61">
        <f>'APUS COMUNICACIONES'!J95</f>
        <v>19.232787999999999</v>
      </c>
      <c r="I77">
        <f>G77*H77</f>
        <v>52.74510057856655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2"/>
        <v>1.6109215017064846E-2</v>
      </c>
      <c r="H78" s="61">
        <f>'APUS COMUNICACIONES'!J113</f>
        <v>16.371788000000002</v>
      </c>
      <c r="I78">
        <f>G78*H78</f>
        <v>0.26373665310580208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2"/>
        <v>6.8259385665529013E-2</v>
      </c>
      <c r="H79" s="61">
        <f>'APUS COMUNICACIONES'!J131</f>
        <v>62.670152000000002</v>
      </c>
      <c r="I79">
        <f>G79*H79</f>
        <v>4.2778260750853248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2"/>
        <v>0.12969283276450511</v>
      </c>
      <c r="H80" s="61">
        <f>'APUS COMUNICACIONES'!J146</f>
        <v>58.850152000000008</v>
      </c>
      <c r="I80">
        <f>G80*H80</f>
        <v>7.6324429215017071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2"/>
        <v>2.0477815699658702E-2</v>
      </c>
      <c r="H81" s="61">
        <f>'APUS COMUNICACIONES'!J161</f>
        <v>57.88015200000001</v>
      </c>
      <c r="I81">
        <f>G81*H81</f>
        <v>1.1852590853242322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2"/>
        <v>0.12627986348122866</v>
      </c>
      <c r="H82" s="61">
        <f>'APUS COMUNICACIONES'!J176</f>
        <v>99.340459999999993</v>
      </c>
      <c r="I82">
        <f>G82*H82</f>
        <v>12.544699726962456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3">E85*$M$2</f>
        <v>2.7303754266211604E-2</v>
      </c>
      <c r="H85" s="12">
        <f>'APUS COMUNICACIONES'!J422</f>
        <v>633.69880000000001</v>
      </c>
      <c r="I85">
        <f>G85*H85</f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>G86*H86</f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4">E88*$M$2</f>
        <v>6.8259385665529013E-2</v>
      </c>
      <c r="H88" s="12">
        <f>'APUS COMUNICACIONES'!J469</f>
        <v>367.66879999999998</v>
      </c>
      <c r="I88">
        <f>G88*H88</f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5">E90*$M$2</f>
        <v>2.7303754266211604E-2</v>
      </c>
      <c r="H90" s="12">
        <f>'APUS COMUNICACIONES'!J497</f>
        <v>96.144090000000006</v>
      </c>
      <c r="I90">
        <f>G90*H90</f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5"/>
        <v>2.7303754266211604E-2</v>
      </c>
      <c r="H91" s="12">
        <f>'APUS COMUNICACIONES'!J513</f>
        <v>64.330690000000004</v>
      </c>
      <c r="I91">
        <f>G91*H91</f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F1189-0760-4ACE-8893-090CCD7EE1B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'!D57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10148.482905882953</v>
      </c>
      <c r="L4" s="25" t="s">
        <v>1368</v>
      </c>
      <c r="M4" s="130">
        <f>J4/M2</f>
        <v>1014.8482905882953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(((2.8*4+6.95)*3)-(0.2*60))/60</f>
        <v>0.70749999999999991</v>
      </c>
      <c r="F6" s="63" t="s">
        <v>133</v>
      </c>
      <c r="G6" s="21">
        <f>E6*$M$2</f>
        <v>7.0749999999999993</v>
      </c>
      <c r="H6" s="12">
        <f>'APUS ARQUITECTURA'!J5</f>
        <v>135.824337926792</v>
      </c>
      <c r="I6">
        <f>G6*H6</f>
        <v>960.95719083205324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>
        <f>6.95*3/60</f>
        <v>0.34750000000000003</v>
      </c>
      <c r="F7" s="63" t="s">
        <v>133</v>
      </c>
      <c r="G7" s="21">
        <f>E7*$M$2</f>
        <v>3.4750000000000005</v>
      </c>
      <c r="H7" s="12">
        <f>'APUS ARQUITECTURA'!J32</f>
        <v>150.06569999999999</v>
      </c>
      <c r="I7">
        <f>G7*H7</f>
        <v>521.47830750000003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((4*8.65)*3)/60</f>
        <v>1.7300000000000002</v>
      </c>
      <c r="F13" t="s">
        <v>133</v>
      </c>
      <c r="G13" s="21">
        <f>E13*$M$2</f>
        <v>17.3</v>
      </c>
      <c r="H13" s="12">
        <f>'APUS ARQUITECTURA'!J127</f>
        <v>27.122965133333338</v>
      </c>
      <c r="I13">
        <f>G13*H13</f>
        <v>469.22729680666674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((2*8.65*3.3)+((8.65/2)*3.3)-(60*0.2)-(2*0.75*2.1))/60</f>
        <v>0.93687500000000001</v>
      </c>
      <c r="F14" t="s">
        <v>133</v>
      </c>
      <c r="G14" s="21">
        <f>E14*$M$2</f>
        <v>9.3687500000000004</v>
      </c>
      <c r="H14" s="12">
        <f>'APUS ARQUITECTURA'!J148</f>
        <v>35.840962666666663</v>
      </c>
      <c r="I14">
        <f>G14*H14</f>
        <v>335.78501898333332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1.1000000000000001</v>
      </c>
      <c r="F19" t="s">
        <v>203</v>
      </c>
      <c r="G19" s="21">
        <f>E19*$M$2</f>
        <v>11</v>
      </c>
      <c r="H19" s="12">
        <f>'APUS ARQUITECTURA'!J212</f>
        <v>62.663358000000002</v>
      </c>
      <c r="I19">
        <f>G19*H19</f>
        <v>689.29693800000007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>
        <v>1</v>
      </c>
      <c r="F26" t="s">
        <v>133</v>
      </c>
      <c r="G26" s="21">
        <f>E26*$M$2</f>
        <v>10</v>
      </c>
      <c r="H26" s="12">
        <f>'APUS ARQUITECTURA'!J340</f>
        <v>201.23</v>
      </c>
      <c r="I26">
        <f>G26*H26</f>
        <v>2012.3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>
        <f>((6.95+8.65)*2-(2*1))/64</f>
        <v>0.45625000000000004</v>
      </c>
      <c r="F31" t="s">
        <v>144</v>
      </c>
      <c r="G31" s="21">
        <f>E31*$M$2</f>
        <v>4.5625</v>
      </c>
      <c r="H31" s="12">
        <f>'APUS ARQUITECTURA'!J403</f>
        <v>25</v>
      </c>
      <c r="I31">
        <f>G31*H31</f>
        <v>114.0625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2*2.1/60</f>
        <v>7.0000000000000007E-2</v>
      </c>
      <c r="F35" t="s">
        <v>133</v>
      </c>
      <c r="G35" s="21">
        <f>E35*$M$2</f>
        <v>0.70000000000000007</v>
      </c>
      <c r="H35" s="12">
        <f>'APUS ARQUITECTURA'!J449</f>
        <v>560.62260000000003</v>
      </c>
      <c r="I35">
        <f>G35*H35</f>
        <v>392.43582000000004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(64*0.25)/64</f>
        <v>0.25</v>
      </c>
      <c r="F36" t="s">
        <v>133</v>
      </c>
      <c r="G36" s="21">
        <f>E36*$M$2</f>
        <v>2.5</v>
      </c>
      <c r="H36" s="12">
        <f>'APUS ARQUITECTURA'!J456</f>
        <v>367.87083424090611</v>
      </c>
      <c r="I36">
        <f>G36*H36</f>
        <v>919.67708560226527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E18+E13</f>
        <v>1.7300000000000002</v>
      </c>
      <c r="F41" t="s">
        <v>133</v>
      </c>
      <c r="G41" s="21">
        <f>E41*$M$2</f>
        <v>17.3</v>
      </c>
      <c r="H41" s="12">
        <f>'APUS ARQUITECTURA'!J484</f>
        <v>15.625164000000002</v>
      </c>
      <c r="I41">
        <f>G41*H41</f>
        <v>270.31533720000004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0.93687500000000001</v>
      </c>
      <c r="F42" s="105" t="s">
        <v>133</v>
      </c>
      <c r="G42" s="21">
        <f>E42*$M$2</f>
        <v>9.3687500000000004</v>
      </c>
      <c r="H42" s="12">
        <f>'APUS ARQUITECTURA'!J504</f>
        <v>15.956285454545455</v>
      </c>
      <c r="I42">
        <f>G42*H42</f>
        <v>149.49044935227275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>
        <v>0.02</v>
      </c>
      <c r="F53" t="s">
        <v>214</v>
      </c>
      <c r="G53" s="21">
        <f>E53*$M$2</f>
        <v>0.2</v>
      </c>
      <c r="H53" s="12">
        <f>'APUS SANITARIAS'!J108</f>
        <v>138.64527999999999</v>
      </c>
      <c r="I53">
        <f>G53*H53</f>
        <v>27.729056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>
        <v>0.02</v>
      </c>
      <c r="F54" t="s">
        <v>214</v>
      </c>
      <c r="G54" s="21">
        <f>E54*$M$2</f>
        <v>0.2</v>
      </c>
      <c r="H54" s="12">
        <f>'APUS SANITARIAS'!J127</f>
        <v>145.93577999999999</v>
      </c>
      <c r="I54">
        <f>G54*H54</f>
        <v>29.187156000000002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>
        <v>0.02</v>
      </c>
      <c r="F55" t="s">
        <v>214</v>
      </c>
      <c r="G55" s="21">
        <f>E55*$M$2</f>
        <v>0.2</v>
      </c>
      <c r="H55" s="12">
        <f>'APUS SANITARIAS'!J145</f>
        <v>141.07118</v>
      </c>
      <c r="I55">
        <f>G55*H55</f>
        <v>28.214236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30/120</f>
        <v>0.25</v>
      </c>
      <c r="F59" t="s">
        <v>214</v>
      </c>
      <c r="G59" s="21">
        <f>E59*$M$2</f>
        <v>2.5</v>
      </c>
      <c r="H59" s="12">
        <f>'APUS ELECTRICAS'!J5</f>
        <v>121.04310400000001</v>
      </c>
      <c r="I59">
        <f>G59*H59</f>
        <v>302.60776000000004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30/120</f>
        <v>0.25</v>
      </c>
      <c r="F60" t="s">
        <v>214</v>
      </c>
      <c r="G60" s="21">
        <f>E60*$M$2</f>
        <v>2.5</v>
      </c>
      <c r="H60" s="12">
        <f>'APUS ELECTRICAS'!J26</f>
        <v>163.73838000000001</v>
      </c>
      <c r="I60">
        <f>G60*H60</f>
        <v>409.34595000000002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30/120</f>
        <v>0.25</v>
      </c>
      <c r="F61" t="s">
        <v>214</v>
      </c>
      <c r="G61" s="21">
        <f>E61*$M$2</f>
        <v>2.5</v>
      </c>
      <c r="H61" s="12">
        <f>'APUS ELECTRICAS'!J48</f>
        <v>118.30689999999998</v>
      </c>
      <c r="I61">
        <f>G61*H61</f>
        <v>295.76724999999999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>
        <f>3/120</f>
        <v>2.5000000000000001E-2</v>
      </c>
      <c r="F62" t="s">
        <v>214</v>
      </c>
      <c r="G62" s="21">
        <f>E62*$M$2</f>
        <v>0.25</v>
      </c>
      <c r="H62" s="12">
        <f>'APUS ELECTRICAS'!J66</f>
        <v>7.34</v>
      </c>
      <c r="I62">
        <f>G62*H62</f>
        <v>1.835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(64/10)/60</f>
        <v>0.10666666666666667</v>
      </c>
      <c r="F64" t="s">
        <v>149</v>
      </c>
      <c r="G64" s="21">
        <f>E64*$M$2</f>
        <v>1.0666666666666667</v>
      </c>
      <c r="H64" s="12">
        <f>'APUS ELECTRICAS'!J74</f>
        <v>396.14503200000001</v>
      </c>
      <c r="I64">
        <f>G64*H64</f>
        <v>422.55470080000003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(64/10)/60</f>
        <v>0.10666666666666667</v>
      </c>
      <c r="F65" t="s">
        <v>149</v>
      </c>
      <c r="G65" s="21">
        <f>E65*$M$2</f>
        <v>1.0666666666666667</v>
      </c>
      <c r="H65" s="12">
        <f>'APUS ELECTRICAS'!J88</f>
        <v>105.9636</v>
      </c>
      <c r="I65">
        <f>G65*H65</f>
        <v>113.02784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>G72*H72</f>
        <v>36.294941296928322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0">E73*$M$2</f>
        <v>6.8259385665529013E-2</v>
      </c>
      <c r="H73" s="61">
        <f>'APUS COMUNICACIONES'!J23</f>
        <v>95.843099999999993</v>
      </c>
      <c r="I73">
        <f>G73*H73</f>
        <v>6.5421911262798629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0"/>
        <v>0.11604095563139932</v>
      </c>
      <c r="H74" s="61">
        <f>'APUS COMUNICACIONES'!J41</f>
        <v>95.843099999999993</v>
      </c>
      <c r="I74">
        <f>G74*H74</f>
        <v>11.121724914675768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0"/>
        <v>3.2491467576791805E-2</v>
      </c>
      <c r="H75" s="61">
        <f>'APUS COMUNICACIONES'!J59</f>
        <v>26.403334000000001</v>
      </c>
      <c r="I75">
        <f>G75*H75</f>
        <v>0.85788307058020474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0"/>
        <v>0.6778839590443686</v>
      </c>
      <c r="H76" s="61">
        <f>'APUS COMUNICACIONES'!J77</f>
        <v>25.004334</v>
      </c>
      <c r="I76">
        <f>G76*H76</f>
        <v>16.950036925187714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0"/>
        <v>2.742457337883959</v>
      </c>
      <c r="H77" s="61">
        <f>'APUS COMUNICACIONES'!J95</f>
        <v>19.232787999999999</v>
      </c>
      <c r="I77">
        <f>G77*H77</f>
        <v>52.74510057856655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0"/>
        <v>1.6109215017064846E-2</v>
      </c>
      <c r="H78" s="61">
        <f>'APUS COMUNICACIONES'!J113</f>
        <v>16.371788000000002</v>
      </c>
      <c r="I78">
        <f>G78*H78</f>
        <v>0.26373665310580208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0"/>
        <v>6.8259385665529013E-2</v>
      </c>
      <c r="H79" s="61">
        <f>'APUS COMUNICACIONES'!J131</f>
        <v>62.670152000000002</v>
      </c>
      <c r="I79">
        <f>G79*H79</f>
        <v>4.2778260750853248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0"/>
        <v>0.12969283276450511</v>
      </c>
      <c r="H80" s="61">
        <f>'APUS COMUNICACIONES'!J146</f>
        <v>58.850152000000008</v>
      </c>
      <c r="I80">
        <f>G80*H80</f>
        <v>7.6324429215017071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0"/>
        <v>2.0477815699658702E-2</v>
      </c>
      <c r="H81" s="61">
        <f>'APUS COMUNICACIONES'!J161</f>
        <v>57.88015200000001</v>
      </c>
      <c r="I81">
        <f>G81*H81</f>
        <v>1.1852590853242322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0"/>
        <v>0.12627986348122866</v>
      </c>
      <c r="H82" s="61">
        <f>'APUS COMUNICACIONES'!J176</f>
        <v>99.340459999999993</v>
      </c>
      <c r="I82">
        <f>G82*H82</f>
        <v>12.544699726962456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1">E85*$M$2</f>
        <v>2.7303754266211604E-2</v>
      </c>
      <c r="H85" s="12">
        <f>'APUS COMUNICACIONES'!J422</f>
        <v>633.69880000000001</v>
      </c>
      <c r="I85">
        <f>G85*H85</f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>G86*H86</f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2">E88*$M$2</f>
        <v>6.8259385665529013E-2</v>
      </c>
      <c r="H88" s="12">
        <f>'APUS COMUNICACIONES'!J469</f>
        <v>367.66879999999998</v>
      </c>
      <c r="I88">
        <f>G88*H88</f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3">E90*$M$2</f>
        <v>2.7303754266211604E-2</v>
      </c>
      <c r="H90" s="12">
        <f>'APUS COMUNICACIONES'!J497</f>
        <v>96.144090000000006</v>
      </c>
      <c r="I90">
        <f>G90*H90</f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3"/>
        <v>2.7303754266211604E-2</v>
      </c>
      <c r="H91" s="12">
        <f>'APUS COMUNICACIONES'!J513</f>
        <v>64.330690000000004</v>
      </c>
      <c r="I91">
        <f>G91*H91</f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6A3C9-8827-41EC-A972-8D77D338AB25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'!D58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10148.482905882953</v>
      </c>
      <c r="L4" s="25" t="s">
        <v>1368</v>
      </c>
      <c r="M4" s="130">
        <f>J4/M2</f>
        <v>1014.8482905882953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(((2.8*4+6.95)*3)-(0.2*60))/60</f>
        <v>0.70749999999999991</v>
      </c>
      <c r="F6" s="63" t="s">
        <v>133</v>
      </c>
      <c r="G6" s="21">
        <f>E6*$M$2</f>
        <v>7.0749999999999993</v>
      </c>
      <c r="H6" s="12">
        <f>'APUS ARQUITECTURA'!J5</f>
        <v>135.824337926792</v>
      </c>
      <c r="I6">
        <f>G6*H6</f>
        <v>960.95719083205324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>
        <f>6.95*3/60</f>
        <v>0.34750000000000003</v>
      </c>
      <c r="F7" s="63" t="s">
        <v>133</v>
      </c>
      <c r="G7" s="21">
        <f>E7*$M$2</f>
        <v>3.4750000000000005</v>
      </c>
      <c r="H7" s="12">
        <f>'APUS ARQUITECTURA'!J32</f>
        <v>150.06569999999999</v>
      </c>
      <c r="I7">
        <f>G7*H7</f>
        <v>521.47830750000003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((4*8.65)*3)/60</f>
        <v>1.7300000000000002</v>
      </c>
      <c r="F13" t="s">
        <v>133</v>
      </c>
      <c r="G13" s="21">
        <f>E13*$M$2</f>
        <v>17.3</v>
      </c>
      <c r="H13" s="12">
        <f>'APUS ARQUITECTURA'!J127</f>
        <v>27.122965133333338</v>
      </c>
      <c r="I13">
        <f>G13*H13</f>
        <v>469.22729680666674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((2*8.65*3.3)+((8.65/2)*3.3)-(60*0.2)-(2*0.75*2.1))/60</f>
        <v>0.93687500000000001</v>
      </c>
      <c r="F14" t="s">
        <v>133</v>
      </c>
      <c r="G14" s="21">
        <f>E14*$M$2</f>
        <v>9.3687500000000004</v>
      </c>
      <c r="H14" s="12">
        <f>'APUS ARQUITECTURA'!J148</f>
        <v>35.840962666666663</v>
      </c>
      <c r="I14">
        <f>G14*H14</f>
        <v>335.78501898333332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1.1000000000000001</v>
      </c>
      <c r="F19" t="s">
        <v>203</v>
      </c>
      <c r="G19" s="21">
        <f>E19*$M$2</f>
        <v>11</v>
      </c>
      <c r="H19" s="12">
        <f>'APUS ARQUITECTURA'!J212</f>
        <v>62.663358000000002</v>
      </c>
      <c r="I19">
        <f>G19*H19</f>
        <v>689.29693800000007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>
        <v>1</v>
      </c>
      <c r="F26" t="s">
        <v>133</v>
      </c>
      <c r="G26" s="21">
        <f>E26*$M$2</f>
        <v>10</v>
      </c>
      <c r="H26" s="12">
        <f>'APUS ARQUITECTURA'!J340</f>
        <v>201.23</v>
      </c>
      <c r="I26">
        <f>G26*H26</f>
        <v>2012.3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>
        <f>((6.95+8.65)*2-(2*1))/64</f>
        <v>0.45625000000000004</v>
      </c>
      <c r="F31" t="s">
        <v>144</v>
      </c>
      <c r="G31" s="21">
        <f>E31*$M$2</f>
        <v>4.5625</v>
      </c>
      <c r="H31" s="12">
        <f>'APUS ARQUITECTURA'!J403</f>
        <v>25</v>
      </c>
      <c r="I31">
        <f>G31*H31</f>
        <v>114.0625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2*2.1/60</f>
        <v>7.0000000000000007E-2</v>
      </c>
      <c r="F35" t="s">
        <v>133</v>
      </c>
      <c r="G35" s="21">
        <f>E35*$M$2</f>
        <v>0.70000000000000007</v>
      </c>
      <c r="H35" s="12">
        <f>'APUS ARQUITECTURA'!J449</f>
        <v>560.62260000000003</v>
      </c>
      <c r="I35">
        <f>G35*H35</f>
        <v>392.43582000000004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(64*0.25)/64</f>
        <v>0.25</v>
      </c>
      <c r="F36" t="s">
        <v>133</v>
      </c>
      <c r="G36" s="21">
        <f>E36*$M$2</f>
        <v>2.5</v>
      </c>
      <c r="H36" s="12">
        <f>'APUS ARQUITECTURA'!J456</f>
        <v>367.87083424090611</v>
      </c>
      <c r="I36">
        <f>G36*H36</f>
        <v>919.67708560226527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E18+E13</f>
        <v>1.7300000000000002</v>
      </c>
      <c r="F41" t="s">
        <v>133</v>
      </c>
      <c r="G41" s="21">
        <f>E41*$M$2</f>
        <v>17.3</v>
      </c>
      <c r="H41" s="12">
        <f>'APUS ARQUITECTURA'!J484</f>
        <v>15.625164000000002</v>
      </c>
      <c r="I41">
        <f>G41*H41</f>
        <v>270.31533720000004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0.93687500000000001</v>
      </c>
      <c r="F42" s="105" t="s">
        <v>133</v>
      </c>
      <c r="G42" s="21">
        <f>E42*$M$2</f>
        <v>9.3687500000000004</v>
      </c>
      <c r="H42" s="12">
        <f>'APUS ARQUITECTURA'!J504</f>
        <v>15.956285454545455</v>
      </c>
      <c r="I42">
        <f>G42*H42</f>
        <v>149.49044935227275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>
        <v>0.02</v>
      </c>
      <c r="F53" t="s">
        <v>214</v>
      </c>
      <c r="G53" s="21">
        <f>E53*$M$2</f>
        <v>0.2</v>
      </c>
      <c r="H53" s="12">
        <f>'APUS SANITARIAS'!J108</f>
        <v>138.64527999999999</v>
      </c>
      <c r="I53">
        <f>G53*H53</f>
        <v>27.729056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>
        <v>0.02</v>
      </c>
      <c r="F54" t="s">
        <v>214</v>
      </c>
      <c r="G54" s="21">
        <f>E54*$M$2</f>
        <v>0.2</v>
      </c>
      <c r="H54" s="12">
        <f>'APUS SANITARIAS'!J127</f>
        <v>145.93577999999999</v>
      </c>
      <c r="I54">
        <f>G54*H54</f>
        <v>29.187156000000002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>
        <v>0.02</v>
      </c>
      <c r="F55" t="s">
        <v>214</v>
      </c>
      <c r="G55" s="21">
        <f>E55*$M$2</f>
        <v>0.2</v>
      </c>
      <c r="H55" s="12">
        <f>'APUS SANITARIAS'!J145</f>
        <v>141.07118</v>
      </c>
      <c r="I55">
        <f>G55*H55</f>
        <v>28.214236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30/120</f>
        <v>0.25</v>
      </c>
      <c r="F59" t="s">
        <v>214</v>
      </c>
      <c r="G59" s="21">
        <f>E59*$M$2</f>
        <v>2.5</v>
      </c>
      <c r="H59" s="12">
        <f>'APUS ELECTRICAS'!J5</f>
        <v>121.04310400000001</v>
      </c>
      <c r="I59">
        <f>G59*H59</f>
        <v>302.60776000000004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30/120</f>
        <v>0.25</v>
      </c>
      <c r="F60" t="s">
        <v>214</v>
      </c>
      <c r="G60" s="21">
        <f>E60*$M$2</f>
        <v>2.5</v>
      </c>
      <c r="H60" s="12">
        <f>'APUS ELECTRICAS'!J26</f>
        <v>163.73838000000001</v>
      </c>
      <c r="I60">
        <f>G60*H60</f>
        <v>409.34595000000002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30/120</f>
        <v>0.25</v>
      </c>
      <c r="F61" t="s">
        <v>214</v>
      </c>
      <c r="G61" s="21">
        <f>E61*$M$2</f>
        <v>2.5</v>
      </c>
      <c r="H61" s="12">
        <f>'APUS ELECTRICAS'!J48</f>
        <v>118.30689999999998</v>
      </c>
      <c r="I61">
        <f>G61*H61</f>
        <v>295.76724999999999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>
        <f>3/120</f>
        <v>2.5000000000000001E-2</v>
      </c>
      <c r="F62" t="s">
        <v>214</v>
      </c>
      <c r="G62" s="21">
        <f>E62*$M$2</f>
        <v>0.25</v>
      </c>
      <c r="H62" s="12">
        <f>'APUS ELECTRICAS'!J66</f>
        <v>7.34</v>
      </c>
      <c r="I62">
        <f>G62*H62</f>
        <v>1.835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(64/10)/60</f>
        <v>0.10666666666666667</v>
      </c>
      <c r="F64" t="s">
        <v>149</v>
      </c>
      <c r="G64" s="21">
        <f>E64*$M$2</f>
        <v>1.0666666666666667</v>
      </c>
      <c r="H64" s="12">
        <f>'APUS ELECTRICAS'!J74</f>
        <v>396.14503200000001</v>
      </c>
      <c r="I64">
        <f>G64*H64</f>
        <v>422.55470080000003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(64/10)/60</f>
        <v>0.10666666666666667</v>
      </c>
      <c r="F65" t="s">
        <v>149</v>
      </c>
      <c r="G65" s="21">
        <f>E65*$M$2</f>
        <v>1.0666666666666667</v>
      </c>
      <c r="H65" s="12">
        <f>'APUS ELECTRICAS'!J88</f>
        <v>105.9636</v>
      </c>
      <c r="I65">
        <f>G65*H65</f>
        <v>113.02784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>G72*H72</f>
        <v>36.294941296928322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0">E73*$M$2</f>
        <v>6.8259385665529013E-2</v>
      </c>
      <c r="H73" s="61">
        <f>'APUS COMUNICACIONES'!J23</f>
        <v>95.843099999999993</v>
      </c>
      <c r="I73">
        <f>G73*H73</f>
        <v>6.5421911262798629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0"/>
        <v>0.11604095563139932</v>
      </c>
      <c r="H74" s="61">
        <f>'APUS COMUNICACIONES'!J41</f>
        <v>95.843099999999993</v>
      </c>
      <c r="I74">
        <f>G74*H74</f>
        <v>11.121724914675768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0"/>
        <v>3.2491467576791805E-2</v>
      </c>
      <c r="H75" s="61">
        <f>'APUS COMUNICACIONES'!J59</f>
        <v>26.403334000000001</v>
      </c>
      <c r="I75">
        <f>G75*H75</f>
        <v>0.85788307058020474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0"/>
        <v>0.6778839590443686</v>
      </c>
      <c r="H76" s="61">
        <f>'APUS COMUNICACIONES'!J77</f>
        <v>25.004334</v>
      </c>
      <c r="I76">
        <f>G76*H76</f>
        <v>16.950036925187714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0"/>
        <v>2.742457337883959</v>
      </c>
      <c r="H77" s="61">
        <f>'APUS COMUNICACIONES'!J95</f>
        <v>19.232787999999999</v>
      </c>
      <c r="I77">
        <f>G77*H77</f>
        <v>52.74510057856655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0"/>
        <v>1.6109215017064846E-2</v>
      </c>
      <c r="H78" s="61">
        <f>'APUS COMUNICACIONES'!J113</f>
        <v>16.371788000000002</v>
      </c>
      <c r="I78">
        <f>G78*H78</f>
        <v>0.26373665310580208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0"/>
        <v>6.8259385665529013E-2</v>
      </c>
      <c r="H79" s="61">
        <f>'APUS COMUNICACIONES'!J131</f>
        <v>62.670152000000002</v>
      </c>
      <c r="I79">
        <f>G79*H79</f>
        <v>4.2778260750853248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0"/>
        <v>0.12969283276450511</v>
      </c>
      <c r="H80" s="61">
        <f>'APUS COMUNICACIONES'!J146</f>
        <v>58.850152000000008</v>
      </c>
      <c r="I80">
        <f>G80*H80</f>
        <v>7.6324429215017071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0"/>
        <v>2.0477815699658702E-2</v>
      </c>
      <c r="H81" s="61">
        <f>'APUS COMUNICACIONES'!J161</f>
        <v>57.88015200000001</v>
      </c>
      <c r="I81">
        <f>G81*H81</f>
        <v>1.1852590853242322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0"/>
        <v>0.12627986348122866</v>
      </c>
      <c r="H82" s="61">
        <f>'APUS COMUNICACIONES'!J176</f>
        <v>99.340459999999993</v>
      </c>
      <c r="I82">
        <f>G82*H82</f>
        <v>12.544699726962456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1">E85*$M$2</f>
        <v>2.7303754266211604E-2</v>
      </c>
      <c r="H85" s="12">
        <f>'APUS COMUNICACIONES'!J422</f>
        <v>633.69880000000001</v>
      </c>
      <c r="I85">
        <f>G85*H85</f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>G86*H86</f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2">E88*$M$2</f>
        <v>6.8259385665529013E-2</v>
      </c>
      <c r="H88" s="12">
        <f>'APUS COMUNICACIONES'!J469</f>
        <v>367.66879999999998</v>
      </c>
      <c r="I88">
        <f>G88*H88</f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3">E90*$M$2</f>
        <v>2.7303754266211604E-2</v>
      </c>
      <c r="H90" s="12">
        <f>'APUS COMUNICACIONES'!J497</f>
        <v>96.144090000000006</v>
      </c>
      <c r="I90">
        <f>G90*H90</f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3"/>
        <v>2.7303754266211604E-2</v>
      </c>
      <c r="H91" s="12">
        <f>'APUS COMUNICACIONES'!J513</f>
        <v>64.330690000000004</v>
      </c>
      <c r="I91">
        <f>G91*H91</f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08133-64D4-4550-8C32-C37160D31D48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'!D59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SUM(I5:I93)</f>
        <v>10148.482905882953</v>
      </c>
      <c r="L4" s="25" t="s">
        <v>1368</v>
      </c>
      <c r="M4" s="130">
        <f>J4/M2</f>
        <v>1014.8482905882953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(((2.8*4+6.95)*3)-(0.2*60))/60</f>
        <v>0.70749999999999991</v>
      </c>
      <c r="F6" s="63" t="s">
        <v>133</v>
      </c>
      <c r="G6" s="21">
        <f>E6*$M$2</f>
        <v>7.0749999999999993</v>
      </c>
      <c r="H6" s="12">
        <f>'APUS ARQUITECTURA'!J5</f>
        <v>135.824337926792</v>
      </c>
      <c r="I6">
        <f>G6*H6</f>
        <v>960.95719083205324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>
        <f>6.95*3/60</f>
        <v>0.34750000000000003</v>
      </c>
      <c r="F7" s="63" t="s">
        <v>133</v>
      </c>
      <c r="G7" s="21">
        <f>E7*$M$2</f>
        <v>3.4750000000000005</v>
      </c>
      <c r="H7" s="12">
        <f>'APUS ARQUITECTURA'!J32</f>
        <v>150.06569999999999</v>
      </c>
      <c r="I7">
        <f>G7*H7</f>
        <v>521.47830750000003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((4*8.65)*3)/60</f>
        <v>1.7300000000000002</v>
      </c>
      <c r="F13" t="s">
        <v>133</v>
      </c>
      <c r="G13" s="21">
        <f>E13*$M$2</f>
        <v>17.3</v>
      </c>
      <c r="H13" s="12">
        <f>'APUS ARQUITECTURA'!J127</f>
        <v>27.122965133333338</v>
      </c>
      <c r="I13">
        <f>G13*H13</f>
        <v>469.22729680666674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((2*8.65*3.3)+((8.65/2)*3.3)-(60*0.2)-(2*0.75*2.1))/60</f>
        <v>0.93687500000000001</v>
      </c>
      <c r="F14" t="s">
        <v>133</v>
      </c>
      <c r="G14" s="21">
        <f>E14*$M$2</f>
        <v>9.3687500000000004</v>
      </c>
      <c r="H14" s="12">
        <f>'APUS ARQUITECTURA'!J148</f>
        <v>35.840962666666663</v>
      </c>
      <c r="I14">
        <f>G14*H14</f>
        <v>335.78501898333332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1.1000000000000001</v>
      </c>
      <c r="F19" t="s">
        <v>203</v>
      </c>
      <c r="G19" s="21">
        <f>E19*$M$2</f>
        <v>11</v>
      </c>
      <c r="H19" s="12">
        <f>'APUS ARQUITECTURA'!J212</f>
        <v>62.663358000000002</v>
      </c>
      <c r="I19">
        <f>G19*H19</f>
        <v>689.29693800000007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>
        <v>1</v>
      </c>
      <c r="F26" t="s">
        <v>133</v>
      </c>
      <c r="G26" s="21">
        <f>E26*$M$2</f>
        <v>10</v>
      </c>
      <c r="H26" s="12">
        <f>'APUS ARQUITECTURA'!J340</f>
        <v>201.23</v>
      </c>
      <c r="I26">
        <f>G26*H26</f>
        <v>2012.3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>
        <f>((6.95+8.65)*2-(2*1))/64</f>
        <v>0.45625000000000004</v>
      </c>
      <c r="F31" t="s">
        <v>144</v>
      </c>
      <c r="G31" s="21">
        <f>E31*$M$2</f>
        <v>4.5625</v>
      </c>
      <c r="H31" s="12">
        <f>'APUS ARQUITECTURA'!J403</f>
        <v>25</v>
      </c>
      <c r="I31">
        <f>G31*H31</f>
        <v>114.0625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2*2.1/60</f>
        <v>7.0000000000000007E-2</v>
      </c>
      <c r="F35" t="s">
        <v>133</v>
      </c>
      <c r="G35" s="21">
        <f>E35*$M$2</f>
        <v>0.70000000000000007</v>
      </c>
      <c r="H35" s="12">
        <f>'APUS ARQUITECTURA'!J449</f>
        <v>560.62260000000003</v>
      </c>
      <c r="I35">
        <f>G35*H35</f>
        <v>392.43582000000004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(64*0.25)/64</f>
        <v>0.25</v>
      </c>
      <c r="F36" t="s">
        <v>133</v>
      </c>
      <c r="G36" s="21">
        <f>E36*$M$2</f>
        <v>2.5</v>
      </c>
      <c r="H36" s="12">
        <f>'APUS ARQUITECTURA'!J456</f>
        <v>367.87083424090611</v>
      </c>
      <c r="I36">
        <f>G36*H36</f>
        <v>919.67708560226527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E18+E13</f>
        <v>1.7300000000000002</v>
      </c>
      <c r="F41" t="s">
        <v>133</v>
      </c>
      <c r="G41" s="21">
        <f>E41*$M$2</f>
        <v>17.3</v>
      </c>
      <c r="H41" s="12">
        <f>'APUS ARQUITECTURA'!J484</f>
        <v>15.625164000000002</v>
      </c>
      <c r="I41">
        <f>G41*H41</f>
        <v>270.31533720000004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0.93687500000000001</v>
      </c>
      <c r="F42" s="105" t="s">
        <v>133</v>
      </c>
      <c r="G42" s="21">
        <f>E42*$M$2</f>
        <v>9.3687500000000004</v>
      </c>
      <c r="H42" s="12">
        <f>'APUS ARQUITECTURA'!J504</f>
        <v>15.956285454545455</v>
      </c>
      <c r="I42">
        <f>G42*H42</f>
        <v>149.49044935227275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>
        <v>0.02</v>
      </c>
      <c r="F53" t="s">
        <v>214</v>
      </c>
      <c r="G53" s="21">
        <f>E53*$M$2</f>
        <v>0.2</v>
      </c>
      <c r="H53" s="12">
        <f>'APUS SANITARIAS'!J108</f>
        <v>138.64527999999999</v>
      </c>
      <c r="I53">
        <f>G53*H53</f>
        <v>27.729056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>
        <v>0.02</v>
      </c>
      <c r="F54" t="s">
        <v>214</v>
      </c>
      <c r="G54" s="21">
        <f>E54*$M$2</f>
        <v>0.2</v>
      </c>
      <c r="H54" s="12">
        <f>'APUS SANITARIAS'!J127</f>
        <v>145.93577999999999</v>
      </c>
      <c r="I54">
        <f>G54*H54</f>
        <v>29.187156000000002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>
        <v>0.02</v>
      </c>
      <c r="F55" t="s">
        <v>214</v>
      </c>
      <c r="G55" s="21">
        <f>E55*$M$2</f>
        <v>0.2</v>
      </c>
      <c r="H55" s="12">
        <f>'APUS SANITARIAS'!J145</f>
        <v>141.07118</v>
      </c>
      <c r="I55">
        <f>G55*H55</f>
        <v>28.214236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30/120</f>
        <v>0.25</v>
      </c>
      <c r="F59" t="s">
        <v>214</v>
      </c>
      <c r="G59" s="21">
        <f>E59*$M$2</f>
        <v>2.5</v>
      </c>
      <c r="H59" s="12">
        <f>'APUS ELECTRICAS'!J5</f>
        <v>121.04310400000001</v>
      </c>
      <c r="I59">
        <f>G59*H59</f>
        <v>302.60776000000004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30/120</f>
        <v>0.25</v>
      </c>
      <c r="F60" t="s">
        <v>214</v>
      </c>
      <c r="G60" s="21">
        <f>E60*$M$2</f>
        <v>2.5</v>
      </c>
      <c r="H60" s="12">
        <f>'APUS ELECTRICAS'!J26</f>
        <v>163.73838000000001</v>
      </c>
      <c r="I60">
        <f>G60*H60</f>
        <v>409.34595000000002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30/120</f>
        <v>0.25</v>
      </c>
      <c r="F61" t="s">
        <v>214</v>
      </c>
      <c r="G61" s="21">
        <f>E61*$M$2</f>
        <v>2.5</v>
      </c>
      <c r="H61" s="12">
        <f>'APUS ELECTRICAS'!J48</f>
        <v>118.30689999999998</v>
      </c>
      <c r="I61">
        <f>G61*H61</f>
        <v>295.76724999999999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>
        <f>3/120</f>
        <v>2.5000000000000001E-2</v>
      </c>
      <c r="F62" t="s">
        <v>214</v>
      </c>
      <c r="G62" s="21">
        <f>E62*$M$2</f>
        <v>0.25</v>
      </c>
      <c r="H62" s="12">
        <f>'APUS ELECTRICAS'!J66</f>
        <v>7.34</v>
      </c>
      <c r="I62">
        <f>G62*H62</f>
        <v>1.835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(64/10)/60</f>
        <v>0.10666666666666667</v>
      </c>
      <c r="F64" t="s">
        <v>149</v>
      </c>
      <c r="G64" s="21">
        <f>E64*$M$2</f>
        <v>1.0666666666666667</v>
      </c>
      <c r="H64" s="12">
        <f>'APUS ELECTRICAS'!J74</f>
        <v>396.14503200000001</v>
      </c>
      <c r="I64">
        <f>G64*H64</f>
        <v>422.55470080000003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(64/10)/60</f>
        <v>0.10666666666666667</v>
      </c>
      <c r="F65" t="s">
        <v>149</v>
      </c>
      <c r="G65" s="21">
        <f>E65*$M$2</f>
        <v>1.0666666666666667</v>
      </c>
      <c r="H65" s="12">
        <f>'APUS ELECTRICAS'!J88</f>
        <v>105.9636</v>
      </c>
      <c r="I65">
        <f>G65*H65</f>
        <v>113.02784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>G72*H72</f>
        <v>36.294941296928322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0">E73*$M$2</f>
        <v>6.8259385665529013E-2</v>
      </c>
      <c r="H73" s="61">
        <f>'APUS COMUNICACIONES'!J23</f>
        <v>95.843099999999993</v>
      </c>
      <c r="I73">
        <f>G73*H73</f>
        <v>6.5421911262798629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0"/>
        <v>0.11604095563139932</v>
      </c>
      <c r="H74" s="61">
        <f>'APUS COMUNICACIONES'!J41</f>
        <v>95.843099999999993</v>
      </c>
      <c r="I74">
        <f>G74*H74</f>
        <v>11.121724914675768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0"/>
        <v>3.2491467576791805E-2</v>
      </c>
      <c r="H75" s="61">
        <f>'APUS COMUNICACIONES'!J59</f>
        <v>26.403334000000001</v>
      </c>
      <c r="I75">
        <f>G75*H75</f>
        <v>0.85788307058020474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0"/>
        <v>0.6778839590443686</v>
      </c>
      <c r="H76" s="61">
        <f>'APUS COMUNICACIONES'!J77</f>
        <v>25.004334</v>
      </c>
      <c r="I76">
        <f>G76*H76</f>
        <v>16.950036925187714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0"/>
        <v>2.742457337883959</v>
      </c>
      <c r="H77" s="61">
        <f>'APUS COMUNICACIONES'!J95</f>
        <v>19.232787999999999</v>
      </c>
      <c r="I77">
        <f>G77*H77</f>
        <v>52.74510057856655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0"/>
        <v>1.6109215017064846E-2</v>
      </c>
      <c r="H78" s="61">
        <f>'APUS COMUNICACIONES'!J113</f>
        <v>16.371788000000002</v>
      </c>
      <c r="I78">
        <f>G78*H78</f>
        <v>0.26373665310580208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0"/>
        <v>6.8259385665529013E-2</v>
      </c>
      <c r="H79" s="61">
        <f>'APUS COMUNICACIONES'!J131</f>
        <v>62.670152000000002</v>
      </c>
      <c r="I79">
        <f>G79*H79</f>
        <v>4.2778260750853248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0"/>
        <v>0.12969283276450511</v>
      </c>
      <c r="H80" s="61">
        <f>'APUS COMUNICACIONES'!J146</f>
        <v>58.850152000000008</v>
      </c>
      <c r="I80">
        <f>G80*H80</f>
        <v>7.6324429215017071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0"/>
        <v>2.0477815699658702E-2</v>
      </c>
      <c r="H81" s="61">
        <f>'APUS COMUNICACIONES'!J161</f>
        <v>57.88015200000001</v>
      </c>
      <c r="I81">
        <f>G81*H81</f>
        <v>1.1852590853242322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0"/>
        <v>0.12627986348122866</v>
      </c>
      <c r="H82" s="61">
        <f>'APUS COMUNICACIONES'!J176</f>
        <v>99.340459999999993</v>
      </c>
      <c r="I82">
        <f>G82*H82</f>
        <v>12.544699726962456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1">E85*$M$2</f>
        <v>2.7303754266211604E-2</v>
      </c>
      <c r="H85" s="12">
        <f>'APUS COMUNICACIONES'!J422</f>
        <v>633.69880000000001</v>
      </c>
      <c r="I85">
        <f>G85*H85</f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>G86*H86</f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2">E88*$M$2</f>
        <v>6.8259385665529013E-2</v>
      </c>
      <c r="H88" s="12">
        <f>'APUS COMUNICACIONES'!J469</f>
        <v>367.66879999999998</v>
      </c>
      <c r="I88">
        <f>G88*H88</f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3">E90*$M$2</f>
        <v>2.7303754266211604E-2</v>
      </c>
      <c r="H90" s="12">
        <f>'APUS COMUNICACIONES'!J497</f>
        <v>96.144090000000006</v>
      </c>
      <c r="I90">
        <f>G90*H90</f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3"/>
        <v>2.7303754266211604E-2</v>
      </c>
      <c r="H91" s="12">
        <f>'APUS COMUNICACIONES'!J513</f>
        <v>64.330690000000004</v>
      </c>
      <c r="I91">
        <f>G91*H91</f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CE03-5F15-475B-9FA5-FF9FAFAA2062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'!D60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10148.482905882953</v>
      </c>
      <c r="L4" s="25" t="s">
        <v>1368</v>
      </c>
      <c r="M4" s="130">
        <f>J4/M2</f>
        <v>1014.8482905882953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(((2.8*4+6.95)*3)-(0.2*60))/60</f>
        <v>0.70749999999999991</v>
      </c>
      <c r="F6" s="63" t="s">
        <v>133</v>
      </c>
      <c r="G6" s="21">
        <f>E6*$M$2</f>
        <v>7.0749999999999993</v>
      </c>
      <c r="H6" s="12">
        <f>'APUS ARQUITECTURA'!J5</f>
        <v>135.824337926792</v>
      </c>
      <c r="I6">
        <f>G6*H6</f>
        <v>960.95719083205324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>
        <f>6.95*3/60</f>
        <v>0.34750000000000003</v>
      </c>
      <c r="F7" s="63" t="s">
        <v>133</v>
      </c>
      <c r="G7" s="21">
        <f>E7*$M$2</f>
        <v>3.4750000000000005</v>
      </c>
      <c r="H7" s="12">
        <f>'APUS ARQUITECTURA'!J32</f>
        <v>150.06569999999999</v>
      </c>
      <c r="I7">
        <f>G7*H7</f>
        <v>521.47830750000003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((4*8.65)*3)/60</f>
        <v>1.7300000000000002</v>
      </c>
      <c r="F13" t="s">
        <v>133</v>
      </c>
      <c r="G13" s="21">
        <f>E13*$M$2</f>
        <v>17.3</v>
      </c>
      <c r="H13" s="12">
        <f>'APUS ARQUITECTURA'!J127</f>
        <v>27.122965133333338</v>
      </c>
      <c r="I13">
        <f>G13*H13</f>
        <v>469.22729680666674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((2*8.65*3.3)+((8.65/2)*3.3)-(60*0.2)-(2*0.75*2.1))/60</f>
        <v>0.93687500000000001</v>
      </c>
      <c r="F14" t="s">
        <v>133</v>
      </c>
      <c r="G14" s="21">
        <f>E14*$M$2</f>
        <v>9.3687500000000004</v>
      </c>
      <c r="H14" s="12">
        <f>'APUS ARQUITECTURA'!J148</f>
        <v>35.840962666666663</v>
      </c>
      <c r="I14">
        <f>G14*H14</f>
        <v>335.78501898333332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1.1000000000000001</v>
      </c>
      <c r="F19" t="s">
        <v>203</v>
      </c>
      <c r="G19" s="21">
        <f>E19*$M$2</f>
        <v>11</v>
      </c>
      <c r="H19" s="12">
        <f>'APUS ARQUITECTURA'!J212</f>
        <v>62.663358000000002</v>
      </c>
      <c r="I19">
        <f>G19*H19</f>
        <v>689.29693800000007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>
        <v>1</v>
      </c>
      <c r="F26" t="s">
        <v>133</v>
      </c>
      <c r="G26" s="21">
        <f>E26*$M$2</f>
        <v>10</v>
      </c>
      <c r="H26" s="12">
        <f>'APUS ARQUITECTURA'!J340</f>
        <v>201.23</v>
      </c>
      <c r="I26">
        <f>G26*H26</f>
        <v>2012.3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>
        <f>((6.95+8.65)*2-(2*1))/64</f>
        <v>0.45625000000000004</v>
      </c>
      <c r="F31" t="s">
        <v>144</v>
      </c>
      <c r="G31" s="21">
        <f>E31*$M$2</f>
        <v>4.5625</v>
      </c>
      <c r="H31" s="12">
        <f>'APUS ARQUITECTURA'!J403</f>
        <v>25</v>
      </c>
      <c r="I31">
        <f>G31*H31</f>
        <v>114.0625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2*2.1/60</f>
        <v>7.0000000000000007E-2</v>
      </c>
      <c r="F35" t="s">
        <v>133</v>
      </c>
      <c r="G35" s="21">
        <f>E35*$M$2</f>
        <v>0.70000000000000007</v>
      </c>
      <c r="H35" s="12">
        <f>'APUS ARQUITECTURA'!J449</f>
        <v>560.62260000000003</v>
      </c>
      <c r="I35">
        <f>G35*H35</f>
        <v>392.43582000000004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(64*0.25)/64</f>
        <v>0.25</v>
      </c>
      <c r="F36" t="s">
        <v>133</v>
      </c>
      <c r="G36" s="21">
        <f>E36*$M$2</f>
        <v>2.5</v>
      </c>
      <c r="H36" s="12">
        <f>'APUS ARQUITECTURA'!J456</f>
        <v>367.87083424090611</v>
      </c>
      <c r="I36">
        <f>G36*H36</f>
        <v>919.67708560226527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E18+E13</f>
        <v>1.7300000000000002</v>
      </c>
      <c r="F41" t="s">
        <v>133</v>
      </c>
      <c r="G41" s="21">
        <f>E41*$M$2</f>
        <v>17.3</v>
      </c>
      <c r="H41" s="12">
        <f>'APUS ARQUITECTURA'!J484</f>
        <v>15.625164000000002</v>
      </c>
      <c r="I41">
        <f>G41*H41</f>
        <v>270.31533720000004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0.93687500000000001</v>
      </c>
      <c r="F42" s="105" t="s">
        <v>133</v>
      </c>
      <c r="G42" s="21">
        <f>E42*$M$2</f>
        <v>9.3687500000000004</v>
      </c>
      <c r="H42" s="12">
        <f>'APUS ARQUITECTURA'!J504</f>
        <v>15.956285454545455</v>
      </c>
      <c r="I42">
        <f>G42*H42</f>
        <v>149.49044935227275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>
        <v>0.02</v>
      </c>
      <c r="F53" t="s">
        <v>214</v>
      </c>
      <c r="G53" s="21">
        <f>E53*$M$2</f>
        <v>0.2</v>
      </c>
      <c r="H53" s="12">
        <f>'APUS SANITARIAS'!J108</f>
        <v>138.64527999999999</v>
      </c>
      <c r="I53">
        <f>G53*H53</f>
        <v>27.729056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>
        <v>0.02</v>
      </c>
      <c r="F54" t="s">
        <v>214</v>
      </c>
      <c r="G54" s="21">
        <f>E54*$M$2</f>
        <v>0.2</v>
      </c>
      <c r="H54" s="12">
        <f>'APUS SANITARIAS'!J127</f>
        <v>145.93577999999999</v>
      </c>
      <c r="I54">
        <f>G54*H54</f>
        <v>29.187156000000002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>
        <v>0.02</v>
      </c>
      <c r="F55" t="s">
        <v>214</v>
      </c>
      <c r="G55" s="21">
        <f>E55*$M$2</f>
        <v>0.2</v>
      </c>
      <c r="H55" s="12">
        <f>'APUS SANITARIAS'!J145</f>
        <v>141.07118</v>
      </c>
      <c r="I55">
        <f>G55*H55</f>
        <v>28.214236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30/120</f>
        <v>0.25</v>
      </c>
      <c r="F59" t="s">
        <v>214</v>
      </c>
      <c r="G59" s="21">
        <f>E59*$M$2</f>
        <v>2.5</v>
      </c>
      <c r="H59" s="12">
        <f>'APUS ELECTRICAS'!J5</f>
        <v>121.04310400000001</v>
      </c>
      <c r="I59">
        <f>G59*H59</f>
        <v>302.60776000000004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30/120</f>
        <v>0.25</v>
      </c>
      <c r="F60" t="s">
        <v>214</v>
      </c>
      <c r="G60" s="21">
        <f>E60*$M$2</f>
        <v>2.5</v>
      </c>
      <c r="H60" s="12">
        <f>'APUS ELECTRICAS'!J26</f>
        <v>163.73838000000001</v>
      </c>
      <c r="I60">
        <f>G60*H60</f>
        <v>409.34595000000002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30/120</f>
        <v>0.25</v>
      </c>
      <c r="F61" t="s">
        <v>214</v>
      </c>
      <c r="G61" s="21">
        <f>E61*$M$2</f>
        <v>2.5</v>
      </c>
      <c r="H61" s="12">
        <f>'APUS ELECTRICAS'!J48</f>
        <v>118.30689999999998</v>
      </c>
      <c r="I61">
        <f>G61*H61</f>
        <v>295.76724999999999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>
        <f>3/120</f>
        <v>2.5000000000000001E-2</v>
      </c>
      <c r="F62" t="s">
        <v>214</v>
      </c>
      <c r="G62" s="21">
        <f>E62*$M$2</f>
        <v>0.25</v>
      </c>
      <c r="H62" s="12">
        <f>'APUS ELECTRICAS'!J66</f>
        <v>7.34</v>
      </c>
      <c r="I62">
        <f>G62*H62</f>
        <v>1.835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(64/10)/60</f>
        <v>0.10666666666666667</v>
      </c>
      <c r="F64" t="s">
        <v>149</v>
      </c>
      <c r="G64" s="21">
        <f>E64*$M$2</f>
        <v>1.0666666666666667</v>
      </c>
      <c r="H64" s="12">
        <f>'APUS ELECTRICAS'!J74</f>
        <v>396.14503200000001</v>
      </c>
      <c r="I64">
        <f>G64*H64</f>
        <v>422.55470080000003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(64/10)/60</f>
        <v>0.10666666666666667</v>
      </c>
      <c r="F65" t="s">
        <v>149</v>
      </c>
      <c r="G65" s="21">
        <f>E65*$M$2</f>
        <v>1.0666666666666667</v>
      </c>
      <c r="H65" s="12">
        <f>'APUS ELECTRICAS'!J88</f>
        <v>105.9636</v>
      </c>
      <c r="I65">
        <f>G65*H65</f>
        <v>113.02784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>G72*H72</f>
        <v>36.294941296928322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0">E73*$M$2</f>
        <v>6.8259385665529013E-2</v>
      </c>
      <c r="H73" s="61">
        <f>'APUS COMUNICACIONES'!J23</f>
        <v>95.843099999999993</v>
      </c>
      <c r="I73">
        <f>G73*H73</f>
        <v>6.5421911262798629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0"/>
        <v>0.11604095563139932</v>
      </c>
      <c r="H74" s="61">
        <f>'APUS COMUNICACIONES'!J41</f>
        <v>95.843099999999993</v>
      </c>
      <c r="I74">
        <f>G74*H74</f>
        <v>11.121724914675768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0"/>
        <v>3.2491467576791805E-2</v>
      </c>
      <c r="H75" s="61">
        <f>'APUS COMUNICACIONES'!J59</f>
        <v>26.403334000000001</v>
      </c>
      <c r="I75">
        <f>G75*H75</f>
        <v>0.85788307058020474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0"/>
        <v>0.6778839590443686</v>
      </c>
      <c r="H76" s="61">
        <f>'APUS COMUNICACIONES'!J77</f>
        <v>25.004334</v>
      </c>
      <c r="I76">
        <f>G76*H76</f>
        <v>16.950036925187714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0"/>
        <v>2.742457337883959</v>
      </c>
      <c r="H77" s="61">
        <f>'APUS COMUNICACIONES'!J95</f>
        <v>19.232787999999999</v>
      </c>
      <c r="I77">
        <f>G77*H77</f>
        <v>52.74510057856655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0"/>
        <v>1.6109215017064846E-2</v>
      </c>
      <c r="H78" s="61">
        <f>'APUS COMUNICACIONES'!J113</f>
        <v>16.371788000000002</v>
      </c>
      <c r="I78">
        <f>G78*H78</f>
        <v>0.26373665310580208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0"/>
        <v>6.8259385665529013E-2</v>
      </c>
      <c r="H79" s="61">
        <f>'APUS COMUNICACIONES'!J131</f>
        <v>62.670152000000002</v>
      </c>
      <c r="I79">
        <f>G79*H79</f>
        <v>4.2778260750853248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0"/>
        <v>0.12969283276450511</v>
      </c>
      <c r="H80" s="61">
        <f>'APUS COMUNICACIONES'!J146</f>
        <v>58.850152000000008</v>
      </c>
      <c r="I80">
        <f>G80*H80</f>
        <v>7.6324429215017071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0"/>
        <v>2.0477815699658702E-2</v>
      </c>
      <c r="H81" s="61">
        <f>'APUS COMUNICACIONES'!J161</f>
        <v>57.88015200000001</v>
      </c>
      <c r="I81">
        <f>G81*H81</f>
        <v>1.1852590853242322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0"/>
        <v>0.12627986348122866</v>
      </c>
      <c r="H82" s="61">
        <f>'APUS COMUNICACIONES'!J176</f>
        <v>99.340459999999993</v>
      </c>
      <c r="I82">
        <f>G82*H82</f>
        <v>12.544699726962456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1">E85*$M$2</f>
        <v>2.7303754266211604E-2</v>
      </c>
      <c r="H85" s="12">
        <f>'APUS COMUNICACIONES'!J422</f>
        <v>633.69880000000001</v>
      </c>
      <c r="I85">
        <f>G85*H85</f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>G86*H86</f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2">E88*$M$2</f>
        <v>6.8259385665529013E-2</v>
      </c>
      <c r="H88" s="12">
        <f>'APUS COMUNICACIONES'!J469</f>
        <v>367.66879999999998</v>
      </c>
      <c r="I88">
        <f>G88*H88</f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3">E90*$M$2</f>
        <v>2.7303754266211604E-2</v>
      </c>
      <c r="H90" s="12">
        <f>'APUS COMUNICACIONES'!J497</f>
        <v>96.144090000000006</v>
      </c>
      <c r="I90">
        <f>G90*H90</f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3"/>
        <v>2.7303754266211604E-2</v>
      </c>
      <c r="H91" s="12">
        <f>'APUS COMUNICACIONES'!J513</f>
        <v>64.330690000000004</v>
      </c>
      <c r="I91">
        <f>G91*H91</f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2F14-1D68-422D-860E-80E641474B8C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'!D61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10148.482905882953</v>
      </c>
      <c r="L4" s="25" t="s">
        <v>1368</v>
      </c>
      <c r="M4" s="130">
        <f>J4/M2</f>
        <v>1014.8482905882953</v>
      </c>
    </row>
    <row r="5" spans="1:68">
      <c r="A5" s="1" t="s">
        <v>755</v>
      </c>
      <c r="E5" s="10"/>
      <c r="G5" s="21"/>
    </row>
    <row r="6" spans="1:68">
      <c r="A6" t="s">
        <v>757</v>
      </c>
      <c r="E6" s="124">
        <f>(((2.8*4+6.95)*3)-(0.2*60))/60</f>
        <v>0.70749999999999991</v>
      </c>
      <c r="F6" s="63" t="s">
        <v>133</v>
      </c>
      <c r="G6" s="21">
        <f>E6*$M$2</f>
        <v>7.0749999999999993</v>
      </c>
      <c r="H6" s="12">
        <f>'APUS ARQUITECTURA'!J5</f>
        <v>135.824337926792</v>
      </c>
      <c r="I6">
        <f>G6*H6</f>
        <v>960.95719083205324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24">
        <f>6.95*3/60</f>
        <v>0.34750000000000003</v>
      </c>
      <c r="F7" s="63" t="s">
        <v>133</v>
      </c>
      <c r="G7" s="21">
        <f>E7*$M$2</f>
        <v>3.4750000000000005</v>
      </c>
      <c r="H7" s="12">
        <f>'APUS ARQUITECTURA'!J32</f>
        <v>150.06569999999999</v>
      </c>
      <c r="I7">
        <f>G7*H7</f>
        <v>521.47830750000003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24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37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37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24">
        <f>((4*8.65)*3)/60</f>
        <v>1.7300000000000002</v>
      </c>
      <c r="F13" t="s">
        <v>133</v>
      </c>
      <c r="G13" s="21">
        <f>E13*$M$2</f>
        <v>17.3</v>
      </c>
      <c r="H13" s="12">
        <f>'APUS ARQUITECTURA'!J127</f>
        <v>27.122965133333338</v>
      </c>
      <c r="I13">
        <f>G13*H13</f>
        <v>469.22729680666674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24">
        <f>((2*8.65*3.3)+((8.65/2)*3.3)-(60*0.2)-(2*0.75*2.1))/60</f>
        <v>0.93687500000000001</v>
      </c>
      <c r="F14" t="s">
        <v>133</v>
      </c>
      <c r="G14" s="21">
        <f>E14*$M$2</f>
        <v>9.3687500000000004</v>
      </c>
      <c r="H14" s="12">
        <f>'APUS ARQUITECTURA'!J148</f>
        <v>35.840962666666663</v>
      </c>
      <c r="I14">
        <f>G14*H14</f>
        <v>335.78501898333332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24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24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24"/>
      <c r="F18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24">
        <v>1.1000000000000001</v>
      </c>
      <c r="F19" t="s">
        <v>203</v>
      </c>
      <c r="G19" s="21">
        <f>E19*$M$2</f>
        <v>11</v>
      </c>
      <c r="H19" s="12">
        <f>'APUS ARQUITECTURA'!J212</f>
        <v>62.663358000000002</v>
      </c>
      <c r="I19">
        <f>G19*H19</f>
        <v>689.29693800000007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24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24"/>
      <c r="F22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24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24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24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24">
        <v>1</v>
      </c>
      <c r="F26" t="s">
        <v>133</v>
      </c>
      <c r="G26" s="21">
        <f>E26*$M$2</f>
        <v>10</v>
      </c>
      <c r="H26" s="12">
        <f>'APUS ARQUITECTURA'!J340</f>
        <v>201.23</v>
      </c>
      <c r="I26">
        <f>G26*H26</f>
        <v>2012.3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24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24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24">
        <f>((2*8+2*6.95)-(4.5))/62</f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24"/>
      <c r="F30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24">
        <f>((6.95+8.65)*2-(2*1))/64</f>
        <v>0.45625000000000004</v>
      </c>
      <c r="F31" t="s">
        <v>144</v>
      </c>
      <c r="G31" s="21">
        <f>E31*$M$2</f>
        <v>4.5625</v>
      </c>
      <c r="H31" s="12">
        <f>'APUS ARQUITECTURA'!J403</f>
        <v>25</v>
      </c>
      <c r="I31">
        <f>G31*H31</f>
        <v>114.0625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24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24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24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38">
        <f>2*2.1/60</f>
        <v>7.0000000000000007E-2</v>
      </c>
      <c r="F35" t="s">
        <v>133</v>
      </c>
      <c r="G35" s="21">
        <f>E35*$M$2</f>
        <v>0.70000000000000007</v>
      </c>
      <c r="H35" s="12">
        <f>'APUS ARQUITECTURA'!J449</f>
        <v>560.62260000000003</v>
      </c>
      <c r="I35">
        <f>G35*H35</f>
        <v>392.43582000000004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24">
        <f>(64*0.25)/64</f>
        <v>0.25</v>
      </c>
      <c r="F36" t="s">
        <v>133</v>
      </c>
      <c r="G36" s="21">
        <f>E36*$M$2</f>
        <v>2.5</v>
      </c>
      <c r="H36" s="12">
        <f>'APUS ARQUITECTURA'!J456</f>
        <v>367.87083424090611</v>
      </c>
      <c r="I36">
        <f>G36*H36</f>
        <v>919.67708560226527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40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37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24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24">
        <f>E18+E13</f>
        <v>1.7300000000000002</v>
      </c>
      <c r="F41" t="s">
        <v>133</v>
      </c>
      <c r="G41" s="21">
        <f>E41*$M$2</f>
        <v>17.3</v>
      </c>
      <c r="H41" s="12">
        <f>'APUS ARQUITECTURA'!J484</f>
        <v>15.625164000000002</v>
      </c>
      <c r="I41">
        <f>G41*H41</f>
        <v>270.31533720000004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24">
        <f>E14</f>
        <v>0.93687500000000001</v>
      </c>
      <c r="F42" s="105" t="s">
        <v>133</v>
      </c>
      <c r="G42" s="21">
        <f>E42*$M$2</f>
        <v>9.3687500000000004</v>
      </c>
      <c r="H42" s="12">
        <f>'APUS ARQUITECTURA'!J504</f>
        <v>15.956285454545455</v>
      </c>
      <c r="I42">
        <f>G42*H42</f>
        <v>149.49044935227275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24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24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24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24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24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24">
        <f>12/125</f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24">
        <v>0.02</v>
      </c>
      <c r="F53" t="s">
        <v>214</v>
      </c>
      <c r="G53" s="21">
        <f>E53*$M$2</f>
        <v>0.2</v>
      </c>
      <c r="H53" s="12">
        <f>'APUS SANITARIAS'!J108</f>
        <v>138.64527999999999</v>
      </c>
      <c r="I53">
        <f>G53*H53</f>
        <v>27.729056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24">
        <v>0.02</v>
      </c>
      <c r="F54" t="s">
        <v>214</v>
      </c>
      <c r="G54" s="21">
        <f>E54*$M$2</f>
        <v>0.2</v>
      </c>
      <c r="H54" s="12">
        <f>'APUS SANITARIAS'!J127</f>
        <v>145.93577999999999</v>
      </c>
      <c r="I54">
        <f>G54*H54</f>
        <v>29.187156000000002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24">
        <v>0.02</v>
      </c>
      <c r="F55" t="s">
        <v>214</v>
      </c>
      <c r="G55" s="21">
        <f>E55*$M$2</f>
        <v>0.2</v>
      </c>
      <c r="H55" s="12">
        <f>'APUS SANITARIAS'!J145</f>
        <v>141.07118</v>
      </c>
      <c r="I55">
        <f>G55*H55</f>
        <v>28.214236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24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24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24">
        <f>30/120</f>
        <v>0.25</v>
      </c>
      <c r="F59" t="s">
        <v>214</v>
      </c>
      <c r="G59" s="21">
        <f>E59*$M$2</f>
        <v>2.5</v>
      </c>
      <c r="H59" s="12">
        <f>'APUS ELECTRICAS'!J5</f>
        <v>121.04310400000001</v>
      </c>
      <c r="I59">
        <f>G59*H59</f>
        <v>302.60776000000004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24">
        <f>30/120</f>
        <v>0.25</v>
      </c>
      <c r="F60" t="s">
        <v>214</v>
      </c>
      <c r="G60" s="21">
        <f>E60*$M$2</f>
        <v>2.5</v>
      </c>
      <c r="H60" s="12">
        <f>'APUS ELECTRICAS'!J26</f>
        <v>163.73838000000001</v>
      </c>
      <c r="I60">
        <f>G60*H60</f>
        <v>409.34595000000002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24">
        <f>30/120</f>
        <v>0.25</v>
      </c>
      <c r="F61" t="s">
        <v>214</v>
      </c>
      <c r="G61" s="21">
        <f>E61*$M$2</f>
        <v>2.5</v>
      </c>
      <c r="H61" s="12">
        <f>'APUS ELECTRICAS'!J48</f>
        <v>118.30689999999998</v>
      </c>
      <c r="I61">
        <f>G61*H61</f>
        <v>295.76724999999999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24">
        <f>3/120</f>
        <v>2.5000000000000001E-2</v>
      </c>
      <c r="F62" t="s">
        <v>214</v>
      </c>
      <c r="G62" s="21">
        <f>E62*$M$2</f>
        <v>0.25</v>
      </c>
      <c r="H62" s="12">
        <f>'APUS ELECTRICAS'!J66</f>
        <v>7.34</v>
      </c>
      <c r="I62">
        <f>G62*H62</f>
        <v>1.835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24">
        <f>(64/10)/60</f>
        <v>0.10666666666666667</v>
      </c>
      <c r="F64" t="s">
        <v>149</v>
      </c>
      <c r="G64" s="21">
        <f>E64*$M$2</f>
        <v>1.0666666666666667</v>
      </c>
      <c r="H64" s="12">
        <f>'APUS ELECTRICAS'!J74</f>
        <v>396.14503200000001</v>
      </c>
      <c r="I64">
        <f>G64*H64</f>
        <v>422.55470080000003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24">
        <f>(64/10)/60</f>
        <v>0.10666666666666667</v>
      </c>
      <c r="F65" t="s">
        <v>149</v>
      </c>
      <c r="G65" s="21">
        <f>E65*$M$2</f>
        <v>1.0666666666666667</v>
      </c>
      <c r="H65" s="12">
        <f>'APUS ELECTRICAS'!J88</f>
        <v>105.9636</v>
      </c>
      <c r="I65">
        <f>G65*H65</f>
        <v>113.02784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24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24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>G72*H72</f>
        <v>36.294941296928322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0">E73*$M$2</f>
        <v>6.8259385665529013E-2</v>
      </c>
      <c r="H73" s="61">
        <f>'APUS COMUNICACIONES'!J23</f>
        <v>95.843099999999993</v>
      </c>
      <c r="I73">
        <f>G73*H73</f>
        <v>6.5421911262798629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0"/>
        <v>0.11604095563139932</v>
      </c>
      <c r="H74" s="61">
        <f>'APUS COMUNICACIONES'!J41</f>
        <v>95.843099999999993</v>
      </c>
      <c r="I74">
        <f>G74*H74</f>
        <v>11.121724914675768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0"/>
        <v>3.2491467576791805E-2</v>
      </c>
      <c r="H75" s="61">
        <f>'APUS COMUNICACIONES'!J59</f>
        <v>26.403334000000001</v>
      </c>
      <c r="I75">
        <f>G75*H75</f>
        <v>0.85788307058020474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0"/>
        <v>0.6778839590443686</v>
      </c>
      <c r="H76" s="61">
        <f>'APUS COMUNICACIONES'!J77</f>
        <v>25.004334</v>
      </c>
      <c r="I76">
        <f>G76*H76</f>
        <v>16.950036925187714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0"/>
        <v>2.742457337883959</v>
      </c>
      <c r="H77" s="61">
        <f>'APUS COMUNICACIONES'!J95</f>
        <v>19.232787999999999</v>
      </c>
      <c r="I77">
        <f>G77*H77</f>
        <v>52.74510057856655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0"/>
        <v>1.6109215017064846E-2</v>
      </c>
      <c r="H78" s="61">
        <f>'APUS COMUNICACIONES'!J113</f>
        <v>16.371788000000002</v>
      </c>
      <c r="I78">
        <f>G78*H78</f>
        <v>0.26373665310580208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0"/>
        <v>6.8259385665529013E-2</v>
      </c>
      <c r="H79" s="61">
        <f>'APUS COMUNICACIONES'!J131</f>
        <v>62.670152000000002</v>
      </c>
      <c r="I79">
        <f>G79*H79</f>
        <v>4.2778260750853248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0"/>
        <v>0.12969283276450511</v>
      </c>
      <c r="H80" s="61">
        <f>'APUS COMUNICACIONES'!J146</f>
        <v>58.850152000000008</v>
      </c>
      <c r="I80">
        <f>G80*H80</f>
        <v>7.6324429215017071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0"/>
        <v>2.0477815699658702E-2</v>
      </c>
      <c r="H81" s="61">
        <f>'APUS COMUNICACIONES'!J161</f>
        <v>57.88015200000001</v>
      </c>
      <c r="I81">
        <f>G81*H81</f>
        <v>1.1852590853242322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0"/>
        <v>0.12627986348122866</v>
      </c>
      <c r="H82" s="61">
        <f>'APUS COMUNICACIONES'!J176</f>
        <v>99.340459999999993</v>
      </c>
      <c r="I82">
        <f>G82*H82</f>
        <v>12.544699726962456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>E85*$M$2</f>
        <v>2.7303754266211604E-2</v>
      </c>
      <c r="H85" s="12">
        <f>'APUS COMUNICACIONES'!J422</f>
        <v>633.69880000000001</v>
      </c>
      <c r="I85">
        <f>G85*H85</f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>G86*H86</f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1">E88*$M$2</f>
        <v>6.8259385665529013E-2</v>
      </c>
      <c r="H88" s="12">
        <f>'APUS COMUNICACIONES'!J469</f>
        <v>367.66879999999998</v>
      </c>
      <c r="I88">
        <f>G88*H88</f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2">E90*$M$2</f>
        <v>2.7303754266211604E-2</v>
      </c>
      <c r="H90" s="12">
        <f>'APUS COMUNICACIONES'!J497</f>
        <v>96.144090000000006</v>
      </c>
      <c r="I90">
        <f>G90*H90</f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2"/>
        <v>2.7303754266211604E-2</v>
      </c>
      <c r="H91" s="12">
        <f>'APUS COMUNICACIONES'!J513</f>
        <v>64.330690000000004</v>
      </c>
      <c r="I91">
        <f>G91*H91</f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1ED9-F007-4DF0-9A1D-F07D99E49F9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'!D62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SUM(I5:I91)</f>
        <v>14023.908947163409</v>
      </c>
      <c r="L4" s="25" t="s">
        <v>1368</v>
      </c>
      <c r="M4" s="130">
        <f>J4/M2</f>
        <v>1402.3908947163409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v>0.21777777777777771</v>
      </c>
      <c r="F6" s="63" t="s">
        <v>133</v>
      </c>
      <c r="G6" s="21">
        <f>E6*$M$2</f>
        <v>2.1777777777777771</v>
      </c>
      <c r="H6" s="12">
        <f>'APUS ARQUITECTURA'!J5</f>
        <v>135.824337926792</v>
      </c>
      <c r="I6">
        <f>G6*H6</f>
        <v>295.79522481834692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>
        <v>0.47666666666666674</v>
      </c>
      <c r="F7" s="63" t="s">
        <v>133</v>
      </c>
      <c r="G7" s="21">
        <f>E7*$M$2</f>
        <v>4.7666666666666675</v>
      </c>
      <c r="H7" s="12">
        <f>'APUS ARQUITECTURA'!J32</f>
        <v>150.06569999999999</v>
      </c>
      <c r="I7">
        <f>G7*H7</f>
        <v>715.31317000000013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>
        <v>0.69000000000000006</v>
      </c>
      <c r="F8" s="63" t="s">
        <v>133</v>
      </c>
      <c r="G8" s="21">
        <f>E8*$M$2</f>
        <v>6.9</v>
      </c>
      <c r="H8" s="12">
        <f>'APUS ARQUITECTURA'!J50</f>
        <v>141.06679428571431</v>
      </c>
      <c r="I8">
        <f>G8*H8</f>
        <v>973.36088057142877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48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48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>
        <v>1.3299999999999998</v>
      </c>
      <c r="F13" t="s">
        <v>133</v>
      </c>
      <c r="G13" s="21">
        <f>E13*$M$2</f>
        <v>13.299999999999999</v>
      </c>
      <c r="H13" s="12">
        <f>'APUS ARQUITECTURA'!J127</f>
        <v>27.122965133333338</v>
      </c>
      <c r="I13">
        <f>G13*H13</f>
        <v>360.73543627333339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v>0.72433333333333327</v>
      </c>
      <c r="F14" t="s">
        <v>133</v>
      </c>
      <c r="G14" s="21">
        <f>E14*$M$2</f>
        <v>7.2433333333333323</v>
      </c>
      <c r="H14" s="12">
        <f>'APUS ARQUITECTURA'!J148</f>
        <v>35.840962666666663</v>
      </c>
      <c r="I14">
        <f>G14*H14</f>
        <v>259.60803958222215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>
        <v>1</v>
      </c>
      <c r="F18" t="s">
        <v>203</v>
      </c>
      <c r="G18" s="21">
        <f>E18*$M$2</f>
        <v>10</v>
      </c>
      <c r="H18" s="12">
        <f>'APUS ARQUITECTURA'!J188</f>
        <v>212.28215533333332</v>
      </c>
      <c r="I18">
        <f>G18*H18</f>
        <v>2122.8215533333332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/>
      <c r="F19" t="s">
        <v>203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>G21*H21</f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>
        <v>1</v>
      </c>
      <c r="F22" t="s">
        <v>133</v>
      </c>
      <c r="G22" s="21">
        <f>E22*$M$2</f>
        <v>10</v>
      </c>
      <c r="H22" s="12">
        <f>'APUS ARQUITECTURA'!J252</f>
        <v>206.77337199999999</v>
      </c>
      <c r="I22">
        <f>G22*H22</f>
        <v>2067.7337200000002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/>
      <c r="F23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/>
      <c r="F28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>G29*H29</f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>
        <v>0.58222222222222231</v>
      </c>
      <c r="F30" t="s">
        <v>144</v>
      </c>
      <c r="G30" s="21">
        <f>E30*$M$2</f>
        <v>5.8222222222222229</v>
      </c>
      <c r="H30" s="12">
        <f>'APUS ARQUITECTURA'!J383</f>
        <v>36.537022000000007</v>
      </c>
      <c r="I30">
        <f>G30*H30</f>
        <v>212.72666142222229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/>
      <c r="F33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68">
        <v>4.6666666666666669E-2</v>
      </c>
      <c r="F35" t="s">
        <v>133</v>
      </c>
      <c r="G35" s="21">
        <f>E35*$M$2</f>
        <v>0.46666666666666667</v>
      </c>
      <c r="H35" s="12">
        <f>'APUS ARQUITECTURA'!J449</f>
        <v>560.62260000000003</v>
      </c>
      <c r="I35">
        <f>G35*H35</f>
        <v>261.62388000000004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>
        <v>9.3333333333333324E-2</v>
      </c>
      <c r="F36" t="s">
        <v>133</v>
      </c>
      <c r="G36" s="21">
        <f>E36*$M$2</f>
        <v>0.93333333333333324</v>
      </c>
      <c r="H36" s="12">
        <f>'APUS ARQUITECTURA'!J456</f>
        <v>367.87083424090611</v>
      </c>
      <c r="I36">
        <f>G36*H36</f>
        <v>343.34611195817899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55"/>
      <c r="F37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48">
        <v>0.13</v>
      </c>
      <c r="F38" t="s">
        <v>144</v>
      </c>
      <c r="G38" s="21">
        <f>E38*$M$2</f>
        <v>1.3</v>
      </c>
      <c r="H38" s="12">
        <f>'APUS ARQUITECTURA'!J470</f>
        <v>622.13</v>
      </c>
      <c r="I38">
        <f>G38*H38</f>
        <v>808.76900000000001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v>2.33</v>
      </c>
      <c r="F41" t="s">
        <v>133</v>
      </c>
      <c r="G41" s="21">
        <f>E41*$M$2</f>
        <v>23.3</v>
      </c>
      <c r="H41" s="12">
        <f>'APUS ARQUITECTURA'!J484</f>
        <v>15.625164000000002</v>
      </c>
      <c r="I41">
        <f>G41*H41</f>
        <v>364.06632120000006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v>0.72433333333333327</v>
      </c>
      <c r="F42" s="105" t="s">
        <v>133</v>
      </c>
      <c r="G42" s="21">
        <f>E42*$M$2</f>
        <v>7.2433333333333323</v>
      </c>
      <c r="H42" s="12">
        <f>'APUS ARQUITECTURA'!J504</f>
        <v>15.956285454545455</v>
      </c>
      <c r="I42">
        <f>G42*H42</f>
        <v>115.5766943090909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/>
      <c r="F47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/>
      <c r="F48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/>
      <c r="F4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/>
      <c r="F50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/>
      <c r="F51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>
        <v>4.4444444444444446E-2</v>
      </c>
      <c r="F53" t="s">
        <v>214</v>
      </c>
      <c r="G53" s="21">
        <f>E53*$M$2</f>
        <v>0.44444444444444448</v>
      </c>
      <c r="H53" s="12">
        <f>'APUS SANITARIAS'!J108</f>
        <v>138.64527999999999</v>
      </c>
      <c r="I53">
        <f>G53*H53</f>
        <v>61.620124444444443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>
        <v>4.4444444444444446E-2</v>
      </c>
      <c r="F54" t="s">
        <v>214</v>
      </c>
      <c r="G54" s="21">
        <f>E54*$M$2</f>
        <v>0.44444444444444448</v>
      </c>
      <c r="H54" s="12">
        <f>'APUS SANITARIAS'!J127</f>
        <v>145.93577999999999</v>
      </c>
      <c r="I54">
        <f>G54*H54</f>
        <v>64.860346666666672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>
        <v>4.4444444444444446E-2</v>
      </c>
      <c r="F55" t="s">
        <v>214</v>
      </c>
      <c r="G55" s="21">
        <f>E55*$M$2</f>
        <v>0.44444444444444448</v>
      </c>
      <c r="H55" s="12">
        <f>'APUS SANITARIAS'!J145</f>
        <v>141.07118</v>
      </c>
      <c r="I55">
        <f>G55*H55</f>
        <v>62.698302222222225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/>
      <c r="F56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/>
      <c r="F57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v>0.66666666666666663</v>
      </c>
      <c r="F59" t="s">
        <v>214</v>
      </c>
      <c r="G59" s="21">
        <f>E59*$M$2</f>
        <v>6.6666666666666661</v>
      </c>
      <c r="H59" s="12">
        <f>'APUS ELECTRICAS'!J5</f>
        <v>121.04310400000001</v>
      </c>
      <c r="I59">
        <f>G59*H59</f>
        <v>806.95402666666666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v>0.66666666666666663</v>
      </c>
      <c r="F60" t="s">
        <v>214</v>
      </c>
      <c r="G60" s="21">
        <f>E60*$M$2</f>
        <v>6.6666666666666661</v>
      </c>
      <c r="H60" s="12">
        <f>'APUS ELECTRICAS'!J26</f>
        <v>163.73838000000001</v>
      </c>
      <c r="I60">
        <f>G60*H60</f>
        <v>1091.5891999999999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v>0.66666666666666663</v>
      </c>
      <c r="F61" t="s">
        <v>214</v>
      </c>
      <c r="G61" s="21">
        <f>E61*$M$2</f>
        <v>6.6666666666666661</v>
      </c>
      <c r="H61" s="12">
        <f>'APUS ELECTRICAS'!J48</f>
        <v>118.30689999999998</v>
      </c>
      <c r="I61">
        <f>G61*H61</f>
        <v>788.71266666666645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5">
        <v>0.44444444444444442</v>
      </c>
      <c r="F62" t="s">
        <v>214</v>
      </c>
      <c r="G62" s="21">
        <f>E62*$M$2</f>
        <v>4.4444444444444446</v>
      </c>
      <c r="H62" s="12">
        <f>'APUS ELECTRICAS'!J66</f>
        <v>7.34</v>
      </c>
      <c r="I62">
        <f>G62*H62</f>
        <v>32.62222222222222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5">
        <v>0.26666666666666666</v>
      </c>
      <c r="F64" t="s">
        <v>149</v>
      </c>
      <c r="G64" s="21">
        <f>E64*$M$2</f>
        <v>2.6666666666666665</v>
      </c>
      <c r="H64" s="12">
        <f>'APUS ELECTRICAS'!J74</f>
        <v>396.14503200000001</v>
      </c>
      <c r="I64">
        <f>G64*H64</f>
        <v>1056.3867519999999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5">
        <v>0.26666666666666666</v>
      </c>
      <c r="F65" t="s">
        <v>149</v>
      </c>
      <c r="G65" s="21">
        <f>E65*$M$2</f>
        <v>2.6666666666666665</v>
      </c>
      <c r="H65" s="12">
        <f>'APUS ELECTRICAS'!J88</f>
        <v>105.9636</v>
      </c>
      <c r="I65">
        <f>G65*H65</f>
        <v>282.56959999999998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5"/>
      <c r="F66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5"/>
      <c r="F67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1101</v>
      </c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1102</v>
      </c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1104</v>
      </c>
      <c r="E72">
        <v>1.2969283276450512E-2</v>
      </c>
      <c r="F72" t="s">
        <v>149</v>
      </c>
      <c r="G72" s="21">
        <f>E72*$M$2</f>
        <v>0.12969283276450511</v>
      </c>
      <c r="H72" s="61">
        <f>'APUS COMUNICACIONES'!J5</f>
        <v>279.85309999999998</v>
      </c>
      <c r="I72">
        <f>G72*H72</f>
        <v>36.294941296928322</v>
      </c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1106</v>
      </c>
      <c r="E73">
        <v>6.8259385665529011E-3</v>
      </c>
      <c r="F73" t="s">
        <v>149</v>
      </c>
      <c r="G73" s="21">
        <f t="shared" ref="G73:G82" si="0">E73*$M$2</f>
        <v>6.8259385665529013E-2</v>
      </c>
      <c r="H73" s="61">
        <f>'APUS COMUNICACIONES'!J23</f>
        <v>95.843099999999993</v>
      </c>
      <c r="I73">
        <f>G73*H73</f>
        <v>6.5421911262798629</v>
      </c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1108</v>
      </c>
      <c r="E74">
        <v>1.1604095563139932E-2</v>
      </c>
      <c r="F74" t="s">
        <v>149</v>
      </c>
      <c r="G74" s="21">
        <f t="shared" si="0"/>
        <v>0.11604095563139932</v>
      </c>
      <c r="H74" s="61">
        <f>'APUS COMUNICACIONES'!J41</f>
        <v>95.843099999999993</v>
      </c>
      <c r="I74">
        <f>G74*H74</f>
        <v>11.121724914675768</v>
      </c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1110</v>
      </c>
      <c r="E75">
        <v>3.2491467576791807E-3</v>
      </c>
      <c r="F75" t="s">
        <v>144</v>
      </c>
      <c r="G75" s="21">
        <f t="shared" si="0"/>
        <v>3.2491467576791805E-2</v>
      </c>
      <c r="H75" s="61">
        <f>'APUS COMUNICACIONES'!J59</f>
        <v>26.403334000000001</v>
      </c>
      <c r="I75">
        <f>G75*H75</f>
        <v>0.85788307058020474</v>
      </c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1112</v>
      </c>
      <c r="E76">
        <v>6.778839590443686E-2</v>
      </c>
      <c r="F76" t="s">
        <v>144</v>
      </c>
      <c r="G76" s="21">
        <f t="shared" si="0"/>
        <v>0.6778839590443686</v>
      </c>
      <c r="H76" s="61">
        <f>'APUS COMUNICACIONES'!J77</f>
        <v>25.004334</v>
      </c>
      <c r="I76">
        <f>G76*H76</f>
        <v>16.950036925187714</v>
      </c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1114</v>
      </c>
      <c r="E77">
        <v>0.2742457337883959</v>
      </c>
      <c r="F77" t="s">
        <v>144</v>
      </c>
      <c r="G77" s="21">
        <f t="shared" si="0"/>
        <v>2.742457337883959</v>
      </c>
      <c r="H77" s="61">
        <f>'APUS COMUNICACIONES'!J95</f>
        <v>19.232787999999999</v>
      </c>
      <c r="I77">
        <f>G77*H77</f>
        <v>52.74510057856655</v>
      </c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1116</v>
      </c>
      <c r="E78">
        <v>1.6109215017064845E-3</v>
      </c>
      <c r="F78" t="s">
        <v>144</v>
      </c>
      <c r="G78" s="21">
        <f t="shared" si="0"/>
        <v>1.6109215017064846E-2</v>
      </c>
      <c r="H78" s="61">
        <f>'APUS COMUNICACIONES'!J113</f>
        <v>16.371788000000002</v>
      </c>
      <c r="I78">
        <f>G78*H78</f>
        <v>0.26373665310580208</v>
      </c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1118</v>
      </c>
      <c r="E79">
        <v>6.8259385665529011E-3</v>
      </c>
      <c r="F79" t="s">
        <v>149</v>
      </c>
      <c r="G79" s="21">
        <f t="shared" si="0"/>
        <v>6.8259385665529013E-2</v>
      </c>
      <c r="H79" s="61">
        <f>'APUS COMUNICACIONES'!J131</f>
        <v>62.670152000000002</v>
      </c>
      <c r="I79">
        <f>G79*H79</f>
        <v>4.2778260750853248</v>
      </c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1120</v>
      </c>
      <c r="E80">
        <v>1.2969283276450512E-2</v>
      </c>
      <c r="F80" t="s">
        <v>149</v>
      </c>
      <c r="G80" s="21">
        <f t="shared" si="0"/>
        <v>0.12969283276450511</v>
      </c>
      <c r="H80" s="61">
        <f>'APUS COMUNICACIONES'!J146</f>
        <v>58.850152000000008</v>
      </c>
      <c r="I80">
        <f>G80*H80</f>
        <v>7.6324429215017071</v>
      </c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1122</v>
      </c>
      <c r="E81">
        <v>2.0477815699658703E-3</v>
      </c>
      <c r="F81" t="s">
        <v>149</v>
      </c>
      <c r="G81" s="21">
        <f t="shared" si="0"/>
        <v>2.0477815699658702E-2</v>
      </c>
      <c r="H81" s="61">
        <f>'APUS COMUNICACIONES'!J161</f>
        <v>57.88015200000001</v>
      </c>
      <c r="I81">
        <f>G81*H81</f>
        <v>1.1852590853242322</v>
      </c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1124</v>
      </c>
      <c r="E82">
        <v>1.2627986348122866E-2</v>
      </c>
      <c r="F82" t="s">
        <v>144</v>
      </c>
      <c r="G82" s="21">
        <f t="shared" si="0"/>
        <v>0.12627986348122866</v>
      </c>
      <c r="H82" s="61">
        <f>'APUS COMUNICACIONES'!J176</f>
        <v>99.340459999999993</v>
      </c>
      <c r="I82">
        <f>G82*H82</f>
        <v>12.544699726962456</v>
      </c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 t="s">
        <v>1125</v>
      </c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9" t="s">
        <v>1155</v>
      </c>
    </row>
    <row r="85" spans="1:68">
      <c r="A85" t="s">
        <v>1159</v>
      </c>
      <c r="E85">
        <v>2.7303754266211604E-3</v>
      </c>
      <c r="F85" t="s">
        <v>149</v>
      </c>
      <c r="G85" s="21">
        <f t="shared" ref="G85:G86" si="1">E85*$M$2</f>
        <v>2.7303754266211604E-2</v>
      </c>
      <c r="H85" s="12">
        <f>'APUS COMUNICACIONES'!J422</f>
        <v>633.69880000000001</v>
      </c>
      <c r="I85">
        <f>G85*H85</f>
        <v>17.302356313993176</v>
      </c>
    </row>
    <row r="86" spans="1:68">
      <c r="A86" t="s">
        <v>1161</v>
      </c>
      <c r="E86">
        <v>2.7303754266211604E-3</v>
      </c>
      <c r="F86" t="s">
        <v>149</v>
      </c>
      <c r="G86" s="21">
        <f>E86*$M$2</f>
        <v>2.7303754266211604E-2</v>
      </c>
      <c r="H86" s="12">
        <f>'APUS COMUNICACIONES'!J440</f>
        <v>520.83879999999999</v>
      </c>
      <c r="I86">
        <f>G86*H86</f>
        <v>14.220854607508532</v>
      </c>
    </row>
    <row r="87" spans="1:68">
      <c r="A87" s="89" t="s">
        <v>1391</v>
      </c>
    </row>
    <row r="88" spans="1:68">
      <c r="A88" t="s">
        <v>1166</v>
      </c>
      <c r="E88">
        <v>6.8259385665529011E-3</v>
      </c>
      <c r="F88" t="s">
        <v>149</v>
      </c>
      <c r="G88" s="21">
        <f t="shared" ref="G88" si="2">E88*$M$2</f>
        <v>6.8259385665529013E-2</v>
      </c>
      <c r="H88" s="12">
        <f>'APUS COMUNICACIONES'!J469</f>
        <v>367.66879999999998</v>
      </c>
      <c r="I88">
        <f>G88*H88</f>
        <v>25.096846416382252</v>
      </c>
    </row>
    <row r="89" spans="1:68">
      <c r="A89" s="89" t="s">
        <v>1167</v>
      </c>
    </row>
    <row r="90" spans="1:68">
      <c r="A90" t="s">
        <v>1171</v>
      </c>
      <c r="E90">
        <v>2.7303754266211604E-3</v>
      </c>
      <c r="F90" t="s">
        <v>149</v>
      </c>
      <c r="G90" s="21">
        <f t="shared" ref="G90:G91" si="3">E90*$M$2</f>
        <v>2.7303754266211604E-2</v>
      </c>
      <c r="H90" s="12">
        <f>'APUS COMUNICACIONES'!J497</f>
        <v>96.144090000000006</v>
      </c>
      <c r="I90">
        <f>G90*H90</f>
        <v>2.6250946075085326</v>
      </c>
    </row>
    <row r="91" spans="1:68">
      <c r="A91" t="s">
        <v>1173</v>
      </c>
      <c r="E91">
        <v>2.7303754266211604E-3</v>
      </c>
      <c r="F91" t="s">
        <v>149</v>
      </c>
      <c r="G91" s="21">
        <f t="shared" si="3"/>
        <v>2.7303754266211604E-2</v>
      </c>
      <c r="H91" s="12">
        <f>'APUS COMUNICACIONES'!J513</f>
        <v>64.330690000000004</v>
      </c>
      <c r="I91">
        <f>G91*H91</f>
        <v>1.7564693515358363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75A06-C48B-4EA4-A822-800523FA0005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'!D63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6367.6123103463178</v>
      </c>
      <c r="L4" s="25" t="s">
        <v>1368</v>
      </c>
      <c r="M4" s="130">
        <f>J4/M2</f>
        <v>636.76123103463181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v>1.0843750000000001</v>
      </c>
      <c r="F6" s="63" t="s">
        <v>133</v>
      </c>
      <c r="G6" s="21">
        <f>E6*$M$2</f>
        <v>10.84375</v>
      </c>
      <c r="H6" s="12">
        <f>'APUS ARQUITECTURA'!J5</f>
        <v>135.824337926792</v>
      </c>
      <c r="I6">
        <f>G6*H6</f>
        <v>1472.8451643936507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/>
      <c r="F7" s="63" t="s">
        <v>133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63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48"/>
      <c r="F9" s="63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48"/>
      <c r="F10" s="63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>
        <v>1.7874999999999996</v>
      </c>
      <c r="F13" t="s">
        <v>133</v>
      </c>
      <c r="G13" s="21">
        <f>E13*$M$2</f>
        <v>17.874999999999996</v>
      </c>
      <c r="H13" s="12">
        <f>'APUS ARQUITECTURA'!J127</f>
        <v>27.122965133333338</v>
      </c>
      <c r="I13">
        <f>G13*H13</f>
        <v>484.82300175833331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v>1.4233749999999996</v>
      </c>
      <c r="F14" t="s">
        <v>133</v>
      </c>
      <c r="G14" s="21">
        <f>E14*$M$2</f>
        <v>14.233749999999997</v>
      </c>
      <c r="H14" s="12">
        <f>'APUS ARQUITECTURA'!J148</f>
        <v>35.840962666666663</v>
      </c>
      <c r="I14">
        <f t="shared" ref="I14:I67" si="0">G14*H14</f>
        <v>510.15130235666652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I15">
        <f t="shared" si="0"/>
        <v>0</v>
      </c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/>
      <c r="F16" t="s">
        <v>133</v>
      </c>
      <c r="G16" s="21">
        <f>E16*$M$2</f>
        <v>0</v>
      </c>
      <c r="H16" s="12">
        <f>'APUS ARQUITECTURA'!J168</f>
        <v>90.825879999999998</v>
      </c>
      <c r="I16">
        <f t="shared" si="0"/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I17">
        <f t="shared" si="0"/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>E18*$M$2</f>
        <v>0</v>
      </c>
      <c r="H18" s="12">
        <f>'APUS ARQUITECTURA'!J188</f>
        <v>212.28215533333332</v>
      </c>
      <c r="I18">
        <f t="shared" si="0"/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 t="shared" si="0"/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I20">
        <f t="shared" si="0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 t="shared" si="0"/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>E22*$M$2</f>
        <v>0</v>
      </c>
      <c r="H22" s="12">
        <f>'APUS ARQUITECTURA'!J252</f>
        <v>206.77337199999999</v>
      </c>
      <c r="I22">
        <f t="shared" si="0"/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/>
      <c r="F23" t="s">
        <v>133</v>
      </c>
      <c r="G23" s="21">
        <f>E23*$M$2</f>
        <v>0</v>
      </c>
      <c r="H23" s="12">
        <f>'APUS ARQUITECTURA'!J272</f>
        <v>102.65602799999999</v>
      </c>
      <c r="I23">
        <f t="shared" si="0"/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>
        <v>1</v>
      </c>
      <c r="F24" t="s">
        <v>133</v>
      </c>
      <c r="G24" s="21">
        <f>E24*$M$2</f>
        <v>10</v>
      </c>
      <c r="H24" s="12">
        <f>'APUS ARQUITECTURA'!J292</f>
        <v>47.432200000000002</v>
      </c>
      <c r="I24">
        <f t="shared" si="0"/>
        <v>474.322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 t="shared" si="0"/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 t="shared" si="0"/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I27">
        <f t="shared" si="0"/>
        <v>0</v>
      </c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>
        <v>0.49249999999999999</v>
      </c>
      <c r="F28" t="s">
        <v>144</v>
      </c>
      <c r="G28" s="21">
        <f>E28*$M$2</f>
        <v>4.9249999999999998</v>
      </c>
      <c r="H28" s="12">
        <f>'APUS ARQUITECTURA'!J347</f>
        <v>20.569980000000001</v>
      </c>
      <c r="I28">
        <f t="shared" si="0"/>
        <v>101.3071515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/>
      <c r="F29" t="s">
        <v>144</v>
      </c>
      <c r="G29" s="21">
        <f>E29*$M$2</f>
        <v>0</v>
      </c>
      <c r="H29" s="12">
        <f>'APUS ARQUITECTURA'!J364</f>
        <v>26.687480000000001</v>
      </c>
      <c r="I29">
        <f t="shared" si="0"/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 t="shared" si="0"/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 t="shared" si="0"/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 t="shared" si="0"/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/>
      <c r="F33" t="s">
        <v>144</v>
      </c>
      <c r="G33" s="21">
        <f>E33*$M$2</f>
        <v>0</v>
      </c>
      <c r="H33" s="12">
        <f>'APUS ARQUITECTURA'!J430</f>
        <v>84.438490000000002</v>
      </c>
      <c r="I33">
        <f t="shared" si="0"/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I34">
        <f t="shared" si="0"/>
        <v>0</v>
      </c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52">
        <v>0.10500000000000001</v>
      </c>
      <c r="F35" t="s">
        <v>133</v>
      </c>
      <c r="G35" s="21">
        <f>E35*$M$2</f>
        <v>1.05</v>
      </c>
      <c r="H35" s="12">
        <f>'APUS ARQUITECTURA'!J449</f>
        <v>560.62260000000003</v>
      </c>
      <c r="I35">
        <f t="shared" si="0"/>
        <v>588.65373000000011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>
        <v>6.9999999999999993E-2</v>
      </c>
      <c r="F36" t="s">
        <v>133</v>
      </c>
      <c r="G36" s="21">
        <f>E36*$M$2</f>
        <v>0.7</v>
      </c>
      <c r="H36" s="12">
        <f>'APUS ARQUITECTURA'!J456</f>
        <v>367.87083424090611</v>
      </c>
      <c r="I36">
        <f t="shared" si="0"/>
        <v>257.50958396863427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55"/>
      <c r="F37" t="s">
        <v>133</v>
      </c>
      <c r="G37" s="21">
        <f>E37*$M$2</f>
        <v>0</v>
      </c>
      <c r="H37" s="12">
        <f>'APUS ARQUITECTURA'!J463</f>
        <v>514.53719413716362</v>
      </c>
      <c r="I37">
        <f t="shared" si="0"/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48"/>
      <c r="F38" t="s">
        <v>144</v>
      </c>
      <c r="G38" s="21">
        <f>E38*$M$2</f>
        <v>0</v>
      </c>
      <c r="H38" s="12">
        <f>'APUS ARQUITECTURA'!J470</f>
        <v>622.13</v>
      </c>
      <c r="I38">
        <f t="shared" si="0"/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 t="shared" si="0"/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I40">
        <f t="shared" si="0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v>2.7874999999999996</v>
      </c>
      <c r="F41" t="s">
        <v>133</v>
      </c>
      <c r="G41" s="21">
        <f>E41*$M$2</f>
        <v>27.874999999999996</v>
      </c>
      <c r="H41" s="12">
        <f>'APUS ARQUITECTURA'!J484</f>
        <v>15.625164000000002</v>
      </c>
      <c r="I41">
        <f t="shared" si="0"/>
        <v>435.5514465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v>1.4233749999999996</v>
      </c>
      <c r="F42" s="105" t="s">
        <v>133</v>
      </c>
      <c r="G42" s="21">
        <f>E42*$M$2</f>
        <v>14.233749999999997</v>
      </c>
      <c r="H42" s="12">
        <f>'APUS ARQUITECTURA'!J504</f>
        <v>15.956285454545455</v>
      </c>
      <c r="I42">
        <f t="shared" si="0"/>
        <v>227.11777808863633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I43">
        <f t="shared" si="0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/>
      <c r="F47" t="s">
        <v>154</v>
      </c>
      <c r="G47" s="21">
        <f>E47*$M$2</f>
        <v>0</v>
      </c>
      <c r="H47" s="12">
        <f>'APUS SANITARIAS'!J26</f>
        <v>750</v>
      </c>
      <c r="I47">
        <f t="shared" si="0"/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/>
      <c r="F48" t="s">
        <v>214</v>
      </c>
      <c r="G48" s="21">
        <f>E48*$M$2</f>
        <v>0</v>
      </c>
      <c r="H48" s="12">
        <f>'APUS SANITARIAS'!J32</f>
        <v>131.73781333333332</v>
      </c>
      <c r="I48">
        <f t="shared" si="0"/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/>
      <c r="F49" t="s">
        <v>214</v>
      </c>
      <c r="G49" s="21">
        <f>E49*$M$2</f>
        <v>0</v>
      </c>
      <c r="H49" s="12">
        <f>'APUS SANITARIAS'!J50</f>
        <v>210.60376000000002</v>
      </c>
      <c r="I49">
        <f t="shared" si="0"/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/>
      <c r="F50" t="s">
        <v>154</v>
      </c>
      <c r="G50" s="21">
        <f>E50*$M$2</f>
        <v>0</v>
      </c>
      <c r="H50" s="12">
        <f>'APUS SANITARIAS'!J69</f>
        <v>200</v>
      </c>
      <c r="I50">
        <f t="shared" si="0"/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/>
      <c r="F51" t="s">
        <v>154</v>
      </c>
      <c r="G51" s="21">
        <f>E51*$M$2</f>
        <v>0</v>
      </c>
      <c r="H51" s="12">
        <f>'APUS SANITARIAS'!J76</f>
        <v>537.21710399999995</v>
      </c>
      <c r="I51">
        <f t="shared" si="0"/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v>9.6000000000000002E-2</v>
      </c>
      <c r="F52" t="s">
        <v>214</v>
      </c>
      <c r="G52" s="21">
        <f>E52*$M$2</f>
        <v>0.96</v>
      </c>
      <c r="H52" s="12">
        <f>'APUS SANITARIAS'!J91</f>
        <v>158.14803320874657</v>
      </c>
      <c r="I52">
        <f t="shared" si="0"/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>
        <v>2.5000000000000001E-2</v>
      </c>
      <c r="F53" t="s">
        <v>214</v>
      </c>
      <c r="G53" s="21">
        <f>E53*$M$2</f>
        <v>0.25</v>
      </c>
      <c r="H53" s="12">
        <f>'APUS SANITARIAS'!J108</f>
        <v>138.64527999999999</v>
      </c>
      <c r="I53">
        <f t="shared" si="0"/>
        <v>34.661319999999996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>
        <v>2.5000000000000001E-2</v>
      </c>
      <c r="F54" t="s">
        <v>214</v>
      </c>
      <c r="G54" s="21">
        <f>E54*$M$2</f>
        <v>0.25</v>
      </c>
      <c r="H54" s="12">
        <f>'APUS SANITARIAS'!J127</f>
        <v>145.93577999999999</v>
      </c>
      <c r="I54">
        <f t="shared" si="0"/>
        <v>36.483944999999999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>
        <v>2.5000000000000001E-2</v>
      </c>
      <c r="F55" t="s">
        <v>214</v>
      </c>
      <c r="G55" s="21">
        <f>E55*$M$2</f>
        <v>0.25</v>
      </c>
      <c r="H55" s="12">
        <f>'APUS SANITARIAS'!J145</f>
        <v>141.07118</v>
      </c>
      <c r="I55">
        <f t="shared" si="0"/>
        <v>35.267795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/>
      <c r="F56" t="s">
        <v>149</v>
      </c>
      <c r="G56" s="21">
        <f>E56*$M$2</f>
        <v>0</v>
      </c>
      <c r="H56" s="12">
        <f>'APUS SANITARIAS'!J163</f>
        <v>214.33091999999999</v>
      </c>
      <c r="I56">
        <f t="shared" si="0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/>
      <c r="F57" t="s">
        <v>149</v>
      </c>
      <c r="G57" s="21">
        <f>E57*$M$2</f>
        <v>0</v>
      </c>
      <c r="H57" s="12">
        <f>'APUS SANITARIAS'!J178</f>
        <v>101.51374313638702</v>
      </c>
      <c r="I57">
        <f t="shared" si="0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I58">
        <f t="shared" si="0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v>0.1</v>
      </c>
      <c r="F59" t="s">
        <v>214</v>
      </c>
      <c r="G59" s="21">
        <f>E59*$M$2</f>
        <v>1</v>
      </c>
      <c r="H59" s="12">
        <f>'APUS ELECTRICAS'!J5</f>
        <v>121.04310400000001</v>
      </c>
      <c r="I59">
        <f t="shared" si="0"/>
        <v>121.04310400000001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v>0.1</v>
      </c>
      <c r="F60" t="s">
        <v>214</v>
      </c>
      <c r="G60" s="21">
        <f>E60*$M$2</f>
        <v>1</v>
      </c>
      <c r="H60" s="12">
        <f>'APUS ELECTRICAS'!J26</f>
        <v>163.73838000000001</v>
      </c>
      <c r="I60">
        <f t="shared" si="0"/>
        <v>163.73838000000001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v>0.1</v>
      </c>
      <c r="F61" t="s">
        <v>214</v>
      </c>
      <c r="G61" s="21">
        <f>E61*$M$2</f>
        <v>1</v>
      </c>
      <c r="H61" s="12">
        <f>'APUS ELECTRICAS'!J48</f>
        <v>118.30689999999998</v>
      </c>
      <c r="I61">
        <f t="shared" si="0"/>
        <v>118.30689999999998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5"/>
      <c r="F62" t="s">
        <v>214</v>
      </c>
      <c r="G62" s="21">
        <f>E62*$M$2</f>
        <v>0</v>
      </c>
      <c r="H62" s="12">
        <f>'APUS ELECTRICAS'!J66</f>
        <v>7.34</v>
      </c>
      <c r="I62">
        <f t="shared" si="0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I63">
        <f t="shared" si="0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5">
        <v>2.5000000000000001E-2</v>
      </c>
      <c r="F64" t="s">
        <v>149</v>
      </c>
      <c r="G64" s="21">
        <f>E64*$M$2</f>
        <v>0.25</v>
      </c>
      <c r="H64" s="12">
        <f>'APUS ELECTRICAS'!J74</f>
        <v>396.14503200000001</v>
      </c>
      <c r="I64">
        <f t="shared" si="0"/>
        <v>99.036258000000004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5">
        <v>2.5000000000000001E-2</v>
      </c>
      <c r="F65" t="s">
        <v>149</v>
      </c>
      <c r="G65" s="21">
        <f>E65*$M$2</f>
        <v>0.25</v>
      </c>
      <c r="H65" s="12">
        <f>'APUS ELECTRICAS'!J88</f>
        <v>105.9636</v>
      </c>
      <c r="I65">
        <f t="shared" si="0"/>
        <v>26.4909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5"/>
      <c r="F66" t="s">
        <v>149</v>
      </c>
      <c r="G66" s="21">
        <f>E66*$M$2</f>
        <v>0</v>
      </c>
      <c r="H66" s="12">
        <f>'APUS ELECTRICAS'!J106</f>
        <v>143.11000000000001</v>
      </c>
      <c r="I66">
        <f t="shared" si="0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5"/>
      <c r="F67" t="s">
        <v>149</v>
      </c>
      <c r="G67" s="21">
        <f>E67*$M$2</f>
        <v>0</v>
      </c>
      <c r="H67" s="12">
        <f>'APUS ELECTRICAS'!J114</f>
        <v>86.816140000000019</v>
      </c>
      <c r="I67">
        <f t="shared" si="0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D2B55-530B-41C1-A342-524E1275539D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'!D64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9391.0067198075358</v>
      </c>
      <c r="L4" s="25" t="s">
        <v>1368</v>
      </c>
      <c r="M4" s="130">
        <f>J4/M2</f>
        <v>939.10067198075353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v>0.74464285714285716</v>
      </c>
      <c r="F6" s="63" t="s">
        <v>133</v>
      </c>
      <c r="G6" s="21">
        <f>E6*$M$2</f>
        <v>7.4464285714285712</v>
      </c>
      <c r="H6" s="12">
        <f>'APUS ARQUITECTURA'!J5</f>
        <v>135.824337926792</v>
      </c>
      <c r="I6">
        <f>G6*H6</f>
        <v>1011.4062306334332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>
        <v>0.29999999999999993</v>
      </c>
      <c r="F7" s="63" t="s">
        <v>133</v>
      </c>
      <c r="G7" s="21">
        <f t="shared" ref="G7:G10" si="0">E7*$M$2</f>
        <v>2.9999999999999991</v>
      </c>
      <c r="H7" s="12">
        <f>'APUS ARQUITECTURA'!J32</f>
        <v>150.06569999999999</v>
      </c>
      <c r="I7">
        <f t="shared" ref="I7:I10" si="1">G7*H7</f>
        <v>450.19709999999986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>
        <v>8.5714285714285729E-2</v>
      </c>
      <c r="F8" s="63" t="s">
        <v>133</v>
      </c>
      <c r="G8" s="21">
        <f>E8*$M$2</f>
        <v>0.85714285714285732</v>
      </c>
      <c r="H8" s="12">
        <f>'APUS ARQUITECTURA'!J50</f>
        <v>141.06679428571431</v>
      </c>
      <c r="I8">
        <f t="shared" si="1"/>
        <v>120.91439510204086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48"/>
      <c r="F9" s="63" t="s">
        <v>133</v>
      </c>
      <c r="G9" s="21">
        <f t="shared" si="0"/>
        <v>0</v>
      </c>
      <c r="H9" s="12">
        <f>'APUS ARQUITECTURA'!J74</f>
        <v>200.94213799999997</v>
      </c>
      <c r="I9">
        <f t="shared" si="1"/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48"/>
      <c r="F10" s="63" t="s">
        <v>133</v>
      </c>
      <c r="G10" s="21">
        <f t="shared" si="0"/>
        <v>0</v>
      </c>
      <c r="H10" s="12">
        <f>'APUS ARQUITECTURA'!J92</f>
        <v>300.22795400000001</v>
      </c>
      <c r="I10">
        <f t="shared" si="1"/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>
        <v>1.9124999999999999</v>
      </c>
      <c r="F13" t="s">
        <v>133</v>
      </c>
      <c r="G13" s="21">
        <f>E13*$M$2</f>
        <v>19.125</v>
      </c>
      <c r="H13" s="12">
        <f>'APUS ARQUITECTURA'!J127</f>
        <v>27.122965133333338</v>
      </c>
      <c r="I13">
        <f>G13*H13</f>
        <v>518.72670817500011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v>0.81910714285714281</v>
      </c>
      <c r="F14" t="s">
        <v>133</v>
      </c>
      <c r="G14" s="21">
        <f>E14*$M$2</f>
        <v>8.1910714285714281</v>
      </c>
      <c r="H14" s="12">
        <f>'APUS ARQUITECTURA'!J148</f>
        <v>35.840962666666663</v>
      </c>
      <c r="I14">
        <f>G14*H14</f>
        <v>293.57588527142855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/>
      <c r="F16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/>
      <c r="I17">
        <f t="shared" ref="I17:I67" si="2">G17*H17</f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>E18*$M$2</f>
        <v>0</v>
      </c>
      <c r="H18" s="12">
        <f>'APUS ARQUITECTURA'!J188</f>
        <v>212.28215533333332</v>
      </c>
      <c r="I18">
        <f t="shared" si="2"/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>E19*$M$2</f>
        <v>10</v>
      </c>
      <c r="H19" s="12">
        <f>'APUS ARQUITECTURA'!J212</f>
        <v>62.663358000000002</v>
      </c>
      <c r="I19">
        <f t="shared" si="2"/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/>
      <c r="I20">
        <f t="shared" si="2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>E21*$M$2</f>
        <v>10</v>
      </c>
      <c r="H21" s="12">
        <f>'APUS ARQUITECTURA'!J232</f>
        <v>40.184685790000003</v>
      </c>
      <c r="I21">
        <f t="shared" si="2"/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>E22*$M$2</f>
        <v>0</v>
      </c>
      <c r="H22" s="12">
        <f>'APUS ARQUITECTURA'!J252</f>
        <v>206.77337199999999</v>
      </c>
      <c r="I22">
        <f t="shared" si="2"/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>
        <v>1</v>
      </c>
      <c r="F23" t="s">
        <v>133</v>
      </c>
      <c r="G23" s="21">
        <f>E23*$M$2</f>
        <v>10</v>
      </c>
      <c r="H23" s="12">
        <f>'APUS ARQUITECTURA'!J272</f>
        <v>102.65602799999999</v>
      </c>
      <c r="I23">
        <f t="shared" si="2"/>
        <v>1026.5602799999999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t="s">
        <v>133</v>
      </c>
      <c r="G24" s="21">
        <f>E24*$M$2</f>
        <v>0</v>
      </c>
      <c r="H24" s="12">
        <f>'APUS ARQUITECTURA'!J292</f>
        <v>47.432200000000002</v>
      </c>
      <c r="I24">
        <f t="shared" si="2"/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t="s">
        <v>133</v>
      </c>
      <c r="G25" s="21">
        <f>E25*$M$2</f>
        <v>0</v>
      </c>
      <c r="H25" s="12">
        <f>'APUS ARQUITECTURA'!J318</f>
        <v>51.986298000000005</v>
      </c>
      <c r="I25">
        <f t="shared" si="2"/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>E26*$M$2</f>
        <v>0</v>
      </c>
      <c r="H26" s="12">
        <f>'APUS ARQUITECTURA'!J340</f>
        <v>201.23</v>
      </c>
      <c r="I26">
        <f t="shared" si="2"/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I27">
        <f t="shared" si="2"/>
        <v>0</v>
      </c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>
        <v>0.70357142857142851</v>
      </c>
      <c r="F28" t="s">
        <v>144</v>
      </c>
      <c r="G28" s="21">
        <f>E28*$M$2</f>
        <v>7.0357142857142847</v>
      </c>
      <c r="H28" s="12">
        <f>'APUS ARQUITECTURA'!J347</f>
        <v>20.569980000000001</v>
      </c>
      <c r="I28">
        <f t="shared" si="2"/>
        <v>144.72450214285712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/>
      <c r="F29" t="s">
        <v>144</v>
      </c>
      <c r="G29" s="21">
        <f>E29*$M$2</f>
        <v>0</v>
      </c>
      <c r="H29" s="12">
        <f>'APUS ARQUITECTURA'!J364</f>
        <v>26.687480000000001</v>
      </c>
      <c r="I29">
        <f t="shared" si="2"/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 t="shared" si="2"/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 t="shared" si="2"/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 t="shared" si="2"/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/>
      <c r="F33" t="s">
        <v>144</v>
      </c>
      <c r="G33" s="21">
        <f>E33*$M$2</f>
        <v>0</v>
      </c>
      <c r="H33" s="12">
        <f>'APUS ARQUITECTURA'!J430</f>
        <v>84.438490000000002</v>
      </c>
      <c r="I33">
        <f t="shared" si="2"/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I34">
        <f t="shared" si="2"/>
        <v>0</v>
      </c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45">
        <v>0.15</v>
      </c>
      <c r="F35" t="s">
        <v>133</v>
      </c>
      <c r="G35" s="190">
        <f>E35*$M$2</f>
        <v>1.5</v>
      </c>
      <c r="H35" s="12">
        <f>'APUS ARQUITECTURA'!J449</f>
        <v>560.62260000000003</v>
      </c>
      <c r="I35">
        <f t="shared" si="2"/>
        <v>840.93389999999999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/>
      <c r="F36" t="s">
        <v>133</v>
      </c>
      <c r="G36" s="21">
        <f>E36*$M$2</f>
        <v>0</v>
      </c>
      <c r="H36" s="12">
        <f>'APUS ARQUITECTURA'!J456</f>
        <v>367.87083424090611</v>
      </c>
      <c r="I36">
        <f t="shared" si="2"/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55"/>
      <c r="F37" t="s">
        <v>133</v>
      </c>
      <c r="G37" s="21">
        <f>E37*$M$2</f>
        <v>0</v>
      </c>
      <c r="H37" s="12">
        <f>'APUS ARQUITECTURA'!J463</f>
        <v>514.53719413716362</v>
      </c>
      <c r="I37">
        <f t="shared" si="2"/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48"/>
      <c r="F38" t="s">
        <v>144</v>
      </c>
      <c r="G38" s="21">
        <f>E38*$M$2</f>
        <v>0</v>
      </c>
      <c r="H38" s="12">
        <f>'APUS ARQUITECTURA'!J470</f>
        <v>622.13</v>
      </c>
      <c r="I38">
        <f t="shared" si="2"/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 t="shared" si="2"/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I40">
        <f t="shared" si="2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v>2.1321428571428571</v>
      </c>
      <c r="F41" t="s">
        <v>133</v>
      </c>
      <c r="G41" s="21">
        <f>E41*$M$2</f>
        <v>21.321428571428569</v>
      </c>
      <c r="H41" s="12">
        <f>'APUS ARQUITECTURA'!J484</f>
        <v>15.625164000000002</v>
      </c>
      <c r="I41">
        <f t="shared" si="2"/>
        <v>333.15081814285713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v>0.81910714285714281</v>
      </c>
      <c r="F42" s="105" t="s">
        <v>133</v>
      </c>
      <c r="G42" s="21">
        <f t="shared" ref="G42:G67" si="3">E42*$M$2</f>
        <v>8.1910714285714281</v>
      </c>
      <c r="H42" s="12">
        <f>'APUS ARQUITECTURA'!J504</f>
        <v>15.956285454545455</v>
      </c>
      <c r="I42">
        <f t="shared" si="2"/>
        <v>130.69907389285714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>
        <f t="shared" si="3"/>
        <v>0</v>
      </c>
      <c r="H43" s="12"/>
      <c r="I43">
        <f t="shared" si="2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 t="shared" si="3"/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/>
      <c r="F47" t="s">
        <v>154</v>
      </c>
      <c r="G47" s="21">
        <f t="shared" si="3"/>
        <v>0</v>
      </c>
      <c r="H47" s="12">
        <f>'APUS SANITARIAS'!J26</f>
        <v>750</v>
      </c>
      <c r="I47">
        <f t="shared" si="2"/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>
        <v>0.125</v>
      </c>
      <c r="F48" t="s">
        <v>214</v>
      </c>
      <c r="G48" s="21">
        <f t="shared" si="3"/>
        <v>1.25</v>
      </c>
      <c r="H48" s="12">
        <f>'APUS SANITARIAS'!J32</f>
        <v>131.73781333333332</v>
      </c>
      <c r="I48">
        <f t="shared" si="2"/>
        <v>164.67226666666664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/>
      <c r="F49" t="s">
        <v>214</v>
      </c>
      <c r="G49" s="21">
        <f t="shared" si="3"/>
        <v>0</v>
      </c>
      <c r="H49" s="12">
        <f>'APUS SANITARIAS'!J50</f>
        <v>210.60376000000002</v>
      </c>
      <c r="I49">
        <f t="shared" si="2"/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/>
      <c r="F50" t="s">
        <v>154</v>
      </c>
      <c r="G50" s="21">
        <f t="shared" si="3"/>
        <v>0</v>
      </c>
      <c r="H50" s="12">
        <f>'APUS SANITARIAS'!J69</f>
        <v>200</v>
      </c>
      <c r="I50">
        <f t="shared" si="2"/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/>
      <c r="F51" t="s">
        <v>154</v>
      </c>
      <c r="G51" s="21">
        <f t="shared" si="3"/>
        <v>0</v>
      </c>
      <c r="H51" s="12">
        <f>'APUS SANITARIAS'!J76</f>
        <v>537.21710399999995</v>
      </c>
      <c r="I51">
        <f t="shared" si="2"/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v>9.6000000000000002E-2</v>
      </c>
      <c r="F52" t="s">
        <v>214</v>
      </c>
      <c r="G52" s="21">
        <f t="shared" si="3"/>
        <v>0.96</v>
      </c>
      <c r="H52" s="12">
        <f>'APUS SANITARIAS'!J91</f>
        <v>158.14803320874657</v>
      </c>
      <c r="I52">
        <f t="shared" si="2"/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>
        <v>0.125</v>
      </c>
      <c r="F53" t="s">
        <v>214</v>
      </c>
      <c r="G53" s="21">
        <f t="shared" si="3"/>
        <v>1.25</v>
      </c>
      <c r="H53" s="12">
        <f>'APUS SANITARIAS'!J108</f>
        <v>138.64527999999999</v>
      </c>
      <c r="I53">
        <f t="shared" si="2"/>
        <v>173.30659999999997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>
        <v>0.125</v>
      </c>
      <c r="F54" t="s">
        <v>214</v>
      </c>
      <c r="G54" s="21">
        <f t="shared" si="3"/>
        <v>1.25</v>
      </c>
      <c r="H54" s="12">
        <f>'APUS SANITARIAS'!J127</f>
        <v>145.93577999999999</v>
      </c>
      <c r="I54">
        <f t="shared" si="2"/>
        <v>182.419725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>
        <v>0.125</v>
      </c>
      <c r="F55" t="s">
        <v>214</v>
      </c>
      <c r="G55" s="21">
        <f t="shared" si="3"/>
        <v>1.25</v>
      </c>
      <c r="H55" s="12">
        <f>'APUS SANITARIAS'!J145</f>
        <v>141.07118</v>
      </c>
      <c r="I55">
        <f t="shared" si="2"/>
        <v>176.338975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/>
      <c r="F56" t="s">
        <v>149</v>
      </c>
      <c r="G56" s="21">
        <f t="shared" si="3"/>
        <v>0</v>
      </c>
      <c r="H56" s="12">
        <f>'APUS SANITARIAS'!J163</f>
        <v>214.33091999999999</v>
      </c>
      <c r="I56">
        <f t="shared" si="2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/>
      <c r="F57" t="s">
        <v>149</v>
      </c>
      <c r="G57" s="21">
        <f t="shared" si="3"/>
        <v>0</v>
      </c>
      <c r="H57" s="12">
        <f>'APUS SANITARIAS'!J178</f>
        <v>101.51374313638702</v>
      </c>
      <c r="I57">
        <f t="shared" si="2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G58" s="21">
        <f t="shared" si="3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v>0.5</v>
      </c>
      <c r="F59" t="s">
        <v>214</v>
      </c>
      <c r="G59" s="21">
        <f t="shared" si="3"/>
        <v>5</v>
      </c>
      <c r="H59" s="12">
        <f>'APUS ELECTRICAS'!J5</f>
        <v>121.04310400000001</v>
      </c>
      <c r="I59">
        <f t="shared" si="2"/>
        <v>605.21552000000008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v>0.5</v>
      </c>
      <c r="F60" t="s">
        <v>214</v>
      </c>
      <c r="G60" s="21">
        <f t="shared" si="3"/>
        <v>5</v>
      </c>
      <c r="H60" s="12">
        <f>'APUS ELECTRICAS'!J26</f>
        <v>163.73838000000001</v>
      </c>
      <c r="I60">
        <f t="shared" si="2"/>
        <v>818.69190000000003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v>0.5</v>
      </c>
      <c r="F61" t="s">
        <v>214</v>
      </c>
      <c r="G61" s="21">
        <f t="shared" si="3"/>
        <v>5</v>
      </c>
      <c r="H61" s="12">
        <f>'APUS ELECTRICAS'!J48</f>
        <v>118.30689999999998</v>
      </c>
      <c r="I61">
        <f t="shared" si="2"/>
        <v>591.53449999999998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5"/>
      <c r="F62" t="s">
        <v>214</v>
      </c>
      <c r="G62" s="21">
        <f t="shared" si="3"/>
        <v>0</v>
      </c>
      <c r="H62" s="12">
        <f>'APUS ELECTRICAS'!J66</f>
        <v>7.34</v>
      </c>
      <c r="I62">
        <f t="shared" si="2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G63" s="21">
        <f t="shared" si="3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5">
        <v>0.125</v>
      </c>
      <c r="F64" t="s">
        <v>149</v>
      </c>
      <c r="G64" s="21">
        <f t="shared" si="3"/>
        <v>1.25</v>
      </c>
      <c r="H64" s="12">
        <f>'APUS ELECTRICAS'!J74</f>
        <v>396.14503200000001</v>
      </c>
      <c r="I64">
        <f t="shared" si="2"/>
        <v>495.18128999999999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5">
        <v>0.125</v>
      </c>
      <c r="F65" t="s">
        <v>149</v>
      </c>
      <c r="G65" s="21">
        <f t="shared" si="3"/>
        <v>1.25</v>
      </c>
      <c r="H65" s="12">
        <f>'APUS ELECTRICAS'!J88</f>
        <v>105.9636</v>
      </c>
      <c r="I65">
        <f t="shared" si="2"/>
        <v>132.4545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5"/>
      <c r="F66" t="s">
        <v>149</v>
      </c>
      <c r="G66" s="21">
        <f t="shared" si="3"/>
        <v>0</v>
      </c>
      <c r="H66" s="12">
        <f>'APUS ELECTRICAS'!J106</f>
        <v>143.11000000000001</v>
      </c>
      <c r="I66">
        <f t="shared" si="2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5"/>
      <c r="F67" t="s">
        <v>149</v>
      </c>
      <c r="G67" s="21">
        <f t="shared" si="3"/>
        <v>0</v>
      </c>
      <c r="H67" s="12">
        <f>'APUS ELECTRICAS'!J114</f>
        <v>86.816140000000019</v>
      </c>
      <c r="I67">
        <f t="shared" si="2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30BD-1E4C-43B2-85A3-B23AE86B2F96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'!D65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5018.7200015313047</v>
      </c>
      <c r="L4" s="25" t="s">
        <v>1368</v>
      </c>
      <c r="M4" s="130">
        <f>J4/M2</f>
        <v>501.87200015313044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>
        <v>0.5</v>
      </c>
      <c r="F6" s="63" t="s">
        <v>133</v>
      </c>
      <c r="G6" s="21">
        <f>E6*$M$2</f>
        <v>5</v>
      </c>
      <c r="H6" s="12">
        <f>'APUS ARQUITECTURA'!J5</f>
        <v>135.824337926792</v>
      </c>
      <c r="I6">
        <f>G6*H6</f>
        <v>679.12168963395993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/>
      <c r="F7" s="63" t="s">
        <v>133</v>
      </c>
      <c r="G7" s="21">
        <f>E7*$M$2</f>
        <v>0</v>
      </c>
      <c r="H7" s="12">
        <f>'APUS ARQUITECTURA'!J32</f>
        <v>150.06569999999999</v>
      </c>
      <c r="I7">
        <f t="shared" ref="I7:I10" si="0"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63" t="s">
        <v>133</v>
      </c>
      <c r="G8" s="21">
        <f>E8*$M$2</f>
        <v>0</v>
      </c>
      <c r="H8" s="12">
        <f>'APUS ARQUITECTURA'!J50</f>
        <v>141.06679428571431</v>
      </c>
      <c r="I8">
        <f t="shared" si="0"/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48"/>
      <c r="F9" s="63" t="s">
        <v>133</v>
      </c>
      <c r="G9" s="21">
        <f>E9*$M$2</f>
        <v>0</v>
      </c>
      <c r="H9" s="12">
        <f>'APUS ARQUITECTURA'!J74</f>
        <v>200.94213799999997</v>
      </c>
      <c r="I9">
        <f t="shared" si="0"/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48"/>
      <c r="F10" s="63" t="s">
        <v>133</v>
      </c>
      <c r="G10" s="21">
        <f>E10*$M$2</f>
        <v>0</v>
      </c>
      <c r="H10" s="12">
        <f>'APUS ARQUITECTURA'!J92</f>
        <v>300.22795400000001</v>
      </c>
      <c r="I10">
        <f t="shared" si="0"/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>
        <v>0.5</v>
      </c>
      <c r="F13" t="s">
        <v>133</v>
      </c>
      <c r="G13" s="21">
        <f>E13*$M$2</f>
        <v>5</v>
      </c>
      <c r="H13" s="12">
        <f>'APUS ARQUITECTURA'!J127</f>
        <v>27.122965133333338</v>
      </c>
      <c r="I13">
        <f>G13*H13</f>
        <v>135.61482566666669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>
        <v>0.5</v>
      </c>
      <c r="F14" t="s">
        <v>133</v>
      </c>
      <c r="G14" s="21">
        <f>E14*$M$2</f>
        <v>5</v>
      </c>
      <c r="H14" s="12">
        <f>'APUS ARQUITECTURA'!J148</f>
        <v>35.840962666666663</v>
      </c>
      <c r="I14">
        <f t="shared" ref="I14:I67" si="1">G14*H14</f>
        <v>179.20481333333331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G15" s="21">
        <f t="shared" ref="G15:G26" si="2">E15*$M$2</f>
        <v>0</v>
      </c>
      <c r="H15" s="12"/>
      <c r="I15">
        <f t="shared" si="1"/>
        <v>0</v>
      </c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/>
      <c r="F16" t="s">
        <v>133</v>
      </c>
      <c r="G16" s="21">
        <f t="shared" si="2"/>
        <v>0</v>
      </c>
      <c r="H16" s="12">
        <f>'APUS ARQUITECTURA'!J168</f>
        <v>90.825879999999998</v>
      </c>
      <c r="I16">
        <f t="shared" si="1"/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12"/>
      <c r="G17" s="21">
        <f t="shared" si="2"/>
        <v>0</v>
      </c>
      <c r="I17">
        <f t="shared" si="1"/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t="s">
        <v>203</v>
      </c>
      <c r="G18" s="21">
        <f t="shared" si="2"/>
        <v>0</v>
      </c>
      <c r="H18" s="12">
        <f>'APUS ARQUITECTURA'!J188</f>
        <v>212.28215533333332</v>
      </c>
      <c r="I18">
        <f t="shared" si="1"/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t="s">
        <v>203</v>
      </c>
      <c r="G19" s="21">
        <f t="shared" si="2"/>
        <v>10</v>
      </c>
      <c r="H19" s="12">
        <f>'APUS ARQUITECTURA'!J212</f>
        <v>62.663358000000002</v>
      </c>
      <c r="I19">
        <f t="shared" si="1"/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G20" s="21">
        <f t="shared" si="2"/>
        <v>0</v>
      </c>
      <c r="I20">
        <f t="shared" si="1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>
        <v>1</v>
      </c>
      <c r="F21" t="s">
        <v>133</v>
      </c>
      <c r="G21" s="21">
        <f t="shared" si="2"/>
        <v>10</v>
      </c>
      <c r="H21" s="12">
        <f>'APUS ARQUITECTURA'!J232</f>
        <v>40.184685790000003</v>
      </c>
      <c r="I21">
        <f t="shared" si="1"/>
        <v>401.84685790000003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t="s">
        <v>133</v>
      </c>
      <c r="G22" s="21">
        <f t="shared" si="2"/>
        <v>0</v>
      </c>
      <c r="H22" s="12">
        <f>'APUS ARQUITECTURA'!J252</f>
        <v>206.77337199999999</v>
      </c>
      <c r="I22">
        <f t="shared" si="1"/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/>
      <c r="F23" t="s">
        <v>133</v>
      </c>
      <c r="G23" s="21">
        <f t="shared" si="2"/>
        <v>0</v>
      </c>
      <c r="H23" s="12">
        <f>'APUS ARQUITECTURA'!J272</f>
        <v>102.65602799999999</v>
      </c>
      <c r="I23">
        <f t="shared" si="1"/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t="s">
        <v>133</v>
      </c>
      <c r="G24" s="21">
        <f t="shared" si="2"/>
        <v>0</v>
      </c>
      <c r="H24" s="12">
        <f>'APUS ARQUITECTURA'!J292</f>
        <v>47.432200000000002</v>
      </c>
      <c r="I24">
        <f t="shared" si="1"/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>
        <v>1</v>
      </c>
      <c r="F25" t="s">
        <v>133</v>
      </c>
      <c r="G25" s="21">
        <f t="shared" si="2"/>
        <v>10</v>
      </c>
      <c r="H25" s="12">
        <f>'APUS ARQUITECTURA'!J318</f>
        <v>51.986298000000005</v>
      </c>
      <c r="I25">
        <f t="shared" si="1"/>
        <v>519.86298000000011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t="s">
        <v>133</v>
      </c>
      <c r="G26" s="21">
        <f t="shared" si="2"/>
        <v>0</v>
      </c>
      <c r="H26" s="12">
        <f>'APUS ARQUITECTURA'!J340</f>
        <v>201.23</v>
      </c>
      <c r="I26">
        <f t="shared" si="1"/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G27" s="21"/>
      <c r="I27">
        <f t="shared" si="1"/>
        <v>0</v>
      </c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>
        <v>0.41666666666666669</v>
      </c>
      <c r="F28" t="s">
        <v>144</v>
      </c>
      <c r="G28" s="21">
        <f>E28*$M$2</f>
        <v>4.166666666666667</v>
      </c>
      <c r="H28" s="12">
        <f>'APUS ARQUITECTURA'!J347</f>
        <v>20.569980000000001</v>
      </c>
      <c r="I28">
        <f t="shared" si="1"/>
        <v>85.708250000000007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>
        <v>0.4096774193548387</v>
      </c>
      <c r="F29" t="s">
        <v>144</v>
      </c>
      <c r="G29" s="21">
        <f>E29*$M$2</f>
        <v>4.096774193548387</v>
      </c>
      <c r="H29" s="12">
        <f>'APUS ARQUITECTURA'!J364</f>
        <v>26.687480000000001</v>
      </c>
      <c r="I29">
        <f t="shared" si="1"/>
        <v>109.33257935483871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t="s">
        <v>144</v>
      </c>
      <c r="G30" s="21">
        <f>E30*$M$2</f>
        <v>0</v>
      </c>
      <c r="H30" s="12">
        <f>'APUS ARQUITECTURA'!J383</f>
        <v>36.537022000000007</v>
      </c>
      <c r="I30">
        <f t="shared" si="1"/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t="s">
        <v>144</v>
      </c>
      <c r="G31" s="21">
        <f>E31*$M$2</f>
        <v>0</v>
      </c>
      <c r="H31" s="12">
        <f>'APUS ARQUITECTURA'!J403</f>
        <v>25</v>
      </c>
      <c r="I31">
        <f t="shared" si="1"/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t="s">
        <v>144</v>
      </c>
      <c r="G32" s="21">
        <f>E32*$M$2</f>
        <v>0</v>
      </c>
      <c r="H32" s="12">
        <f>'APUS ARQUITECTURA'!J410</f>
        <v>44.192746666666665</v>
      </c>
      <c r="I32">
        <f t="shared" si="1"/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/>
      <c r="F33" t="s">
        <v>144</v>
      </c>
      <c r="G33" s="21">
        <f>E33*$M$2</f>
        <v>0</v>
      </c>
      <c r="H33" s="12">
        <f>'APUS ARQUITECTURA'!J430</f>
        <v>84.438490000000002</v>
      </c>
      <c r="I33">
        <f t="shared" si="1"/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G34" s="21"/>
      <c r="H34" s="12"/>
      <c r="I34">
        <f t="shared" si="1"/>
        <v>0</v>
      </c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52"/>
      <c r="F35" t="s">
        <v>133</v>
      </c>
      <c r="G35" s="21">
        <f>E35*$M$2</f>
        <v>0</v>
      </c>
      <c r="H35" s="12">
        <f>'APUS ARQUITECTURA'!J449</f>
        <v>560.62260000000003</v>
      </c>
      <c r="I35">
        <f t="shared" si="1"/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/>
      <c r="F36" t="s">
        <v>133</v>
      </c>
      <c r="G36" s="21">
        <f>E36*$M$2</f>
        <v>0</v>
      </c>
      <c r="H36" s="12">
        <f>'APUS ARQUITECTURA'!J456</f>
        <v>367.87083424090611</v>
      </c>
      <c r="I36">
        <f t="shared" si="1"/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55"/>
      <c r="F37" t="s">
        <v>133</v>
      </c>
      <c r="G37" s="21">
        <f>E37*$M$2</f>
        <v>0</v>
      </c>
      <c r="H37" s="12">
        <f>'APUS ARQUITECTURA'!J463</f>
        <v>514.53719413716362</v>
      </c>
      <c r="I37">
        <f t="shared" si="1"/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48"/>
      <c r="F38" t="s">
        <v>144</v>
      </c>
      <c r="G38" s="21">
        <f>E38*$M$2</f>
        <v>0</v>
      </c>
      <c r="H38" s="12">
        <f>'APUS ARQUITECTURA'!J470</f>
        <v>622.13</v>
      </c>
      <c r="I38">
        <f t="shared" si="1"/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t="s">
        <v>133</v>
      </c>
      <c r="G39" s="21">
        <f>E39*$M$2</f>
        <v>0</v>
      </c>
      <c r="H39" s="12">
        <f>'APUS ARQUITECTURA'!J477</f>
        <v>54.78</v>
      </c>
      <c r="I39">
        <f t="shared" si="1"/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G40" s="21"/>
      <c r="I40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v>1.5</v>
      </c>
      <c r="F41" t="s">
        <v>133</v>
      </c>
      <c r="G41" s="21">
        <f>E41*$M$2</f>
        <v>15</v>
      </c>
      <c r="H41" s="12">
        <f>'APUS ARQUITECTURA'!J484</f>
        <v>15.625164000000002</v>
      </c>
      <c r="I41">
        <f t="shared" si="1"/>
        <v>234.37746000000001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>
        <v>0.5</v>
      </c>
      <c r="F42" s="105" t="s">
        <v>133</v>
      </c>
      <c r="G42" s="21">
        <f>E42*$M$2</f>
        <v>5</v>
      </c>
      <c r="H42" s="12">
        <f>'APUS ARQUITECTURA'!J504</f>
        <v>15.956285454545455</v>
      </c>
      <c r="I42">
        <f t="shared" si="1"/>
        <v>79.781427272727271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G43" s="21"/>
      <c r="H43" s="12"/>
      <c r="I43">
        <f t="shared" si="1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/>
      <c r="F47" t="s">
        <v>154</v>
      </c>
      <c r="G47" s="21">
        <f>E47*$M$2</f>
        <v>0</v>
      </c>
      <c r="H47" s="12">
        <f>'APUS SANITARIAS'!J26</f>
        <v>750</v>
      </c>
      <c r="I47">
        <f t="shared" si="1"/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/>
      <c r="F48" t="s">
        <v>214</v>
      </c>
      <c r="G48" s="21">
        <f>E48*$M$2</f>
        <v>0</v>
      </c>
      <c r="H48" s="12">
        <f>'APUS SANITARIAS'!J32</f>
        <v>131.73781333333332</v>
      </c>
      <c r="I48">
        <f t="shared" si="1"/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/>
      <c r="F49" t="s">
        <v>214</v>
      </c>
      <c r="G49" s="21">
        <f>E49*$M$2</f>
        <v>0</v>
      </c>
      <c r="H49" s="12">
        <f>'APUS SANITARIAS'!J50</f>
        <v>210.60376000000002</v>
      </c>
      <c r="I49">
        <f t="shared" si="1"/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/>
      <c r="F50" t="s">
        <v>154</v>
      </c>
      <c r="G50" s="21">
        <f>E50*$M$2</f>
        <v>0</v>
      </c>
      <c r="H50" s="12">
        <f>'APUS SANITARIAS'!J69</f>
        <v>200</v>
      </c>
      <c r="I50">
        <f t="shared" si="1"/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/>
      <c r="F51" t="s">
        <v>154</v>
      </c>
      <c r="G51" s="21">
        <f>E51*$M$2</f>
        <v>0</v>
      </c>
      <c r="H51" s="12">
        <f>'APUS SANITARIAS'!J76</f>
        <v>537.21710399999995</v>
      </c>
      <c r="I51">
        <f t="shared" si="1"/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v>0.41666666666666669</v>
      </c>
      <c r="F52" t="s">
        <v>214</v>
      </c>
      <c r="G52" s="21">
        <f>E52*$M$2</f>
        <v>4.166666666666667</v>
      </c>
      <c r="H52" s="12">
        <f>'APUS SANITARIAS'!J91</f>
        <v>158.14803320874657</v>
      </c>
      <c r="I52">
        <f t="shared" si="1"/>
        <v>658.95013836977739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/>
      <c r="F53" t="s">
        <v>214</v>
      </c>
      <c r="G53" s="21">
        <f>E53*$M$2</f>
        <v>0</v>
      </c>
      <c r="H53" s="12">
        <f>'APUS SANITARIAS'!J108</f>
        <v>138.64527999999999</v>
      </c>
      <c r="I53">
        <f t="shared" si="1"/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/>
      <c r="F54" t="s">
        <v>214</v>
      </c>
      <c r="G54" s="21">
        <f>E54*$M$2</f>
        <v>0</v>
      </c>
      <c r="H54" s="12">
        <f>'APUS SANITARIAS'!J127</f>
        <v>145.93577999999999</v>
      </c>
      <c r="I54">
        <f t="shared" si="1"/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/>
      <c r="F55" t="s">
        <v>214</v>
      </c>
      <c r="G55" s="21">
        <f>E55*$M$2</f>
        <v>0</v>
      </c>
      <c r="H55" s="12">
        <f>'APUS SANITARIAS'!J145</f>
        <v>141.07118</v>
      </c>
      <c r="I55">
        <f t="shared" si="1"/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/>
      <c r="F56" t="s">
        <v>149</v>
      </c>
      <c r="G56" s="21">
        <f>E56*$M$2</f>
        <v>0</v>
      </c>
      <c r="H56" s="12">
        <f>'APUS SANITARIAS'!J163</f>
        <v>214.33091999999999</v>
      </c>
      <c r="I56">
        <f t="shared" si="1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/>
      <c r="F57" t="s">
        <v>149</v>
      </c>
      <c r="G57" s="21">
        <f>E57*$M$2</f>
        <v>0</v>
      </c>
      <c r="H57" s="12">
        <f>'APUS SANITARIAS'!J178</f>
        <v>101.51374313638702</v>
      </c>
      <c r="I57">
        <f t="shared" si="1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I58">
        <f t="shared" si="1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v>0.2</v>
      </c>
      <c r="F59" t="s">
        <v>214</v>
      </c>
      <c r="G59" s="21">
        <f>E59*$M$2</f>
        <v>2</v>
      </c>
      <c r="H59" s="12">
        <f>'APUS ELECTRICAS'!J5</f>
        <v>121.04310400000001</v>
      </c>
      <c r="I59">
        <f t="shared" si="1"/>
        <v>242.08620800000003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v>0.2</v>
      </c>
      <c r="F60" t="s">
        <v>214</v>
      </c>
      <c r="G60" s="21">
        <f>E60*$M$2</f>
        <v>2</v>
      </c>
      <c r="H60" s="12">
        <f>'APUS ELECTRICAS'!J26</f>
        <v>163.73838000000001</v>
      </c>
      <c r="I60">
        <f t="shared" si="1"/>
        <v>327.47676000000001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v>0.2</v>
      </c>
      <c r="F61" t="s">
        <v>214</v>
      </c>
      <c r="G61" s="21">
        <f>E61*$M$2</f>
        <v>2</v>
      </c>
      <c r="H61" s="12">
        <f>'APUS ELECTRICAS'!J48</f>
        <v>118.30689999999998</v>
      </c>
      <c r="I61">
        <f t="shared" si="1"/>
        <v>236.61379999999997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5"/>
      <c r="F62" t="s">
        <v>214</v>
      </c>
      <c r="G62" s="21">
        <f>E62*$M$2</f>
        <v>0</v>
      </c>
      <c r="H62" s="12">
        <f>'APUS ELECTRICAS'!J66</f>
        <v>7.34</v>
      </c>
      <c r="I62">
        <f t="shared" si="1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I63">
        <f t="shared" si="1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5">
        <v>0.1</v>
      </c>
      <c r="F64" t="s">
        <v>149</v>
      </c>
      <c r="G64" s="21">
        <f>E64*$M$2</f>
        <v>1</v>
      </c>
      <c r="H64" s="12">
        <f>'APUS ELECTRICAS'!J74</f>
        <v>396.14503200000001</v>
      </c>
      <c r="I64">
        <f t="shared" si="1"/>
        <v>396.14503200000001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5">
        <v>0.1</v>
      </c>
      <c r="F65" t="s">
        <v>149</v>
      </c>
      <c r="G65" s="21">
        <f>E65*$M$2</f>
        <v>1</v>
      </c>
      <c r="H65" s="12">
        <f>'APUS ELECTRICAS'!J88</f>
        <v>105.9636</v>
      </c>
      <c r="I65">
        <f t="shared" si="1"/>
        <v>105.9636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5"/>
      <c r="F66" t="s">
        <v>149</v>
      </c>
      <c r="G66" s="21">
        <f>E66*$M$2</f>
        <v>0</v>
      </c>
      <c r="H66" s="12">
        <f>'APUS ELECTRICAS'!J106</f>
        <v>143.11000000000001</v>
      </c>
      <c r="I66">
        <f t="shared" si="1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5"/>
      <c r="F67" t="s">
        <v>149</v>
      </c>
      <c r="G67" s="21">
        <f>E67*$M$2</f>
        <v>0</v>
      </c>
      <c r="H67" s="12">
        <f>'APUS ELECTRICAS'!J114</f>
        <v>86.816140000000019</v>
      </c>
      <c r="I67">
        <f t="shared" si="1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C0198-76CF-4718-9192-EA7F8231ADF6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'!D66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1093.2380847819572</v>
      </c>
      <c r="L4" s="25" t="s">
        <v>1368</v>
      </c>
      <c r="M4" s="130">
        <f>J4/M2</f>
        <v>109.32380847819573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/>
      <c r="F6" s="289" t="s">
        <v>133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/>
      <c r="F7" s="289" t="s">
        <v>133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289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48"/>
      <c r="F9" s="289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48"/>
      <c r="F10" s="289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/>
      <c r="F13" s="19" t="s">
        <v>133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/>
      <c r="F14" s="19" t="s">
        <v>133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F15" s="19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/>
      <c r="F16" s="19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28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s="19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/>
      <c r="F19" s="19" t="s">
        <v>203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/>
      <c r="F21" s="19" t="s">
        <v>133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s="19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/>
      <c r="F23" s="19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>
        <v>1</v>
      </c>
      <c r="F24" s="19" t="s">
        <v>133</v>
      </c>
      <c r="G24" s="21">
        <f>E24*$M$2</f>
        <v>10</v>
      </c>
      <c r="H24" s="12">
        <f>'APUS ARQUITECTURA'!J292</f>
        <v>47.432200000000002</v>
      </c>
      <c r="I24">
        <f>G24*H24</f>
        <v>474.322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s="19" t="s">
        <v>133</v>
      </c>
      <c r="G25" s="21">
        <f t="shared" ref="G25:G26" si="0"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s="19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F27" s="19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>
        <v>0.40499999999999997</v>
      </c>
      <c r="F28" s="19" t="s">
        <v>144</v>
      </c>
      <c r="G28" s="21">
        <f>E28*$M$2</f>
        <v>4.05</v>
      </c>
      <c r="H28" s="12">
        <f>'APUS ARQUITECTURA'!J347</f>
        <v>20.569980000000001</v>
      </c>
      <c r="I28">
        <f>G28*H28</f>
        <v>83.308419000000001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/>
      <c r="F29" s="19" t="s">
        <v>144</v>
      </c>
      <c r="G29" s="21">
        <f t="shared" ref="G29:G67" si="1"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s="19" t="s">
        <v>144</v>
      </c>
      <c r="G30" s="21">
        <f t="shared" si="1"/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s="19" t="s">
        <v>144</v>
      </c>
      <c r="G31" s="21">
        <f t="shared" si="1"/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s="19" t="s">
        <v>144</v>
      </c>
      <c r="G32" s="21">
        <f t="shared" si="1"/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/>
      <c r="F33" s="19" t="s">
        <v>144</v>
      </c>
      <c r="G33" s="21">
        <f t="shared" si="1"/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F34" s="19"/>
      <c r="G34" s="21">
        <f t="shared" si="1"/>
        <v>0</v>
      </c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52"/>
      <c r="F35" s="19" t="s">
        <v>133</v>
      </c>
      <c r="G35" s="21">
        <f t="shared" si="1"/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/>
      <c r="F36" s="19" t="s">
        <v>133</v>
      </c>
      <c r="G36" s="21">
        <f t="shared" si="1"/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55"/>
      <c r="F37" s="19" t="s">
        <v>133</v>
      </c>
      <c r="G37" s="21">
        <f t="shared" si="1"/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48"/>
      <c r="F38" s="19" t="s">
        <v>144</v>
      </c>
      <c r="G38" s="21">
        <f t="shared" si="1"/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s="19" t="s">
        <v>133</v>
      </c>
      <c r="G39" s="21">
        <f t="shared" si="1"/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F40" s="19"/>
      <c r="G40" s="21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v>0</v>
      </c>
      <c r="F41" s="19" t="s">
        <v>133</v>
      </c>
      <c r="G41" s="21">
        <f t="shared" si="1"/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/>
      <c r="F42" s="290" t="s">
        <v>133</v>
      </c>
      <c r="G42" s="21">
        <f t="shared" si="1"/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F43" s="19"/>
      <c r="G43" s="21">
        <f t="shared" si="1"/>
        <v>0</v>
      </c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 t="shared" si="1"/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/>
      <c r="F47" s="19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/>
      <c r="F48" s="19" t="s">
        <v>214</v>
      </c>
      <c r="G48" s="21">
        <f t="shared" si="1"/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/>
      <c r="F49" s="19" t="s">
        <v>214</v>
      </c>
      <c r="G49" s="21">
        <f t="shared" si="1"/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/>
      <c r="F50" s="19" t="s">
        <v>154</v>
      </c>
      <c r="G50" s="21">
        <f t="shared" si="1"/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/>
      <c r="F51" s="19" t="s">
        <v>154</v>
      </c>
      <c r="G51" s="21">
        <f t="shared" si="1"/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v>9.6000000000000002E-2</v>
      </c>
      <c r="F52" s="19" t="s">
        <v>214</v>
      </c>
      <c r="G52" s="21">
        <f t="shared" si="1"/>
        <v>0.96</v>
      </c>
      <c r="H52" s="12">
        <f>'APUS SANITARIAS'!J91</f>
        <v>158.14803320874657</v>
      </c>
      <c r="I52">
        <f t="shared" ref="I52:I67" si="2"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/>
      <c r="F53" s="19" t="s">
        <v>214</v>
      </c>
      <c r="G53" s="21">
        <f>E53*$M$2</f>
        <v>0</v>
      </c>
      <c r="H53" s="12">
        <f>'APUS SANITARIAS'!J108</f>
        <v>138.64527999999999</v>
      </c>
      <c r="I53">
        <f t="shared" si="2"/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/>
      <c r="F54" s="19" t="s">
        <v>214</v>
      </c>
      <c r="G54" s="21">
        <f t="shared" si="1"/>
        <v>0</v>
      </c>
      <c r="H54" s="12">
        <f>'APUS SANITARIAS'!J127</f>
        <v>145.93577999999999</v>
      </c>
      <c r="I54">
        <f t="shared" si="2"/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/>
      <c r="F55" s="19" t="s">
        <v>214</v>
      </c>
      <c r="G55" s="21">
        <f t="shared" si="1"/>
        <v>0</v>
      </c>
      <c r="H55" s="12">
        <f>'APUS SANITARIAS'!J145</f>
        <v>141.07118</v>
      </c>
      <c r="I55">
        <f t="shared" si="2"/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/>
      <c r="F56" s="19" t="s">
        <v>149</v>
      </c>
      <c r="G56" s="21">
        <f t="shared" si="1"/>
        <v>0</v>
      </c>
      <c r="H56" s="12">
        <f>'APUS SANITARIAS'!J163</f>
        <v>214.33091999999999</v>
      </c>
      <c r="I56">
        <f t="shared" si="2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/>
      <c r="F57" s="19" t="s">
        <v>149</v>
      </c>
      <c r="G57" s="21">
        <f t="shared" si="1"/>
        <v>0</v>
      </c>
      <c r="H57" s="12">
        <f>'APUS SANITARIAS'!J178</f>
        <v>101.51374313638702</v>
      </c>
      <c r="I57">
        <f t="shared" si="2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F58" s="19"/>
      <c r="G58" s="21">
        <f t="shared" si="1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v>4.8019207683073231E-2</v>
      </c>
      <c r="F59" s="19" t="s">
        <v>214</v>
      </c>
      <c r="G59" s="21">
        <f t="shared" si="1"/>
        <v>0.48019207683073228</v>
      </c>
      <c r="H59" s="12">
        <f>'APUS ELECTRICAS'!J5</f>
        <v>121.04310400000001</v>
      </c>
      <c r="I59">
        <f t="shared" si="2"/>
        <v>58.123939495798325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v>4.8019207683073231E-2</v>
      </c>
      <c r="F60" s="19" t="s">
        <v>214</v>
      </c>
      <c r="G60" s="21">
        <f t="shared" si="1"/>
        <v>0.48019207683073228</v>
      </c>
      <c r="H60" s="12">
        <f>'APUS ELECTRICAS'!J26</f>
        <v>163.73838000000001</v>
      </c>
      <c r="I60">
        <f t="shared" si="2"/>
        <v>78.625872749099642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v>4.8019207683073231E-2</v>
      </c>
      <c r="F61" s="19" t="s">
        <v>214</v>
      </c>
      <c r="G61" s="21">
        <f t="shared" si="1"/>
        <v>0.48019207683073228</v>
      </c>
      <c r="H61" s="12">
        <f>'APUS ELECTRICAS'!J48</f>
        <v>118.30689999999998</v>
      </c>
      <c r="I61">
        <f t="shared" si="2"/>
        <v>56.810036014405753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5"/>
      <c r="F62" s="19" t="s">
        <v>214</v>
      </c>
      <c r="G62" s="21">
        <f t="shared" si="1"/>
        <v>0</v>
      </c>
      <c r="H62" s="12">
        <f>'APUS ELECTRICAS'!J66</f>
        <v>7.34</v>
      </c>
      <c r="I62">
        <f t="shared" si="2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F63" s="19"/>
      <c r="G63" s="21">
        <f t="shared" si="1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5">
        <v>4.8019207683073231E-2</v>
      </c>
      <c r="F64" s="19" t="s">
        <v>149</v>
      </c>
      <c r="G64" s="21">
        <f t="shared" si="1"/>
        <v>0.48019207683073228</v>
      </c>
      <c r="H64" s="12">
        <f>'APUS ELECTRICAS'!J74</f>
        <v>396.14503200000001</v>
      </c>
      <c r="I64">
        <f t="shared" si="2"/>
        <v>190.22570564225691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5">
        <v>0</v>
      </c>
      <c r="F65" s="19" t="s">
        <v>149</v>
      </c>
      <c r="G65" s="21">
        <f t="shared" si="1"/>
        <v>0</v>
      </c>
      <c r="H65" s="12">
        <f>'APUS ELECTRICAS'!J88</f>
        <v>105.9636</v>
      </c>
      <c r="I65">
        <f t="shared" si="2"/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5"/>
      <c r="F66" s="19" t="s">
        <v>149</v>
      </c>
      <c r="G66" s="21">
        <f t="shared" si="1"/>
        <v>0</v>
      </c>
      <c r="H66" s="12">
        <f>'APUS ELECTRICAS'!J106</f>
        <v>143.11000000000001</v>
      </c>
      <c r="I66">
        <f t="shared" si="2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5"/>
      <c r="F67" s="19" t="s">
        <v>149</v>
      </c>
      <c r="G67" s="21">
        <f t="shared" si="1"/>
        <v>0</v>
      </c>
      <c r="H67" s="12">
        <f>'APUS ELECTRICAS'!J114</f>
        <v>86.816140000000019</v>
      </c>
      <c r="I67">
        <f t="shared" si="2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D128-0746-45DE-A941-8C1CADB9CAF8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'!D67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1093.2380847819572</v>
      </c>
      <c r="L4" s="25" t="s">
        <v>1368</v>
      </c>
      <c r="M4" s="130">
        <f>J4/M2</f>
        <v>109.32380847819573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/>
      <c r="F6" s="289" t="s">
        <v>133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/>
      <c r="F7" s="289" t="s">
        <v>133</v>
      </c>
      <c r="G7" s="21">
        <f>E7*$M$2</f>
        <v>0</v>
      </c>
      <c r="H7" s="12">
        <f>'APUS ARQUITECTURA'!J32</f>
        <v>150.06569999999999</v>
      </c>
      <c r="I7">
        <f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289" t="s">
        <v>133</v>
      </c>
      <c r="G8" s="21">
        <f>E8*$M$2</f>
        <v>0</v>
      </c>
      <c r="H8" s="12">
        <f>'APUS ARQUITECTURA'!J50</f>
        <v>141.06679428571431</v>
      </c>
      <c r="I8">
        <f>G8*H8</f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48"/>
      <c r="F9" s="289" t="s">
        <v>133</v>
      </c>
      <c r="G9" s="21">
        <f>E9*$M$2</f>
        <v>0</v>
      </c>
      <c r="H9" s="12">
        <f>'APUS ARQUITECTURA'!J74</f>
        <v>200.94213799999997</v>
      </c>
      <c r="I9">
        <f>G9*H9</f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48"/>
      <c r="F10" s="289" t="s">
        <v>133</v>
      </c>
      <c r="G10" s="21">
        <f>E10*$M$2</f>
        <v>0</v>
      </c>
      <c r="H10" s="12">
        <f>'APUS ARQUITECTURA'!J92</f>
        <v>300.22795400000001</v>
      </c>
      <c r="I10">
        <f>G10*H10</f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/>
      <c r="F13" s="19" t="s">
        <v>133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/>
      <c r="F14" s="19" t="s">
        <v>133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F15" s="19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/>
      <c r="F16" s="19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28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s="19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/>
      <c r="F19" s="19" t="s">
        <v>203</v>
      </c>
      <c r="G19" s="21">
        <f>E19*$M$2</f>
        <v>0</v>
      </c>
      <c r="H19" s="12">
        <f>'APUS ARQUITECTURA'!J212</f>
        <v>62.663358000000002</v>
      </c>
      <c r="I19">
        <f>G19*H19</f>
        <v>0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/>
      <c r="F21" s="19" t="s">
        <v>133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s="19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/>
      <c r="F23" s="19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>
        <v>1</v>
      </c>
      <c r="F24" s="19" t="s">
        <v>133</v>
      </c>
      <c r="G24" s="21">
        <f>E24*$M$2</f>
        <v>10</v>
      </c>
      <c r="H24" s="12">
        <f>'APUS ARQUITECTURA'!J292</f>
        <v>47.432200000000002</v>
      </c>
      <c r="I24">
        <f>G24*H24</f>
        <v>474.322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s="19" t="s">
        <v>133</v>
      </c>
      <c r="G25" s="21">
        <f t="shared" ref="G25:G26" si="0"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s="19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F27" s="19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>
        <v>0.40499999999999997</v>
      </c>
      <c r="F28" s="19" t="s">
        <v>144</v>
      </c>
      <c r="G28" s="21">
        <f>E28*$M$2</f>
        <v>4.05</v>
      </c>
      <c r="H28" s="12">
        <f>'APUS ARQUITECTURA'!J347</f>
        <v>20.569980000000001</v>
      </c>
      <c r="I28">
        <f>G28*H28</f>
        <v>83.308419000000001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/>
      <c r="F29" s="19" t="s">
        <v>144</v>
      </c>
      <c r="G29" s="21">
        <f t="shared" ref="G29:G67" si="1"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s="19" t="s">
        <v>144</v>
      </c>
      <c r="G30" s="21">
        <f t="shared" si="1"/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s="19" t="s">
        <v>144</v>
      </c>
      <c r="G31" s="21">
        <f t="shared" si="1"/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s="19" t="s">
        <v>144</v>
      </c>
      <c r="G32" s="21">
        <f t="shared" si="1"/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/>
      <c r="F33" s="19" t="s">
        <v>144</v>
      </c>
      <c r="G33" s="21">
        <f t="shared" si="1"/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F34" s="19"/>
      <c r="G34" s="21">
        <f t="shared" si="1"/>
        <v>0</v>
      </c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52"/>
      <c r="F35" s="19" t="s">
        <v>133</v>
      </c>
      <c r="G35" s="21">
        <f t="shared" si="1"/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/>
      <c r="F36" s="19" t="s">
        <v>133</v>
      </c>
      <c r="G36" s="21">
        <f t="shared" si="1"/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55"/>
      <c r="F37" s="19" t="s">
        <v>133</v>
      </c>
      <c r="G37" s="21">
        <f t="shared" si="1"/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48"/>
      <c r="F38" s="19" t="s">
        <v>144</v>
      </c>
      <c r="G38" s="21">
        <f t="shared" si="1"/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s="19" t="s">
        <v>133</v>
      </c>
      <c r="G39" s="21">
        <f t="shared" si="1"/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F40" s="19"/>
      <c r="G40" s="21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>
        <v>0</v>
      </c>
      <c r="F41" s="19" t="s">
        <v>133</v>
      </c>
      <c r="G41" s="21">
        <f t="shared" si="1"/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/>
      <c r="F42" s="290" t="s">
        <v>133</v>
      </c>
      <c r="G42" s="21">
        <f t="shared" si="1"/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F43" s="19"/>
      <c r="G43" s="21">
        <f t="shared" si="1"/>
        <v>0</v>
      </c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 t="shared" si="1"/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/>
      <c r="F47" s="19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/>
      <c r="F48" s="19" t="s">
        <v>214</v>
      </c>
      <c r="G48" s="21">
        <f t="shared" si="1"/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/>
      <c r="F49" s="19" t="s">
        <v>214</v>
      </c>
      <c r="G49" s="21">
        <f t="shared" si="1"/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/>
      <c r="F50" s="19" t="s">
        <v>154</v>
      </c>
      <c r="G50" s="21">
        <f t="shared" si="1"/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/>
      <c r="F51" s="19" t="s">
        <v>154</v>
      </c>
      <c r="G51" s="21">
        <f t="shared" si="1"/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>
        <v>9.6000000000000002E-2</v>
      </c>
      <c r="F52" s="19" t="s">
        <v>214</v>
      </c>
      <c r="G52" s="21">
        <f t="shared" si="1"/>
        <v>0.96</v>
      </c>
      <c r="H52" s="12">
        <f>'APUS SANITARIAS'!J91</f>
        <v>158.14803320874657</v>
      </c>
      <c r="I52">
        <f t="shared" ref="I52:I67" si="2">G52*H52</f>
        <v>151.8221118803967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/>
      <c r="F53" s="19" t="s">
        <v>214</v>
      </c>
      <c r="G53" s="21">
        <f>E53*$M$2</f>
        <v>0</v>
      </c>
      <c r="H53" s="12">
        <f>'APUS SANITARIAS'!J108</f>
        <v>138.64527999999999</v>
      </c>
      <c r="I53">
        <f t="shared" si="2"/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/>
      <c r="F54" s="19" t="s">
        <v>214</v>
      </c>
      <c r="G54" s="21">
        <f t="shared" si="1"/>
        <v>0</v>
      </c>
      <c r="H54" s="12">
        <f>'APUS SANITARIAS'!J127</f>
        <v>145.93577999999999</v>
      </c>
      <c r="I54">
        <f t="shared" si="2"/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/>
      <c r="F55" s="19" t="s">
        <v>214</v>
      </c>
      <c r="G55" s="21">
        <f t="shared" si="1"/>
        <v>0</v>
      </c>
      <c r="H55" s="12">
        <f>'APUS SANITARIAS'!J145</f>
        <v>141.07118</v>
      </c>
      <c r="I55">
        <f t="shared" si="2"/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/>
      <c r="F56" s="19" t="s">
        <v>149</v>
      </c>
      <c r="G56" s="21">
        <f t="shared" si="1"/>
        <v>0</v>
      </c>
      <c r="H56" s="12">
        <f>'APUS SANITARIAS'!J163</f>
        <v>214.33091999999999</v>
      </c>
      <c r="I56">
        <f t="shared" si="2"/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/>
      <c r="F57" s="19" t="s">
        <v>149</v>
      </c>
      <c r="G57" s="21">
        <f t="shared" si="1"/>
        <v>0</v>
      </c>
      <c r="H57" s="12">
        <f>'APUS SANITARIAS'!J178</f>
        <v>101.51374313638702</v>
      </c>
      <c r="I57">
        <f t="shared" si="2"/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F58" s="19"/>
      <c r="G58" s="21">
        <f t="shared" si="1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v>4.8019207683073231E-2</v>
      </c>
      <c r="F59" s="19" t="s">
        <v>214</v>
      </c>
      <c r="G59" s="21">
        <f t="shared" si="1"/>
        <v>0.48019207683073228</v>
      </c>
      <c r="H59" s="12">
        <f>'APUS ELECTRICAS'!J5</f>
        <v>121.04310400000001</v>
      </c>
      <c r="I59">
        <f t="shared" si="2"/>
        <v>58.123939495798325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v>4.8019207683073231E-2</v>
      </c>
      <c r="F60" s="19" t="s">
        <v>214</v>
      </c>
      <c r="G60" s="21">
        <f t="shared" si="1"/>
        <v>0.48019207683073228</v>
      </c>
      <c r="H60" s="12">
        <f>'APUS ELECTRICAS'!J26</f>
        <v>163.73838000000001</v>
      </c>
      <c r="I60">
        <f t="shared" si="2"/>
        <v>78.625872749099642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v>4.8019207683073231E-2</v>
      </c>
      <c r="F61" s="19" t="s">
        <v>214</v>
      </c>
      <c r="G61" s="21">
        <f t="shared" si="1"/>
        <v>0.48019207683073228</v>
      </c>
      <c r="H61" s="12">
        <f>'APUS ELECTRICAS'!J48</f>
        <v>118.30689999999998</v>
      </c>
      <c r="I61">
        <f t="shared" si="2"/>
        <v>56.810036014405753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5"/>
      <c r="F62" s="19" t="s">
        <v>214</v>
      </c>
      <c r="G62" s="21">
        <f t="shared" si="1"/>
        <v>0</v>
      </c>
      <c r="H62" s="12">
        <f>'APUS ELECTRICAS'!J66</f>
        <v>7.34</v>
      </c>
      <c r="I62">
        <f t="shared" si="2"/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F63" s="19"/>
      <c r="G63" s="21">
        <f t="shared" si="1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5">
        <v>4.8019207683073231E-2</v>
      </c>
      <c r="F64" s="19" t="s">
        <v>149</v>
      </c>
      <c r="G64" s="21">
        <f t="shared" si="1"/>
        <v>0.48019207683073228</v>
      </c>
      <c r="H64" s="12">
        <f>'APUS ELECTRICAS'!J74</f>
        <v>396.14503200000001</v>
      </c>
      <c r="I64">
        <f t="shared" si="2"/>
        <v>190.22570564225691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5">
        <v>0</v>
      </c>
      <c r="F65" s="19" t="s">
        <v>149</v>
      </c>
      <c r="G65" s="21">
        <f t="shared" si="1"/>
        <v>0</v>
      </c>
      <c r="H65" s="12">
        <f>'APUS ELECTRICAS'!J88</f>
        <v>105.9636</v>
      </c>
      <c r="I65">
        <f t="shared" si="2"/>
        <v>0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5"/>
      <c r="F66" s="19" t="s">
        <v>149</v>
      </c>
      <c r="G66" s="21">
        <f t="shared" si="1"/>
        <v>0</v>
      </c>
      <c r="H66" s="12">
        <f>'APUS ELECTRICAS'!J106</f>
        <v>143.11000000000001</v>
      </c>
      <c r="I66">
        <f t="shared" si="2"/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5"/>
      <c r="F67" s="19" t="s">
        <v>149</v>
      </c>
      <c r="G67" s="21">
        <f t="shared" si="1"/>
        <v>0</v>
      </c>
      <c r="H67" s="12">
        <f>'APUS ELECTRICAS'!J114</f>
        <v>86.816140000000019</v>
      </c>
      <c r="I67">
        <f t="shared" si="2"/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781F6-CD88-4758-B255-346992A702DE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'!D68</f>
        <v>10</v>
      </c>
    </row>
    <row r="3" spans="1:68">
      <c r="E3" s="4" t="s">
        <v>1222</v>
      </c>
      <c r="F3" s="4" t="s">
        <v>122</v>
      </c>
      <c r="G3" s="4" t="s">
        <v>123</v>
      </c>
      <c r="H3" s="4" t="s">
        <v>124</v>
      </c>
      <c r="I3" s="4" t="s">
        <v>453</v>
      </c>
      <c r="J3" s="4" t="s">
        <v>454</v>
      </c>
      <c r="L3" s="25"/>
      <c r="M3" s="130"/>
    </row>
    <row r="4" spans="1:68">
      <c r="A4" s="1"/>
      <c r="E4" s="10"/>
      <c r="F4" s="23"/>
      <c r="G4" s="21"/>
      <c r="H4" s="23"/>
      <c r="J4">
        <f>SUM(I5:I77)</f>
        <v>1441.3108944000001</v>
      </c>
      <c r="L4" s="25" t="s">
        <v>1368</v>
      </c>
      <c r="M4" s="130">
        <f>J4/M2</f>
        <v>144.13108944000001</v>
      </c>
    </row>
    <row r="5" spans="1:68">
      <c r="A5" s="1" t="s">
        <v>755</v>
      </c>
      <c r="E5" s="10"/>
      <c r="G5" s="21"/>
    </row>
    <row r="6" spans="1:68">
      <c r="A6" t="s">
        <v>757</v>
      </c>
      <c r="E6" s="145"/>
      <c r="F6" s="289" t="s">
        <v>133</v>
      </c>
      <c r="G6" s="21">
        <f>E6*$M$2</f>
        <v>0</v>
      </c>
      <c r="H6" s="12">
        <f>'APUS ARQUITECTURA'!J5</f>
        <v>135.824337926792</v>
      </c>
      <c r="I6">
        <f>G6*H6</f>
        <v>0</v>
      </c>
      <c r="O6" s="145"/>
      <c r="P6" s="145"/>
      <c r="Q6" s="145"/>
      <c r="R6" s="145"/>
      <c r="S6" s="145"/>
      <c r="T6" s="145"/>
      <c r="U6" s="146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6"/>
      <c r="AI6" s="146"/>
      <c r="AJ6" s="146"/>
      <c r="AK6" s="146"/>
      <c r="AL6" s="147"/>
      <c r="AM6" s="146"/>
      <c r="AN6" s="146"/>
      <c r="AO6" s="145"/>
      <c r="AP6" s="145"/>
      <c r="AR6" s="145"/>
      <c r="AS6" s="145"/>
      <c r="AT6" s="145"/>
      <c r="AU6" s="145"/>
      <c r="AV6" s="145"/>
      <c r="AW6" s="145"/>
      <c r="AX6" s="145"/>
      <c r="AY6" s="145"/>
    </row>
    <row r="7" spans="1:68">
      <c r="A7" t="s">
        <v>759</v>
      </c>
      <c r="E7" s="145"/>
      <c r="F7" s="289" t="s">
        <v>133</v>
      </c>
      <c r="G7" s="21">
        <f>E7*$M$2</f>
        <v>0</v>
      </c>
      <c r="H7" s="12">
        <f>'APUS ARQUITECTURA'!J32</f>
        <v>150.06569999999999</v>
      </c>
      <c r="I7">
        <f t="shared" ref="I7:I10" si="0">G7*H7</f>
        <v>0</v>
      </c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  <c r="AG7" s="145"/>
      <c r="AH7" s="146"/>
      <c r="AI7" s="146"/>
      <c r="AJ7" s="146"/>
      <c r="AK7" s="146"/>
      <c r="AL7" s="147"/>
      <c r="AM7" s="146"/>
      <c r="AN7" s="146"/>
      <c r="AO7" s="145"/>
      <c r="AP7" s="145"/>
      <c r="AR7" s="145"/>
      <c r="AS7" s="145"/>
      <c r="AT7" s="145"/>
      <c r="AU7" s="145"/>
      <c r="AV7" s="145"/>
      <c r="AW7" s="145"/>
      <c r="AX7" s="145"/>
      <c r="AY7" s="145"/>
    </row>
    <row r="8" spans="1:68">
      <c r="A8" t="s">
        <v>761</v>
      </c>
      <c r="E8" s="145"/>
      <c r="F8" s="289" t="s">
        <v>133</v>
      </c>
      <c r="G8" s="21">
        <f>E8*$M$2</f>
        <v>0</v>
      </c>
      <c r="H8" s="12">
        <f>'APUS ARQUITECTURA'!J50</f>
        <v>141.06679428571431</v>
      </c>
      <c r="I8">
        <f t="shared" si="0"/>
        <v>0</v>
      </c>
      <c r="O8" s="145"/>
      <c r="P8" s="145"/>
      <c r="Q8" s="145"/>
      <c r="R8" s="145"/>
      <c r="S8" s="145"/>
      <c r="T8" s="145"/>
      <c r="U8" s="146"/>
      <c r="V8" s="145"/>
      <c r="W8" s="145"/>
      <c r="X8" s="145"/>
      <c r="Y8" s="145"/>
      <c r="Z8" s="145"/>
      <c r="AA8" s="145"/>
      <c r="AB8" s="145"/>
      <c r="AC8" s="145"/>
      <c r="AD8" s="146"/>
      <c r="AE8" s="146"/>
      <c r="AF8" s="145"/>
      <c r="AG8" s="145"/>
      <c r="AH8" s="146"/>
      <c r="AI8" s="146"/>
      <c r="AJ8" s="146"/>
      <c r="AK8" s="146"/>
      <c r="AL8" s="147"/>
      <c r="AM8" s="146"/>
      <c r="AN8" s="146"/>
      <c r="AO8" s="145"/>
      <c r="AP8" s="145"/>
      <c r="AR8" s="145"/>
      <c r="AS8" s="145"/>
      <c r="AT8" s="145"/>
      <c r="AU8" s="145"/>
      <c r="AV8" s="145"/>
      <c r="AW8" s="145"/>
      <c r="AX8" s="145"/>
      <c r="AY8" s="145"/>
    </row>
    <row r="9" spans="1:68" ht="15" customHeight="1">
      <c r="A9" t="s">
        <v>763</v>
      </c>
      <c r="E9" s="148"/>
      <c r="F9" s="289" t="s">
        <v>133</v>
      </c>
      <c r="G9" s="21">
        <f>E9*$M$2</f>
        <v>0</v>
      </c>
      <c r="H9" s="12">
        <f>'APUS ARQUITECTURA'!J74</f>
        <v>200.94213799999997</v>
      </c>
      <c r="I9">
        <f t="shared" si="0"/>
        <v>0</v>
      </c>
      <c r="O9" s="148"/>
      <c r="P9" s="148"/>
      <c r="Q9" s="148"/>
      <c r="R9" s="148"/>
      <c r="S9" s="148"/>
      <c r="T9" s="148"/>
      <c r="U9" s="149"/>
      <c r="V9" s="148"/>
      <c r="W9" s="148"/>
      <c r="X9" s="148"/>
      <c r="Y9" s="148"/>
      <c r="Z9" s="148"/>
      <c r="AA9" s="148"/>
      <c r="AB9" s="148"/>
      <c r="AC9" s="148"/>
      <c r="AD9" s="149"/>
      <c r="AE9" s="149"/>
      <c r="AF9" s="148"/>
      <c r="AG9" s="148"/>
      <c r="AH9" s="149"/>
      <c r="AI9" s="149"/>
      <c r="AJ9" s="149"/>
      <c r="AK9" s="149"/>
      <c r="AL9" s="150"/>
      <c r="AM9" s="149"/>
      <c r="AN9" s="149"/>
      <c r="AO9" s="148"/>
      <c r="AP9" s="148"/>
      <c r="AR9" s="148"/>
      <c r="AS9" s="148"/>
      <c r="AT9" s="148"/>
      <c r="AU9" s="148"/>
      <c r="AV9" s="148"/>
      <c r="AW9" s="148"/>
      <c r="AX9" s="148"/>
      <c r="AY9" s="148"/>
    </row>
    <row r="10" spans="1:68">
      <c r="A10" t="s">
        <v>765</v>
      </c>
      <c r="E10" s="148"/>
      <c r="F10" s="289" t="s">
        <v>133</v>
      </c>
      <c r="G10" s="21">
        <f>E10*$M$2</f>
        <v>0</v>
      </c>
      <c r="H10" s="12">
        <f>'APUS ARQUITECTURA'!J92</f>
        <v>300.22795400000001</v>
      </c>
      <c r="I10">
        <f t="shared" si="0"/>
        <v>0</v>
      </c>
      <c r="O10" s="148"/>
      <c r="P10" s="148"/>
      <c r="Q10" s="148"/>
      <c r="R10" s="148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50"/>
      <c r="AM10" s="149"/>
      <c r="AN10" s="149"/>
      <c r="AO10" s="149"/>
      <c r="AP10" s="149"/>
      <c r="AQ10" s="51"/>
      <c r="AR10" s="149"/>
      <c r="AS10" s="149"/>
      <c r="AT10" s="149"/>
      <c r="AU10" s="149"/>
      <c r="AV10" s="149"/>
      <c r="AW10" s="149"/>
      <c r="AX10" s="149"/>
      <c r="AY10" s="149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766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768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770</v>
      </c>
      <c r="E13" s="145"/>
      <c r="F13" s="19" t="s">
        <v>133</v>
      </c>
      <c r="G13" s="21">
        <f>E13*$M$2</f>
        <v>0</v>
      </c>
      <c r="H13" s="12">
        <f>'APUS ARQUITECTURA'!J127</f>
        <v>27.122965133333338</v>
      </c>
      <c r="I13">
        <f>G13*H13</f>
        <v>0</v>
      </c>
      <c r="O13" s="145"/>
      <c r="P13" s="145"/>
      <c r="Q13" s="145"/>
      <c r="R13" s="145"/>
      <c r="S13" s="146"/>
      <c r="T13" s="146"/>
      <c r="U13" s="146"/>
      <c r="V13" s="146"/>
      <c r="W13" s="147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/>
      <c r="AI13" s="151"/>
      <c r="AJ13" s="151"/>
      <c r="AK13" s="146"/>
      <c r="AL13" s="147"/>
      <c r="AM13" s="146"/>
      <c r="AN13" s="146"/>
      <c r="AO13" s="146"/>
      <c r="AP13" s="146"/>
      <c r="AQ13" s="51"/>
      <c r="AR13" s="146"/>
      <c r="AS13" s="146"/>
      <c r="AT13" s="146"/>
      <c r="AU13" s="146"/>
      <c r="AV13" s="151"/>
      <c r="AW13" s="146"/>
      <c r="AX13" s="146"/>
      <c r="AY13" s="146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772</v>
      </c>
      <c r="E14" s="145"/>
      <c r="F14" s="19" t="s">
        <v>133</v>
      </c>
      <c r="G14" s="21">
        <f>E14*$M$2</f>
        <v>0</v>
      </c>
      <c r="H14" s="12">
        <f>'APUS ARQUITECTURA'!J148</f>
        <v>35.840962666666663</v>
      </c>
      <c r="I14">
        <f>G14*H14</f>
        <v>0</v>
      </c>
      <c r="O14" s="145"/>
      <c r="P14" s="145"/>
      <c r="Q14" s="145"/>
      <c r="R14" s="145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7"/>
      <c r="AM14" s="146"/>
      <c r="AN14" s="146"/>
      <c r="AO14" s="146"/>
      <c r="AP14" s="146"/>
      <c r="AQ14" s="51"/>
      <c r="AR14" s="146"/>
      <c r="AS14" s="146"/>
      <c r="AT14" s="146"/>
      <c r="AU14" s="146"/>
      <c r="AV14" s="146"/>
      <c r="AW14" s="146"/>
      <c r="AX14" s="146"/>
      <c r="AY14" s="146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774</v>
      </c>
      <c r="E15" s="145"/>
      <c r="F15" s="19"/>
      <c r="G15" s="21"/>
      <c r="H15" s="12"/>
      <c r="O15" s="145"/>
      <c r="P15" s="145"/>
      <c r="Q15" s="145"/>
      <c r="R15" s="145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7"/>
      <c r="AM15" s="146"/>
      <c r="AN15" s="146"/>
      <c r="AO15" s="146"/>
      <c r="AP15" s="146"/>
      <c r="AQ15" s="51"/>
      <c r="AR15" s="146"/>
      <c r="AS15" s="146"/>
      <c r="AT15" s="146"/>
      <c r="AU15" s="146"/>
      <c r="AV15" s="146"/>
      <c r="AW15" s="146"/>
      <c r="AX15" s="146"/>
      <c r="AY15" s="146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776</v>
      </c>
      <c r="E16" s="145"/>
      <c r="F16" s="19" t="s">
        <v>133</v>
      </c>
      <c r="G16" s="21">
        <f>E16*$M$2</f>
        <v>0</v>
      </c>
      <c r="H16" s="12">
        <f>'APUS ARQUITECTURA'!J168</f>
        <v>90.825879999999998</v>
      </c>
      <c r="I16">
        <f>G16*H16</f>
        <v>0</v>
      </c>
      <c r="O16" s="145"/>
      <c r="P16" s="145"/>
      <c r="Q16" s="145"/>
      <c r="R16" s="145"/>
      <c r="S16" s="146"/>
      <c r="T16" s="146"/>
      <c r="U16" s="146"/>
      <c r="V16" s="146"/>
      <c r="W16" s="147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7"/>
      <c r="AM16" s="146"/>
      <c r="AN16" s="146"/>
      <c r="AO16" s="146"/>
      <c r="AP16" s="146"/>
      <c r="AQ16" s="51"/>
      <c r="AR16" s="146"/>
      <c r="AS16" s="146"/>
      <c r="AT16" s="146"/>
      <c r="AU16" s="146"/>
      <c r="AV16" s="146"/>
      <c r="AW16" s="146"/>
      <c r="AX16" s="146"/>
      <c r="AY16" s="146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778</v>
      </c>
      <c r="D17" s="10"/>
      <c r="F17" s="28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780</v>
      </c>
      <c r="E18" s="145"/>
      <c r="F18" s="19" t="s">
        <v>203</v>
      </c>
      <c r="G18" s="21">
        <f>E18*$M$2</f>
        <v>0</v>
      </c>
      <c r="H18" s="12">
        <f>'APUS ARQUITECTURA'!J188</f>
        <v>212.28215533333332</v>
      </c>
      <c r="I18">
        <f>G18*H18</f>
        <v>0</v>
      </c>
      <c r="O18" s="145"/>
      <c r="P18" s="145"/>
      <c r="Q18" s="145"/>
      <c r="R18" s="145"/>
      <c r="S18" s="146"/>
      <c r="T18" s="146"/>
      <c r="U18" s="146"/>
      <c r="V18" s="146"/>
      <c r="W18" s="147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7"/>
      <c r="AM18" s="146"/>
      <c r="AN18" s="146"/>
      <c r="AO18" s="146"/>
      <c r="AP18" s="146"/>
      <c r="AQ18" s="51"/>
      <c r="AR18" s="146"/>
      <c r="AS18" s="146"/>
      <c r="AT18" s="146"/>
      <c r="AU18" s="146"/>
      <c r="AV18" s="146"/>
      <c r="AW18" s="146"/>
      <c r="AX18" s="146"/>
      <c r="AY18" s="146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782</v>
      </c>
      <c r="E19" s="145">
        <v>1</v>
      </c>
      <c r="F19" s="19" t="s">
        <v>203</v>
      </c>
      <c r="G19" s="21">
        <f>E19*$M$2</f>
        <v>10</v>
      </c>
      <c r="H19" s="12">
        <f>'APUS ARQUITECTURA'!J212</f>
        <v>62.663358000000002</v>
      </c>
      <c r="I19">
        <f>G19*H19</f>
        <v>626.63358000000005</v>
      </c>
      <c r="O19" s="145"/>
      <c r="P19" s="145"/>
      <c r="Q19" s="145"/>
      <c r="R19" s="145"/>
      <c r="S19" s="146"/>
      <c r="T19" s="146"/>
      <c r="U19" s="146"/>
      <c r="V19" s="146"/>
      <c r="W19" s="147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46"/>
      <c r="AL19" s="147"/>
      <c r="AM19" s="146"/>
      <c r="AN19" s="146"/>
      <c r="AO19" s="146"/>
      <c r="AP19" s="146"/>
      <c r="AQ19" s="51"/>
      <c r="AR19" s="146"/>
      <c r="AS19" s="146"/>
      <c r="AT19" s="146"/>
      <c r="AU19" s="146"/>
      <c r="AV19" s="146"/>
      <c r="AW19" s="146"/>
      <c r="AX19" s="146"/>
      <c r="AY19" s="146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783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785</v>
      </c>
      <c r="E21" s="145"/>
      <c r="F21" s="19" t="s">
        <v>133</v>
      </c>
      <c r="G21" s="21">
        <f>E21*$M$2</f>
        <v>0</v>
      </c>
      <c r="H21" s="12">
        <f>'APUS ARQUITECTURA'!J232</f>
        <v>40.184685790000003</v>
      </c>
      <c r="I21">
        <f>G21*H21</f>
        <v>0</v>
      </c>
      <c r="O21" s="145"/>
      <c r="P21" s="145"/>
      <c r="Q21" s="145"/>
      <c r="R21" s="145"/>
      <c r="S21" s="146"/>
      <c r="T21" s="146"/>
      <c r="U21" s="146"/>
      <c r="V21" s="146"/>
      <c r="W21" s="147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/>
      <c r="AI21" s="146"/>
      <c r="AJ21" s="146"/>
      <c r="AK21" s="146"/>
      <c r="AL21" s="147"/>
      <c r="AM21" s="146"/>
      <c r="AN21" s="146"/>
      <c r="AO21" s="146"/>
      <c r="AP21" s="146"/>
      <c r="AQ21" s="51"/>
      <c r="AR21" s="146"/>
      <c r="AS21" s="146"/>
      <c r="AT21" s="146"/>
      <c r="AU21" s="146"/>
      <c r="AV21" s="146"/>
      <c r="AW21" s="146"/>
      <c r="AX21" s="146"/>
      <c r="AY21" s="146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787</v>
      </c>
      <c r="E22" s="145"/>
      <c r="F22" s="19" t="s">
        <v>133</v>
      </c>
      <c r="G22" s="21">
        <f>E22*$M$2</f>
        <v>0</v>
      </c>
      <c r="H22" s="12">
        <f>'APUS ARQUITECTURA'!J252</f>
        <v>206.77337199999999</v>
      </c>
      <c r="I22">
        <f>G22*H22</f>
        <v>0</v>
      </c>
      <c r="O22" s="145"/>
      <c r="P22" s="145"/>
      <c r="Q22" s="145"/>
      <c r="R22" s="145"/>
      <c r="S22" s="146"/>
      <c r="T22" s="146"/>
      <c r="U22" s="146"/>
      <c r="V22" s="146"/>
      <c r="W22" s="147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146"/>
      <c r="AI22" s="146"/>
      <c r="AJ22" s="146"/>
      <c r="AK22" s="146"/>
      <c r="AL22" s="147"/>
      <c r="AM22" s="146"/>
      <c r="AN22" s="146"/>
      <c r="AO22" s="146"/>
      <c r="AP22" s="146"/>
      <c r="AQ22" s="51"/>
      <c r="AR22" s="146"/>
      <c r="AS22" s="146"/>
      <c r="AT22" s="146"/>
      <c r="AU22" s="146"/>
      <c r="AV22" s="146"/>
      <c r="AW22" s="146"/>
      <c r="AX22" s="146"/>
      <c r="AY22" s="146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789</v>
      </c>
      <c r="E23" s="145"/>
      <c r="F23" s="19" t="s">
        <v>133</v>
      </c>
      <c r="G23" s="21">
        <f>E23*$M$2</f>
        <v>0</v>
      </c>
      <c r="H23" s="12">
        <f>'APUS ARQUITECTURA'!J272</f>
        <v>102.65602799999999</v>
      </c>
      <c r="I23">
        <f>G23*H23</f>
        <v>0</v>
      </c>
      <c r="O23" s="145"/>
      <c r="P23" s="145"/>
      <c r="Q23" s="145"/>
      <c r="R23" s="145"/>
      <c r="S23" s="146"/>
      <c r="T23" s="146"/>
      <c r="U23" s="146"/>
      <c r="V23" s="146"/>
      <c r="W23" s="147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  <c r="AH23" s="146"/>
      <c r="AI23" s="146"/>
      <c r="AJ23" s="146"/>
      <c r="AK23" s="146"/>
      <c r="AL23" s="147"/>
      <c r="AM23" s="146"/>
      <c r="AN23" s="146"/>
      <c r="AO23" s="146"/>
      <c r="AP23" s="146"/>
      <c r="AQ23" s="51"/>
      <c r="AR23" s="146"/>
      <c r="AS23" s="146"/>
      <c r="AT23" s="146"/>
      <c r="AU23" s="146"/>
      <c r="AV23" s="146"/>
      <c r="AW23" s="146"/>
      <c r="AX23" s="146"/>
      <c r="AY23" s="146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791</v>
      </c>
      <c r="E24" s="145"/>
      <c r="F24" s="19" t="s">
        <v>133</v>
      </c>
      <c r="G24" s="21">
        <f>E24*$M$2</f>
        <v>0</v>
      </c>
      <c r="H24" s="12">
        <f>'APUS ARQUITECTURA'!J292</f>
        <v>47.432200000000002</v>
      </c>
      <c r="I24">
        <f>G24*H24</f>
        <v>0</v>
      </c>
      <c r="O24" s="145"/>
      <c r="P24" s="145"/>
      <c r="Q24" s="145"/>
      <c r="R24" s="145"/>
      <c r="S24" s="146"/>
      <c r="T24" s="146"/>
      <c r="U24" s="146"/>
      <c r="V24" s="146"/>
      <c r="W24" s="147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146"/>
      <c r="AI24" s="146"/>
      <c r="AJ24" s="146"/>
      <c r="AK24" s="146"/>
      <c r="AL24" s="147"/>
      <c r="AM24" s="146"/>
      <c r="AN24" s="146"/>
      <c r="AO24" s="146"/>
      <c r="AP24" s="146"/>
      <c r="AQ24" s="51"/>
      <c r="AR24" s="146"/>
      <c r="AS24" s="146"/>
      <c r="AT24" s="146"/>
      <c r="AU24" s="146"/>
      <c r="AV24" s="146"/>
      <c r="AW24" s="146"/>
      <c r="AX24" s="146"/>
      <c r="AY24" s="146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793</v>
      </c>
      <c r="E25" s="145"/>
      <c r="F25" s="19" t="s">
        <v>133</v>
      </c>
      <c r="G25" s="21">
        <f>E25*$M$2</f>
        <v>0</v>
      </c>
      <c r="H25" s="12">
        <f>'APUS ARQUITECTURA'!J318</f>
        <v>51.986298000000005</v>
      </c>
      <c r="I25">
        <f>G25*H25</f>
        <v>0</v>
      </c>
      <c r="O25" s="145"/>
      <c r="P25" s="145"/>
      <c r="Q25" s="145"/>
      <c r="R25" s="145"/>
      <c r="S25" s="146"/>
      <c r="T25" s="146"/>
      <c r="U25" s="146"/>
      <c r="V25" s="146"/>
      <c r="W25" s="147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  <c r="AH25" s="146"/>
      <c r="AI25" s="146"/>
      <c r="AJ25" s="146"/>
      <c r="AK25" s="146"/>
      <c r="AL25" s="147"/>
      <c r="AM25" s="146"/>
      <c r="AN25" s="146"/>
      <c r="AO25" s="146"/>
      <c r="AP25" s="146"/>
      <c r="AQ25" s="51"/>
      <c r="AR25" s="146"/>
      <c r="AS25" s="146"/>
      <c r="AT25" s="146"/>
      <c r="AU25" s="146"/>
      <c r="AV25" s="146"/>
      <c r="AW25" s="146"/>
      <c r="AX25" s="146"/>
      <c r="AY25" s="146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1387</v>
      </c>
      <c r="E26" s="145"/>
      <c r="F26" s="19" t="s">
        <v>133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5"/>
      <c r="P26" s="145"/>
      <c r="Q26" s="145"/>
      <c r="R26" s="145"/>
      <c r="S26" s="146"/>
      <c r="T26" s="146"/>
      <c r="U26" s="146"/>
      <c r="V26" s="146"/>
      <c r="W26" s="147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  <c r="AH26" s="146"/>
      <c r="AI26" s="146"/>
      <c r="AJ26" s="146"/>
      <c r="AK26" s="146"/>
      <c r="AL26" s="147"/>
      <c r="AM26" s="146"/>
      <c r="AN26" s="146"/>
      <c r="AO26" s="146"/>
      <c r="AP26" s="146"/>
      <c r="AQ26" s="51"/>
      <c r="AR26" s="146"/>
      <c r="AS26" s="146"/>
      <c r="AT26" s="146"/>
      <c r="AU26" s="146"/>
      <c r="AV26" s="146"/>
      <c r="AW26" s="146"/>
      <c r="AX26" s="146"/>
      <c r="AY26" s="146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796</v>
      </c>
      <c r="E27" s="145"/>
      <c r="F27" s="19"/>
      <c r="G27" s="21"/>
      <c r="O27" s="145"/>
      <c r="P27" s="145"/>
      <c r="Q27" s="145"/>
      <c r="R27" s="145"/>
      <c r="S27" s="146"/>
      <c r="T27" s="146"/>
      <c r="U27" s="146"/>
      <c r="V27" s="146"/>
      <c r="W27" s="147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  <c r="AH27" s="146"/>
      <c r="AI27" s="146"/>
      <c r="AJ27" s="146"/>
      <c r="AK27" s="146"/>
      <c r="AL27" s="147"/>
      <c r="AM27" s="146"/>
      <c r="AN27" s="146"/>
      <c r="AO27" s="146"/>
      <c r="AP27" s="146"/>
      <c r="AQ27" s="51"/>
      <c r="AR27" s="146"/>
      <c r="AS27" s="146"/>
      <c r="AT27" s="146"/>
      <c r="AU27" s="146"/>
      <c r="AV27" s="146"/>
      <c r="AW27" s="146"/>
      <c r="AX27" s="146"/>
      <c r="AY27" s="146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798</v>
      </c>
      <c r="E28" s="145"/>
      <c r="F28" s="19" t="s">
        <v>144</v>
      </c>
      <c r="G28" s="21">
        <f>E28*$M$2</f>
        <v>0</v>
      </c>
      <c r="H28" s="12">
        <f>'APUS ARQUITECTURA'!J347</f>
        <v>20.569980000000001</v>
      </c>
      <c r="I28">
        <f>G28*H28</f>
        <v>0</v>
      </c>
      <c r="O28" s="145"/>
      <c r="P28" s="145"/>
      <c r="Q28" s="145"/>
      <c r="R28" s="145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6"/>
      <c r="AI28" s="146"/>
      <c r="AJ28" s="146"/>
      <c r="AK28" s="146"/>
      <c r="AL28" s="147"/>
      <c r="AM28" s="146"/>
      <c r="AN28" s="146"/>
      <c r="AO28" s="146"/>
      <c r="AP28" s="146"/>
      <c r="AQ28" s="51"/>
      <c r="AR28" s="146"/>
      <c r="AS28" s="146"/>
      <c r="AT28" s="146"/>
      <c r="AU28" s="146"/>
      <c r="AV28" s="146"/>
      <c r="AW28" s="146"/>
      <c r="AX28" s="146"/>
      <c r="AY28" s="146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800</v>
      </c>
      <c r="E29" s="145"/>
      <c r="F29" s="19" t="s">
        <v>144</v>
      </c>
      <c r="G29" s="21">
        <f>E29*$M$2</f>
        <v>0</v>
      </c>
      <c r="H29" s="12">
        <f>'APUS ARQUITECTURA'!J364</f>
        <v>26.687480000000001</v>
      </c>
      <c r="I29">
        <f>G29*H29</f>
        <v>0</v>
      </c>
      <c r="O29" s="145"/>
      <c r="P29" s="145"/>
      <c r="Q29" s="145"/>
      <c r="R29" s="145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46"/>
      <c r="AI29" s="146"/>
      <c r="AJ29" s="146"/>
      <c r="AK29" s="146"/>
      <c r="AL29" s="147"/>
      <c r="AM29" s="146"/>
      <c r="AN29" s="146"/>
      <c r="AO29" s="146"/>
      <c r="AP29" s="146"/>
      <c r="AQ29" s="51"/>
      <c r="AR29" s="146"/>
      <c r="AS29" s="146"/>
      <c r="AT29" s="146"/>
      <c r="AU29" s="146"/>
      <c r="AV29" s="146"/>
      <c r="AW29" s="146"/>
      <c r="AX29" s="146"/>
      <c r="AY29" s="146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802</v>
      </c>
      <c r="E30" s="145"/>
      <c r="F30" s="19" t="s">
        <v>144</v>
      </c>
      <c r="G30" s="21">
        <f>E30*$M$2</f>
        <v>0</v>
      </c>
      <c r="H30" s="12">
        <f>'APUS ARQUITECTURA'!J383</f>
        <v>36.537022000000007</v>
      </c>
      <c r="I30">
        <f>G30*H30</f>
        <v>0</v>
      </c>
      <c r="O30" s="145"/>
      <c r="P30" s="145"/>
      <c r="Q30" s="145"/>
      <c r="R30" s="145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7"/>
      <c r="AM30" s="146"/>
      <c r="AN30" s="146"/>
      <c r="AO30" s="146"/>
      <c r="AP30" s="146"/>
      <c r="AQ30" s="51"/>
      <c r="AR30" s="146"/>
      <c r="AS30" s="146"/>
      <c r="AT30" s="146"/>
      <c r="AU30" s="146"/>
      <c r="AV30" s="146"/>
      <c r="AW30" s="146"/>
      <c r="AX30" s="146"/>
      <c r="AY30" s="146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804</v>
      </c>
      <c r="E31" s="145"/>
      <c r="F31" s="19" t="s">
        <v>144</v>
      </c>
      <c r="G31" s="21">
        <f>E31*$M$2</f>
        <v>0</v>
      </c>
      <c r="H31" s="12">
        <f>'APUS ARQUITECTURA'!J403</f>
        <v>25</v>
      </c>
      <c r="I31">
        <f>G31*H31</f>
        <v>0</v>
      </c>
      <c r="O31" s="145"/>
      <c r="P31" s="145"/>
      <c r="Q31" s="145"/>
      <c r="R31" s="145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7"/>
      <c r="AM31" s="146"/>
      <c r="AN31" s="146"/>
      <c r="AO31" s="146"/>
      <c r="AP31" s="146"/>
      <c r="AQ31" s="51"/>
      <c r="AR31" s="146"/>
      <c r="AS31" s="146"/>
      <c r="AT31" s="146"/>
      <c r="AU31" s="146"/>
      <c r="AV31" s="146"/>
      <c r="AW31" s="146"/>
      <c r="AX31" s="146"/>
      <c r="AY31" s="146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806</v>
      </c>
      <c r="E32" s="145"/>
      <c r="F32" s="19" t="s">
        <v>144</v>
      </c>
      <c r="G32" s="21">
        <f>E32*$M$2</f>
        <v>0</v>
      </c>
      <c r="H32" s="12">
        <f>'APUS ARQUITECTURA'!J410</f>
        <v>44.192746666666665</v>
      </c>
      <c r="I32">
        <f>G32*H32</f>
        <v>0</v>
      </c>
      <c r="O32" s="145"/>
      <c r="P32" s="145"/>
      <c r="Q32" s="145"/>
      <c r="R32" s="145"/>
      <c r="S32" s="146"/>
      <c r="T32" s="146"/>
      <c r="U32" s="146"/>
      <c r="V32" s="146"/>
      <c r="W32" s="147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  <c r="AH32" s="146"/>
      <c r="AI32" s="146"/>
      <c r="AJ32" s="146"/>
      <c r="AK32" s="146"/>
      <c r="AL32" s="147"/>
      <c r="AM32" s="146"/>
      <c r="AN32" s="146"/>
      <c r="AO32" s="146"/>
      <c r="AP32" s="146"/>
      <c r="AQ32" s="51"/>
      <c r="AR32" s="146"/>
      <c r="AS32" s="146"/>
      <c r="AT32" s="146"/>
      <c r="AU32" s="146"/>
      <c r="AV32" s="146"/>
      <c r="AW32" s="146"/>
      <c r="AX32" s="146"/>
      <c r="AY32" s="146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808</v>
      </c>
      <c r="E33" s="145"/>
      <c r="F33" s="19" t="s">
        <v>144</v>
      </c>
      <c r="G33" s="21">
        <f>E33*$M$2</f>
        <v>0</v>
      </c>
      <c r="H33" s="12">
        <f>'APUS ARQUITECTURA'!J430</f>
        <v>84.438490000000002</v>
      </c>
      <c r="I33">
        <f>G33*H33</f>
        <v>0</v>
      </c>
      <c r="O33" s="145"/>
      <c r="P33" s="145"/>
      <c r="Q33" s="145"/>
      <c r="R33" s="145"/>
      <c r="S33" s="146"/>
      <c r="T33" s="146"/>
      <c r="U33" s="146"/>
      <c r="V33" s="146"/>
      <c r="W33" s="147"/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146"/>
      <c r="AI33" s="146"/>
      <c r="AJ33" s="146"/>
      <c r="AK33" s="146"/>
      <c r="AL33" s="147"/>
      <c r="AM33" s="146"/>
      <c r="AN33" s="146"/>
      <c r="AO33" s="146"/>
      <c r="AP33" s="146"/>
      <c r="AQ33" s="51"/>
      <c r="AR33" s="146"/>
      <c r="AS33" s="146"/>
      <c r="AT33" s="146"/>
      <c r="AU33" s="146"/>
      <c r="AV33" s="146"/>
      <c r="AW33" s="146"/>
      <c r="AX33" s="146"/>
      <c r="AY33" s="146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809</v>
      </c>
      <c r="E34" s="145"/>
      <c r="F34" s="19"/>
      <c r="G34" s="21"/>
      <c r="H34" s="12"/>
      <c r="O34" s="145"/>
      <c r="P34" s="145"/>
      <c r="Q34" s="145"/>
      <c r="R34" s="145"/>
      <c r="S34" s="146"/>
      <c r="T34" s="146"/>
      <c r="U34" s="146"/>
      <c r="V34" s="146"/>
      <c r="W34" s="147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/>
      <c r="AI34" s="146"/>
      <c r="AJ34" s="146"/>
      <c r="AK34" s="146"/>
      <c r="AL34" s="147"/>
      <c r="AM34" s="146"/>
      <c r="AN34" s="146"/>
      <c r="AO34" s="146"/>
      <c r="AP34" s="146"/>
      <c r="AQ34" s="51"/>
      <c r="AR34" s="146"/>
      <c r="AS34" s="146"/>
      <c r="AT34" s="146"/>
      <c r="AU34" s="146"/>
      <c r="AV34" s="146"/>
      <c r="AW34" s="146"/>
      <c r="AX34" s="146"/>
      <c r="AY34" s="146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811</v>
      </c>
      <c r="E35" s="152"/>
      <c r="F35" s="19" t="s">
        <v>133</v>
      </c>
      <c r="G35" s="21">
        <f>E35*$M$2</f>
        <v>0</v>
      </c>
      <c r="H35" s="12">
        <f>'APUS ARQUITECTURA'!J449</f>
        <v>560.62260000000003</v>
      </c>
      <c r="I35">
        <f>G35*H35</f>
        <v>0</v>
      </c>
      <c r="O35" s="148"/>
      <c r="P35" s="152"/>
      <c r="Q35" s="152"/>
      <c r="R35" s="152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4"/>
      <c r="AE35" s="153"/>
      <c r="AF35" s="153"/>
      <c r="AG35" s="153"/>
      <c r="AH35" s="153"/>
      <c r="AI35" s="153"/>
      <c r="AJ35" s="153"/>
      <c r="AK35" s="153"/>
      <c r="AL35" s="150"/>
      <c r="AM35" s="153"/>
      <c r="AN35" s="153"/>
      <c r="AO35" s="153"/>
      <c r="AP35" s="153"/>
      <c r="AQ35" s="51"/>
      <c r="AR35" s="153"/>
      <c r="AS35" s="153"/>
      <c r="AT35" s="153"/>
      <c r="AU35" s="153"/>
      <c r="AV35" s="153"/>
      <c r="AW35" s="153"/>
      <c r="AX35" s="153"/>
      <c r="AY35" s="153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813</v>
      </c>
      <c r="E36" s="145"/>
      <c r="F36" s="19" t="s">
        <v>133</v>
      </c>
      <c r="G36" s="21">
        <f>E36*$M$2</f>
        <v>0</v>
      </c>
      <c r="H36" s="12">
        <f>'APUS ARQUITECTURA'!J456</f>
        <v>367.87083424090611</v>
      </c>
      <c r="I36">
        <f>G36*H36</f>
        <v>0</v>
      </c>
      <c r="O36" s="145"/>
      <c r="P36" s="145"/>
      <c r="Q36" s="145"/>
      <c r="R36" s="145"/>
      <c r="S36" s="146"/>
      <c r="T36" s="146"/>
      <c r="U36" s="146"/>
      <c r="V36" s="146"/>
      <c r="W36" s="147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/>
      <c r="AI36" s="146"/>
      <c r="AJ36" s="146"/>
      <c r="AK36" s="146"/>
      <c r="AL36" s="147"/>
      <c r="AM36" s="146"/>
      <c r="AN36" s="146"/>
      <c r="AO36" s="146"/>
      <c r="AP36" s="146"/>
      <c r="AQ36" s="51"/>
      <c r="AR36" s="146"/>
      <c r="AS36" s="146"/>
      <c r="AT36" s="146"/>
      <c r="AU36" s="146"/>
      <c r="AV36" s="146"/>
      <c r="AW36" s="146"/>
      <c r="AX36" s="146"/>
      <c r="AY36" s="146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815</v>
      </c>
      <c r="E37" s="155"/>
      <c r="F37" s="19" t="s">
        <v>133</v>
      </c>
      <c r="G37" s="21">
        <f>E37*$M$2</f>
        <v>0</v>
      </c>
      <c r="H37" s="12">
        <f>'APUS ARQUITECTURA'!J463</f>
        <v>514.53719413716362</v>
      </c>
      <c r="I37">
        <f>G37*H37</f>
        <v>0</v>
      </c>
      <c r="K37" s="31"/>
      <c r="O37" s="156"/>
      <c r="P37" s="155"/>
      <c r="Q37" s="155"/>
      <c r="R37" s="15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51"/>
      <c r="AR37" s="157"/>
      <c r="AS37" s="157"/>
      <c r="AT37" s="157"/>
      <c r="AU37" s="157"/>
      <c r="AV37" s="157"/>
      <c r="AW37" s="157"/>
      <c r="AX37" s="157"/>
      <c r="AY37" s="15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817</v>
      </c>
      <c r="E38" s="148"/>
      <c r="F38" s="19" t="s">
        <v>144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8"/>
      <c r="P38" s="148"/>
      <c r="Q38" s="148"/>
      <c r="R38" s="148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51"/>
      <c r="AR38" s="149"/>
      <c r="AS38" s="149"/>
      <c r="AT38" s="149"/>
      <c r="AU38" s="149"/>
      <c r="AV38" s="149"/>
      <c r="AW38" s="149"/>
      <c r="AX38" s="149"/>
      <c r="AY38" s="149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819</v>
      </c>
      <c r="E39" s="145"/>
      <c r="F39" s="19" t="s">
        <v>133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5"/>
      <c r="P39" s="145"/>
      <c r="Q39" s="145"/>
      <c r="R39" s="145"/>
      <c r="S39" s="146"/>
      <c r="T39" s="146"/>
      <c r="U39" s="146"/>
      <c r="V39" s="146"/>
      <c r="W39" s="147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6"/>
      <c r="AJ39" s="146"/>
      <c r="AK39" s="146"/>
      <c r="AL39" s="147"/>
      <c r="AM39" s="146"/>
      <c r="AN39" s="146"/>
      <c r="AO39" s="146"/>
      <c r="AP39" s="146"/>
      <c r="AQ39" s="51"/>
      <c r="AR39" s="146"/>
      <c r="AS39" s="146"/>
      <c r="AT39" s="146"/>
      <c r="AU39" s="146"/>
      <c r="AV39" s="146"/>
      <c r="AW39" s="146"/>
      <c r="AX39" s="146"/>
      <c r="AY39" s="146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820</v>
      </c>
      <c r="F40" s="19"/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822</v>
      </c>
      <c r="E41" s="145"/>
      <c r="F41" s="19" t="s">
        <v>133</v>
      </c>
      <c r="G41" s="21">
        <f>E41*$M$2</f>
        <v>0</v>
      </c>
      <c r="H41" s="12">
        <f>'APUS ARQUITECTURA'!J484</f>
        <v>15.625164000000002</v>
      </c>
      <c r="I41">
        <f>G41*H41</f>
        <v>0</v>
      </c>
      <c r="K41" s="31"/>
      <c r="O41" s="145"/>
      <c r="P41" s="145"/>
      <c r="Q41" s="145"/>
      <c r="R41" s="145"/>
      <c r="S41" s="146"/>
      <c r="T41" s="146"/>
      <c r="U41" s="146"/>
      <c r="V41" s="146"/>
      <c r="W41" s="147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/>
      <c r="AI41" s="146"/>
      <c r="AJ41" s="146"/>
      <c r="AK41" s="146"/>
      <c r="AL41" s="147"/>
      <c r="AM41" s="146"/>
      <c r="AN41" s="146"/>
      <c r="AO41" s="146"/>
      <c r="AP41" s="146"/>
      <c r="AQ41" s="51"/>
      <c r="AR41" s="146"/>
      <c r="AS41" s="146"/>
      <c r="AT41" s="146"/>
      <c r="AU41" s="146"/>
      <c r="AV41" s="146"/>
      <c r="AW41" s="146"/>
      <c r="AX41" s="146"/>
      <c r="AY41" s="146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824</v>
      </c>
      <c r="B42" s="105"/>
      <c r="C42" s="105"/>
      <c r="D42" s="105"/>
      <c r="E42" s="145"/>
      <c r="F42" s="290" t="s">
        <v>133</v>
      </c>
      <c r="G42" s="21">
        <f>E42*$M$2</f>
        <v>0</v>
      </c>
      <c r="H42" s="12">
        <f>'APUS ARQUITECTURA'!J504</f>
        <v>15.956285454545455</v>
      </c>
      <c r="I42">
        <f>G42*H42</f>
        <v>0</v>
      </c>
      <c r="O42" s="145"/>
      <c r="P42" s="145"/>
      <c r="Q42" s="145"/>
      <c r="R42" s="145"/>
      <c r="S42" s="146"/>
      <c r="T42" s="146"/>
      <c r="U42" s="146"/>
      <c r="V42" s="146"/>
      <c r="W42" s="147"/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146"/>
      <c r="AI42" s="146"/>
      <c r="AJ42" s="146"/>
      <c r="AK42" s="146"/>
      <c r="AL42" s="147"/>
      <c r="AM42" s="146"/>
      <c r="AN42" s="146"/>
      <c r="AO42" s="146"/>
      <c r="AP42" s="146"/>
      <c r="AQ42" s="51"/>
      <c r="AR42" s="146"/>
      <c r="AS42" s="146"/>
      <c r="AT42" s="146"/>
      <c r="AU42" s="146"/>
      <c r="AV42" s="146"/>
      <c r="AW42" s="146"/>
      <c r="AX42" s="146"/>
      <c r="AY42" s="146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981</v>
      </c>
      <c r="F43" s="19"/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984</v>
      </c>
      <c r="F44" t="s">
        <v>1388</v>
      </c>
      <c r="G44" s="21">
        <f>E44*$M$2</f>
        <v>0</v>
      </c>
      <c r="H44" s="12">
        <f>'APUS SANITARIAS'!J5</f>
        <v>193.33333333333331</v>
      </c>
      <c r="I44">
        <f>G44*H44</f>
        <v>0</v>
      </c>
      <c r="O44" s="145"/>
      <c r="P44" s="145"/>
      <c r="Q44" s="145"/>
      <c r="R44" s="145"/>
      <c r="S44" s="146"/>
      <c r="T44" s="146"/>
      <c r="U44" s="146"/>
      <c r="V44" s="146"/>
      <c r="W44" s="147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7"/>
      <c r="AM44" s="146"/>
      <c r="AN44" s="146"/>
      <c r="AO44" s="146"/>
      <c r="AP44" s="146"/>
      <c r="AQ44" s="51"/>
      <c r="AR44" s="146"/>
      <c r="AS44" s="146"/>
      <c r="AT44" s="146"/>
      <c r="AU44" s="146"/>
      <c r="AV44" s="146"/>
      <c r="AW44" s="146"/>
      <c r="AX44" s="146"/>
      <c r="AY44" s="146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986</v>
      </c>
      <c r="F45" t="s">
        <v>1388</v>
      </c>
      <c r="G45" s="21">
        <f>E45*$M$2</f>
        <v>0</v>
      </c>
      <c r="H45" s="12">
        <f>'APUS SANITARIAS'!J12</f>
        <v>192.42</v>
      </c>
      <c r="I45">
        <f>G45*H45</f>
        <v>0</v>
      </c>
      <c r="O45" s="145"/>
      <c r="P45" s="145"/>
      <c r="Q45" s="145"/>
      <c r="R45" s="145"/>
      <c r="S45" s="146"/>
      <c r="T45" s="146"/>
      <c r="U45" s="146"/>
      <c r="V45" s="146"/>
      <c r="W45" s="147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7"/>
      <c r="AM45" s="146"/>
      <c r="AN45" s="146"/>
      <c r="AO45" s="146"/>
      <c r="AP45" s="146"/>
      <c r="AQ45" s="51"/>
      <c r="AR45" s="146"/>
      <c r="AS45" s="146"/>
      <c r="AT45" s="146"/>
      <c r="AU45" s="146"/>
      <c r="AV45" s="146"/>
      <c r="AW45" s="146"/>
      <c r="AX45" s="146"/>
      <c r="AY45" s="146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1022</v>
      </c>
      <c r="F46" t="s">
        <v>1388</v>
      </c>
      <c r="G46" s="21">
        <f>E46*$M$2</f>
        <v>0</v>
      </c>
      <c r="H46" s="12">
        <f>'APUS SANITARIAS'!J19</f>
        <v>67.521666666666661</v>
      </c>
      <c r="I46">
        <f>G46*H46</f>
        <v>0</v>
      </c>
      <c r="O46" s="145"/>
      <c r="P46" s="145"/>
      <c r="Q46" s="145"/>
      <c r="R46" s="145"/>
      <c r="S46" s="146"/>
      <c r="T46" s="146"/>
      <c r="U46" s="146"/>
      <c r="V46" s="146"/>
      <c r="W46" s="147"/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146"/>
      <c r="AI46" s="146"/>
      <c r="AJ46" s="146"/>
      <c r="AK46" s="146"/>
      <c r="AL46" s="147"/>
      <c r="AM46" s="146"/>
      <c r="AN46" s="146"/>
      <c r="AO46" s="146"/>
      <c r="AP46" s="146"/>
      <c r="AQ46" s="51"/>
      <c r="AR46" s="146"/>
      <c r="AS46" s="146"/>
      <c r="AT46" s="146"/>
      <c r="AU46" s="146"/>
      <c r="AV46" s="146"/>
      <c r="AW46" s="146"/>
      <c r="AX46" s="146"/>
      <c r="AY46" s="146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990</v>
      </c>
      <c r="E47" s="145"/>
      <c r="F47" s="19" t="s">
        <v>154</v>
      </c>
      <c r="G47" s="21">
        <f>E47*$M$2</f>
        <v>0</v>
      </c>
      <c r="H47" s="12">
        <f>'APUS SANITARIAS'!J26</f>
        <v>750</v>
      </c>
      <c r="I47">
        <f>G47*H47</f>
        <v>0</v>
      </c>
      <c r="O47" s="145"/>
      <c r="P47" s="145"/>
      <c r="Q47" s="145"/>
      <c r="R47" s="145"/>
      <c r="S47" s="146"/>
      <c r="T47" s="146"/>
      <c r="U47" s="146"/>
      <c r="V47" s="146"/>
      <c r="W47" s="147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/>
      <c r="AI47" s="146"/>
      <c r="AJ47" s="146"/>
      <c r="AK47" s="146"/>
      <c r="AL47" s="147"/>
      <c r="AM47" s="146"/>
      <c r="AN47" s="146"/>
      <c r="AO47" s="146"/>
      <c r="AP47" s="146"/>
      <c r="AQ47" s="51"/>
      <c r="AR47" s="146"/>
      <c r="AS47" s="146"/>
      <c r="AT47" s="146"/>
      <c r="AU47" s="146"/>
      <c r="AV47" s="146"/>
      <c r="AW47" s="146"/>
      <c r="AX47" s="146"/>
      <c r="AY47" s="146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1389</v>
      </c>
      <c r="E48" s="145"/>
      <c r="F48" s="19" t="s">
        <v>214</v>
      </c>
      <c r="G48" s="21">
        <f>E48*$M$2</f>
        <v>0</v>
      </c>
      <c r="H48" s="12">
        <f>'APUS SANITARIAS'!J32</f>
        <v>131.73781333333332</v>
      </c>
      <c r="I48">
        <f>G48*H48</f>
        <v>0</v>
      </c>
      <c r="O48" s="145"/>
      <c r="P48" s="145"/>
      <c r="Q48" s="145"/>
      <c r="R48" s="145"/>
      <c r="S48" s="146"/>
      <c r="T48" s="146"/>
      <c r="U48" s="146"/>
      <c r="V48" s="146"/>
      <c r="W48" s="147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146"/>
      <c r="AI48" s="146"/>
      <c r="AJ48" s="146"/>
      <c r="AK48" s="146"/>
      <c r="AL48" s="147"/>
      <c r="AM48" s="146"/>
      <c r="AN48" s="146"/>
      <c r="AO48" s="146"/>
      <c r="AP48" s="146"/>
      <c r="AQ48" s="51"/>
      <c r="AR48" s="146"/>
      <c r="AS48" s="146"/>
      <c r="AT48" s="146"/>
      <c r="AU48" s="146"/>
      <c r="AV48" s="146"/>
      <c r="AW48" s="146"/>
      <c r="AX48" s="146"/>
      <c r="AY48" s="146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1390</v>
      </c>
      <c r="E49" s="145"/>
      <c r="F49" s="19" t="s">
        <v>214</v>
      </c>
      <c r="G49" s="21">
        <f>E49*$M$2</f>
        <v>0</v>
      </c>
      <c r="H49" s="12">
        <f>'APUS SANITARIAS'!J50</f>
        <v>210.60376000000002</v>
      </c>
      <c r="I49">
        <f>G49*H49</f>
        <v>0</v>
      </c>
      <c r="O49" s="145"/>
      <c r="P49" s="145"/>
      <c r="Q49" s="145"/>
      <c r="R49" s="145"/>
      <c r="S49" s="146"/>
      <c r="T49" s="146"/>
      <c r="U49" s="146"/>
      <c r="V49" s="146"/>
      <c r="W49" s="158"/>
      <c r="X49" s="146"/>
      <c r="Y49" s="146"/>
      <c r="Z49" s="146"/>
      <c r="AA49" s="146"/>
      <c r="AB49" s="146"/>
      <c r="AC49" s="146"/>
      <c r="AD49" s="146"/>
      <c r="AE49" s="146"/>
      <c r="AF49" s="146"/>
      <c r="AG49" s="146"/>
      <c r="AH49" s="146"/>
      <c r="AI49" s="146"/>
      <c r="AJ49" s="146"/>
      <c r="AK49" s="146"/>
      <c r="AL49" s="147"/>
      <c r="AM49" s="146"/>
      <c r="AN49" s="146"/>
      <c r="AO49" s="146"/>
      <c r="AP49" s="146"/>
      <c r="AQ49" s="51"/>
      <c r="AR49" s="146"/>
      <c r="AS49" s="146"/>
      <c r="AT49" s="146"/>
      <c r="AU49" s="146"/>
      <c r="AV49" s="146"/>
      <c r="AW49" s="146"/>
      <c r="AX49" s="146"/>
      <c r="AY49" s="146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998</v>
      </c>
      <c r="E50" s="145"/>
      <c r="F50" s="19" t="s">
        <v>154</v>
      </c>
      <c r="G50" s="21">
        <f>E50*$M$2</f>
        <v>0</v>
      </c>
      <c r="H50" s="12">
        <f>'APUS SANITARIAS'!J69</f>
        <v>200</v>
      </c>
      <c r="I50">
        <f>G50*H50</f>
        <v>0</v>
      </c>
      <c r="O50" s="145"/>
      <c r="P50" s="145"/>
      <c r="Q50" s="145"/>
      <c r="R50" s="145"/>
      <c r="S50" s="146"/>
      <c r="T50" s="146"/>
      <c r="U50" s="146"/>
      <c r="V50" s="146"/>
      <c r="W50" s="158"/>
      <c r="X50" s="146"/>
      <c r="Y50" s="146"/>
      <c r="Z50" s="146"/>
      <c r="AA50" s="146"/>
      <c r="AB50" s="146"/>
      <c r="AC50" s="146"/>
      <c r="AD50" s="146"/>
      <c r="AE50" s="146"/>
      <c r="AF50" s="146"/>
      <c r="AG50" s="146"/>
      <c r="AH50" s="146"/>
      <c r="AI50" s="146"/>
      <c r="AJ50" s="146"/>
      <c r="AK50" s="146"/>
      <c r="AL50" s="147"/>
      <c r="AM50" s="146"/>
      <c r="AN50" s="146"/>
      <c r="AO50" s="146"/>
      <c r="AP50" s="146"/>
      <c r="AQ50" s="51"/>
      <c r="AR50" s="146"/>
      <c r="AS50" s="146"/>
      <c r="AT50" s="146"/>
      <c r="AU50" s="146"/>
      <c r="AV50" s="146"/>
      <c r="AW50" s="146"/>
      <c r="AX50" s="146"/>
      <c r="AY50" s="146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999</v>
      </c>
      <c r="E51" s="145"/>
      <c r="F51" s="19" t="s">
        <v>154</v>
      </c>
      <c r="G51" s="21">
        <f>E51*$M$2</f>
        <v>0</v>
      </c>
      <c r="H51" s="12">
        <f>'APUS SANITARIAS'!J76</f>
        <v>537.21710399999995</v>
      </c>
      <c r="I51">
        <f>G51*H51</f>
        <v>0</v>
      </c>
      <c r="O51" s="145"/>
      <c r="P51" s="145"/>
      <c r="Q51" s="145"/>
      <c r="R51" s="145"/>
      <c r="S51" s="146"/>
      <c r="T51" s="146"/>
      <c r="U51" s="146"/>
      <c r="V51" s="146"/>
      <c r="W51" s="158"/>
      <c r="X51" s="146"/>
      <c r="Y51" s="146"/>
      <c r="Z51" s="146"/>
      <c r="AA51" s="146"/>
      <c r="AB51" s="146"/>
      <c r="AC51" s="146"/>
      <c r="AD51" s="146"/>
      <c r="AE51" s="146"/>
      <c r="AF51" s="146"/>
      <c r="AG51" s="146"/>
      <c r="AH51" s="146"/>
      <c r="AI51" s="146"/>
      <c r="AJ51" s="146"/>
      <c r="AK51" s="146"/>
      <c r="AL51" s="147"/>
      <c r="AM51" s="146"/>
      <c r="AN51" s="146"/>
      <c r="AO51" s="146"/>
      <c r="AP51" s="146"/>
      <c r="AQ51" s="51"/>
      <c r="AR51" s="146"/>
      <c r="AS51" s="146"/>
      <c r="AT51" s="146"/>
      <c r="AU51" s="146"/>
      <c r="AV51" s="146"/>
      <c r="AW51" s="146"/>
      <c r="AX51" s="146"/>
      <c r="AY51" s="146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1003</v>
      </c>
      <c r="E52" s="145"/>
      <c r="F52" s="19" t="s">
        <v>214</v>
      </c>
      <c r="G52" s="21">
        <f>E52*$M$2</f>
        <v>0</v>
      </c>
      <c r="H52" s="12">
        <f>'APUS SANITARIAS'!J91</f>
        <v>158.14803320874657</v>
      </c>
      <c r="I52">
        <f>G52*H52</f>
        <v>0</v>
      </c>
      <c r="O52" s="145"/>
      <c r="P52" s="145"/>
      <c r="Q52" s="145"/>
      <c r="R52" s="145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51"/>
      <c r="AR52" s="146"/>
      <c r="AS52" s="146"/>
      <c r="AT52" s="146"/>
      <c r="AU52" s="146"/>
      <c r="AV52" s="146"/>
      <c r="AW52" s="146"/>
      <c r="AX52" s="146"/>
      <c r="AY52" s="146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1006</v>
      </c>
      <c r="E53" s="145"/>
      <c r="F53" s="19" t="s">
        <v>214</v>
      </c>
      <c r="G53" s="21">
        <f>E53*$M$2</f>
        <v>0</v>
      </c>
      <c r="H53" s="12">
        <f>'APUS SANITARIAS'!J108</f>
        <v>138.64527999999999</v>
      </c>
      <c r="I53">
        <f>G53*H53</f>
        <v>0</v>
      </c>
      <c r="O53" s="145"/>
      <c r="P53" s="145"/>
      <c r="Q53" s="145"/>
      <c r="R53" s="145"/>
      <c r="S53" s="146"/>
      <c r="T53" s="146"/>
      <c r="U53" s="146"/>
      <c r="V53" s="146"/>
      <c r="W53" s="147"/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146"/>
      <c r="AI53" s="146"/>
      <c r="AJ53" s="146"/>
      <c r="AK53" s="146"/>
      <c r="AL53" s="147"/>
      <c r="AM53" s="146"/>
      <c r="AN53" s="146"/>
      <c r="AO53" s="146"/>
      <c r="AP53" s="146"/>
      <c r="AQ53" s="51"/>
      <c r="AR53" s="146"/>
      <c r="AS53" s="146"/>
      <c r="AT53" s="146"/>
      <c r="AU53" s="146"/>
      <c r="AV53" s="146"/>
      <c r="AW53" s="146"/>
      <c r="AX53" s="146"/>
      <c r="AY53" s="146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1008</v>
      </c>
      <c r="E54" s="145"/>
      <c r="F54" s="19" t="s">
        <v>214</v>
      </c>
      <c r="G54" s="21">
        <f>E54*$M$2</f>
        <v>0</v>
      </c>
      <c r="H54" s="12">
        <f>'APUS SANITARIAS'!J127</f>
        <v>145.93577999999999</v>
      </c>
      <c r="I54">
        <f>G54*H54</f>
        <v>0</v>
      </c>
      <c r="O54" s="145"/>
      <c r="P54" s="145"/>
      <c r="Q54" s="145"/>
      <c r="R54" s="145"/>
      <c r="S54" s="146"/>
      <c r="T54" s="146"/>
      <c r="U54" s="146"/>
      <c r="V54" s="146"/>
      <c r="W54" s="147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/>
      <c r="AI54" s="146"/>
      <c r="AJ54" s="146"/>
      <c r="AK54" s="146"/>
      <c r="AL54" s="147"/>
      <c r="AM54" s="146"/>
      <c r="AN54" s="146"/>
      <c r="AO54" s="146"/>
      <c r="AP54" s="146"/>
      <c r="AQ54" s="51"/>
      <c r="AR54" s="146"/>
      <c r="AS54" s="146"/>
      <c r="AT54" s="146"/>
      <c r="AU54" s="146"/>
      <c r="AV54" s="146"/>
      <c r="AW54" s="146"/>
      <c r="AX54" s="146"/>
      <c r="AY54" s="146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1011</v>
      </c>
      <c r="E55" s="145"/>
      <c r="F55" s="19" t="s">
        <v>214</v>
      </c>
      <c r="G55" s="21">
        <f>E55*$M$2</f>
        <v>0</v>
      </c>
      <c r="H55" s="12">
        <f>'APUS SANITARIAS'!J145</f>
        <v>141.07118</v>
      </c>
      <c r="I55">
        <f>G55*H55</f>
        <v>0</v>
      </c>
      <c r="O55" s="145"/>
      <c r="P55" s="145"/>
      <c r="Q55" s="145"/>
      <c r="R55" s="145"/>
      <c r="S55" s="146"/>
      <c r="T55" s="146"/>
      <c r="U55" s="146"/>
      <c r="V55" s="146"/>
      <c r="W55" s="147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  <c r="AL55" s="147"/>
      <c r="AM55" s="146"/>
      <c r="AN55" s="146"/>
      <c r="AO55" s="146"/>
      <c r="AP55" s="146"/>
      <c r="AQ55" s="51"/>
      <c r="AR55" s="146"/>
      <c r="AS55" s="146"/>
      <c r="AT55" s="146"/>
      <c r="AU55" s="146"/>
      <c r="AV55" s="146"/>
      <c r="AW55" s="146"/>
      <c r="AX55" s="146"/>
      <c r="AY55" s="146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1014</v>
      </c>
      <c r="E56" s="145"/>
      <c r="F56" s="19" t="s">
        <v>149</v>
      </c>
      <c r="G56" s="21">
        <f>E56*$M$2</f>
        <v>0</v>
      </c>
      <c r="H56" s="12">
        <f>'APUS SANITARIAS'!J163</f>
        <v>214.33091999999999</v>
      </c>
      <c r="I56">
        <f>G56*H56</f>
        <v>0</v>
      </c>
      <c r="O56" s="145"/>
      <c r="P56" s="145"/>
      <c r="Q56" s="145"/>
      <c r="R56" s="145"/>
      <c r="S56" s="146"/>
      <c r="T56" s="146"/>
      <c r="U56" s="146"/>
      <c r="V56" s="146"/>
      <c r="W56" s="147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/>
      <c r="AI56" s="146"/>
      <c r="AJ56" s="146"/>
      <c r="AK56" s="146"/>
      <c r="AL56" s="147"/>
      <c r="AM56" s="146"/>
      <c r="AN56" s="146"/>
      <c r="AO56" s="146"/>
      <c r="AP56" s="146"/>
      <c r="AQ56" s="51"/>
      <c r="AR56" s="146"/>
      <c r="AS56" s="146"/>
      <c r="AT56" s="146"/>
      <c r="AU56" s="146"/>
      <c r="AV56" s="146"/>
      <c r="AW56" s="146"/>
      <c r="AX56" s="146"/>
      <c r="AY56" s="146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1016</v>
      </c>
      <c r="E57" s="145"/>
      <c r="F57" s="19" t="s">
        <v>149</v>
      </c>
      <c r="G57" s="21">
        <f>E57*$M$2</f>
        <v>0</v>
      </c>
      <c r="H57" s="12">
        <f>'APUS SANITARIAS'!J178</f>
        <v>101.51374313638702</v>
      </c>
      <c r="I57">
        <f>G57*H57</f>
        <v>0</v>
      </c>
      <c r="O57" s="145"/>
      <c r="P57" s="145"/>
      <c r="Q57" s="145"/>
      <c r="R57" s="145"/>
      <c r="S57" s="146"/>
      <c r="T57" s="146"/>
      <c r="U57" s="146"/>
      <c r="V57" s="146"/>
      <c r="W57" s="147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/>
      <c r="AI57" s="146"/>
      <c r="AJ57" s="146"/>
      <c r="AK57" s="146"/>
      <c r="AL57" s="147"/>
      <c r="AM57" s="146"/>
      <c r="AN57" s="146"/>
      <c r="AO57" s="146"/>
      <c r="AP57" s="146"/>
      <c r="AQ57" s="51"/>
      <c r="AR57" s="146"/>
      <c r="AS57" s="146"/>
      <c r="AT57" s="146"/>
      <c r="AU57" s="146"/>
      <c r="AV57" s="146"/>
      <c r="AW57" s="146"/>
      <c r="AX57" s="146"/>
      <c r="AY57" s="146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1051</v>
      </c>
      <c r="F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1054</v>
      </c>
      <c r="E59" s="145">
        <v>0.09</v>
      </c>
      <c r="F59" s="19" t="s">
        <v>214</v>
      </c>
      <c r="G59" s="21">
        <f>E59*$M$2</f>
        <v>0.89999999999999991</v>
      </c>
      <c r="H59" s="12">
        <f>'APUS ELECTRICAS'!J5</f>
        <v>121.04310400000001</v>
      </c>
      <c r="I59">
        <f>G59*H59</f>
        <v>108.9387936</v>
      </c>
      <c r="O59" s="145"/>
      <c r="P59" s="145"/>
      <c r="Q59" s="145"/>
      <c r="R59" s="145"/>
      <c r="S59" s="146"/>
      <c r="T59" s="146"/>
      <c r="U59" s="146"/>
      <c r="V59" s="146"/>
      <c r="W59" s="147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  <c r="AL59" s="147"/>
      <c r="AM59" s="146"/>
      <c r="AN59" s="146"/>
      <c r="AO59" s="146"/>
      <c r="AP59" s="146"/>
      <c r="AQ59" s="51"/>
      <c r="AR59" s="146"/>
      <c r="AS59" s="146"/>
      <c r="AT59" s="146"/>
      <c r="AU59" s="146"/>
      <c r="AV59" s="146"/>
      <c r="AW59" s="146"/>
      <c r="AX59" s="146"/>
      <c r="AY59" s="146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1056</v>
      </c>
      <c r="E60" s="145">
        <v>0.09</v>
      </c>
      <c r="F60" s="19" t="s">
        <v>214</v>
      </c>
      <c r="G60" s="21">
        <f>E60*$M$2</f>
        <v>0.89999999999999991</v>
      </c>
      <c r="H60" s="12">
        <f>'APUS ELECTRICAS'!J26</f>
        <v>163.73838000000001</v>
      </c>
      <c r="I60">
        <f>G60*H60</f>
        <v>147.364542</v>
      </c>
      <c r="O60" s="145"/>
      <c r="P60" s="145"/>
      <c r="Q60" s="145"/>
      <c r="R60" s="145"/>
      <c r="S60" s="146"/>
      <c r="T60" s="146"/>
      <c r="U60" s="146"/>
      <c r="V60" s="146"/>
      <c r="W60" s="147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  <c r="AL60" s="147"/>
      <c r="AM60" s="146"/>
      <c r="AN60" s="146"/>
      <c r="AO60" s="146"/>
      <c r="AP60" s="146"/>
      <c r="AQ60" s="51"/>
      <c r="AR60" s="146"/>
      <c r="AS60" s="146"/>
      <c r="AT60" s="146"/>
      <c r="AU60" s="146"/>
      <c r="AV60" s="146"/>
      <c r="AW60" s="146"/>
      <c r="AX60" s="146"/>
      <c r="AY60" s="146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1058</v>
      </c>
      <c r="E61" s="145">
        <v>0.09</v>
      </c>
      <c r="F61" s="19" t="s">
        <v>214</v>
      </c>
      <c r="G61" s="21">
        <f>E61*$M$2</f>
        <v>0.89999999999999991</v>
      </c>
      <c r="H61" s="12">
        <f>'APUS ELECTRICAS'!J48</f>
        <v>118.30689999999998</v>
      </c>
      <c r="I61">
        <f>G61*H61</f>
        <v>106.47620999999998</v>
      </c>
      <c r="O61" s="145"/>
      <c r="P61" s="145"/>
      <c r="Q61" s="145"/>
      <c r="R61" s="145"/>
      <c r="S61" s="146"/>
      <c r="T61" s="146"/>
      <c r="U61" s="146"/>
      <c r="V61" s="146"/>
      <c r="W61" s="147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  <c r="AL61" s="147"/>
      <c r="AM61" s="146"/>
      <c r="AN61" s="146"/>
      <c r="AO61" s="146"/>
      <c r="AP61" s="146"/>
      <c r="AQ61" s="51"/>
      <c r="AR61" s="146"/>
      <c r="AS61" s="146"/>
      <c r="AT61" s="146"/>
      <c r="AU61" s="146"/>
      <c r="AV61" s="146"/>
      <c r="AW61" s="146"/>
      <c r="AX61" s="146"/>
      <c r="AY61" s="146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1060</v>
      </c>
      <c r="E62" s="145"/>
      <c r="F62" s="19" t="s">
        <v>214</v>
      </c>
      <c r="G62" s="21">
        <f>E62*$M$2</f>
        <v>0</v>
      </c>
      <c r="H62" s="12">
        <f>'APUS ELECTRICAS'!J66</f>
        <v>7.34</v>
      </c>
      <c r="I62">
        <f>G62*H62</f>
        <v>0</v>
      </c>
      <c r="O62" s="145"/>
      <c r="P62" s="145"/>
      <c r="Q62" s="145"/>
      <c r="R62" s="145"/>
      <c r="S62" s="146"/>
      <c r="T62" s="146"/>
      <c r="U62" s="146"/>
      <c r="V62" s="146"/>
      <c r="W62" s="147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6"/>
      <c r="AJ62" s="146"/>
      <c r="AK62" s="146"/>
      <c r="AL62" s="147"/>
      <c r="AM62" s="146"/>
      <c r="AN62" s="146"/>
      <c r="AO62" s="146"/>
      <c r="AP62" s="146"/>
      <c r="AQ62" s="51"/>
      <c r="AR62" s="146"/>
      <c r="AS62" s="146"/>
      <c r="AT62" s="146"/>
      <c r="AU62" s="146"/>
      <c r="AV62" s="146"/>
      <c r="AW62" s="146"/>
      <c r="AX62" s="146"/>
      <c r="AY62" s="146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1061</v>
      </c>
      <c r="F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1063</v>
      </c>
      <c r="E64" s="145">
        <v>0.09</v>
      </c>
      <c r="F64" s="19" t="s">
        <v>149</v>
      </c>
      <c r="G64" s="21">
        <f>E64*$M$2</f>
        <v>0.89999999999999991</v>
      </c>
      <c r="H64" s="12">
        <f>'APUS ELECTRICAS'!J74</f>
        <v>396.14503200000001</v>
      </c>
      <c r="I64">
        <f>G64*H64</f>
        <v>356.53052879999996</v>
      </c>
      <c r="O64" s="145"/>
      <c r="P64" s="145"/>
      <c r="Q64" s="145"/>
      <c r="R64" s="145"/>
      <c r="S64" s="146"/>
      <c r="T64" s="146"/>
      <c r="U64" s="146"/>
      <c r="V64" s="146"/>
      <c r="W64" s="147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7"/>
      <c r="AM64" s="146"/>
      <c r="AN64" s="146"/>
      <c r="AO64" s="146"/>
      <c r="AP64" s="146"/>
      <c r="AQ64" s="51"/>
      <c r="AR64" s="146"/>
      <c r="AS64" s="146"/>
      <c r="AT64" s="146"/>
      <c r="AU64" s="146"/>
      <c r="AV64" s="146"/>
      <c r="AW64" s="146"/>
      <c r="AX64" s="146"/>
      <c r="AY64" s="146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1065</v>
      </c>
      <c r="E65" s="145">
        <v>0.09</v>
      </c>
      <c r="F65" s="19" t="s">
        <v>149</v>
      </c>
      <c r="G65" s="21">
        <f>E65*$M$2</f>
        <v>0.89999999999999991</v>
      </c>
      <c r="H65" s="12">
        <f>'APUS ELECTRICAS'!J88</f>
        <v>105.9636</v>
      </c>
      <c r="I65">
        <f>G65*H65</f>
        <v>95.367239999999995</v>
      </c>
      <c r="O65" s="145"/>
      <c r="P65" s="145"/>
      <c r="Q65" s="145"/>
      <c r="R65" s="145"/>
      <c r="S65" s="146"/>
      <c r="T65" s="146"/>
      <c r="U65" s="146"/>
      <c r="V65" s="146"/>
      <c r="W65" s="147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  <c r="AL65" s="147"/>
      <c r="AM65" s="146"/>
      <c r="AN65" s="146"/>
      <c r="AO65" s="146"/>
      <c r="AP65" s="146"/>
      <c r="AQ65" s="51"/>
      <c r="AR65" s="146"/>
      <c r="AS65" s="146"/>
      <c r="AT65" s="146"/>
      <c r="AU65" s="146"/>
      <c r="AV65" s="146"/>
      <c r="AW65" s="146"/>
      <c r="AX65" s="146"/>
      <c r="AY65" s="146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1067</v>
      </c>
      <c r="E66" s="145"/>
      <c r="F66" s="19" t="s">
        <v>149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5"/>
      <c r="P66" s="145"/>
      <c r="Q66" s="145"/>
      <c r="R66" s="145"/>
      <c r="S66" s="146"/>
      <c r="T66" s="146"/>
      <c r="U66" s="146"/>
      <c r="V66" s="146"/>
      <c r="W66" s="147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7"/>
      <c r="AM66" s="146"/>
      <c r="AN66" s="146"/>
      <c r="AO66" s="146"/>
      <c r="AP66" s="146"/>
      <c r="AQ66" s="51"/>
      <c r="AR66" s="146"/>
      <c r="AS66" s="146"/>
      <c r="AT66" s="146"/>
      <c r="AU66" s="146"/>
      <c r="AV66" s="146"/>
      <c r="AW66" s="146"/>
      <c r="AX66" s="146"/>
      <c r="AY66" s="146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1069</v>
      </c>
      <c r="E67" s="145"/>
      <c r="F67" s="19" t="s">
        <v>149</v>
      </c>
      <c r="G67" s="21">
        <f>E67*$M$2</f>
        <v>0</v>
      </c>
      <c r="H67" s="12">
        <f>'APUS ELECTRICAS'!J114</f>
        <v>86.816140000000019</v>
      </c>
      <c r="I67">
        <f>G67*H67</f>
        <v>0</v>
      </c>
      <c r="K67" s="12"/>
      <c r="O67" s="145"/>
      <c r="P67" s="145"/>
      <c r="Q67" s="145"/>
      <c r="R67" s="145"/>
      <c r="S67" s="146"/>
      <c r="T67" s="146"/>
      <c r="U67" s="146"/>
      <c r="V67" s="146"/>
      <c r="W67" s="147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/>
      <c r="AI67" s="146"/>
      <c r="AJ67" s="146"/>
      <c r="AK67" s="146"/>
      <c r="AL67" s="147"/>
      <c r="AM67" s="146"/>
      <c r="AN67" s="146"/>
      <c r="AO67" s="146"/>
      <c r="AP67" s="146"/>
      <c r="AQ67" s="51"/>
      <c r="AR67" s="146"/>
      <c r="AS67" s="146"/>
      <c r="AT67" s="146"/>
      <c r="AU67" s="146"/>
      <c r="AV67" s="146"/>
      <c r="AW67" s="146"/>
      <c r="AX67" s="146"/>
      <c r="AY67" s="146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5"/>
      <c r="P68" s="145"/>
      <c r="Q68" s="145"/>
      <c r="R68" s="145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51"/>
      <c r="AR68" s="146"/>
      <c r="AS68" s="146"/>
      <c r="AT68" s="146"/>
      <c r="AU68" s="146"/>
      <c r="AV68" s="146"/>
      <c r="AW68" s="146"/>
      <c r="AX68" s="146"/>
      <c r="AY68" s="146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5"/>
      <c r="P69" s="145"/>
      <c r="Q69" s="145"/>
      <c r="R69" s="145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51"/>
      <c r="AR69" s="146"/>
      <c r="AS69" s="146"/>
      <c r="AT69" s="146"/>
      <c r="AU69" s="146"/>
      <c r="AV69" s="146"/>
      <c r="AW69" s="146"/>
      <c r="AX69" s="146"/>
      <c r="AY69" s="146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5"/>
      <c r="P70" s="145"/>
      <c r="Q70" s="145"/>
      <c r="R70" s="145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51"/>
      <c r="AR70" s="146"/>
      <c r="AS70" s="146"/>
      <c r="AT70" s="146"/>
      <c r="AU70" s="146"/>
      <c r="AV70" s="146"/>
      <c r="AW70" s="146"/>
      <c r="AX70" s="146"/>
      <c r="AY70" s="146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5"/>
      <c r="P71" s="145"/>
      <c r="Q71" s="145"/>
      <c r="R71" s="145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51"/>
      <c r="AR71" s="146"/>
      <c r="AS71" s="146"/>
      <c r="AT71" s="146"/>
      <c r="AU71" s="146"/>
      <c r="AV71" s="146"/>
      <c r="AW71" s="146"/>
      <c r="AX71" s="146"/>
      <c r="AY71" s="146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5"/>
      <c r="P72" s="145"/>
      <c r="Q72" s="145"/>
      <c r="R72" s="145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51"/>
      <c r="AG72" s="146"/>
      <c r="AH72" s="146"/>
      <c r="AI72" s="146"/>
      <c r="AJ72" s="146"/>
      <c r="AK72" s="146"/>
      <c r="AL72" s="51"/>
      <c r="AM72" s="146"/>
      <c r="AN72" s="146"/>
      <c r="AO72" s="146"/>
      <c r="AP72" s="146"/>
      <c r="AQ72" s="51"/>
      <c r="AR72" s="146"/>
      <c r="AS72" s="146"/>
      <c r="AT72" s="146"/>
      <c r="AU72" s="146"/>
      <c r="AV72" s="146"/>
      <c r="AW72" s="146"/>
      <c r="AX72" s="146"/>
      <c r="AY72" s="146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5"/>
      <c r="P73" s="145"/>
      <c r="Q73" s="145"/>
      <c r="R73" s="145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51"/>
      <c r="AD73" s="146"/>
      <c r="AE73" s="51"/>
      <c r="AF73" s="51"/>
      <c r="AG73" s="146"/>
      <c r="AH73" s="146"/>
      <c r="AI73" s="146"/>
      <c r="AJ73" s="146"/>
      <c r="AK73" s="146"/>
      <c r="AL73" s="51"/>
      <c r="AM73" s="146"/>
      <c r="AN73" s="51"/>
      <c r="AO73" s="146"/>
      <c r="AP73" s="146"/>
      <c r="AQ73" s="51"/>
      <c r="AR73" s="146"/>
      <c r="AS73" s="146"/>
      <c r="AT73" s="146"/>
      <c r="AU73" s="146"/>
      <c r="AV73" s="51"/>
      <c r="AW73" s="146"/>
      <c r="AX73" s="51"/>
      <c r="AY73" s="146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9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60"/>
      <c r="AS74" s="160"/>
      <c r="AT74" s="51"/>
      <c r="AU74" s="51"/>
      <c r="AV74" s="51"/>
      <c r="AW74" s="51"/>
      <c r="AX74" s="51"/>
      <c r="AY74" s="159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6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7"/>
      <c r="AT75" s="51"/>
      <c r="AU75" s="51"/>
      <c r="AV75" s="51"/>
      <c r="AW75" s="51"/>
      <c r="AX75" s="51"/>
      <c r="AY75" s="146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6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7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6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7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6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7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6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7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6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7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6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7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6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7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9"/>
      <c r="S83" s="51"/>
      <c r="T83" s="51"/>
      <c r="U83" s="146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7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6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7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6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7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6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6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7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7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9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9"/>
    </row>
    <row r="104" spans="1:8">
      <c r="H104" s="12"/>
    </row>
    <row r="105" spans="1:8">
      <c r="G105" s="21"/>
      <c r="H105" s="12"/>
    </row>
    <row r="106" spans="1:8">
      <c r="A106" s="89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3fde89-ca84-4f41-9cf4-2970b81dc696" xsi:nil="true"/>
    <lcf76f155ced4ddcb4097134ff3c332f xmlns="1c2a5dca-ef59-4b75-b081-b8c19a33ae4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369852071E4A4AA2DB91BA7C6CB08D" ma:contentTypeVersion="11" ma:contentTypeDescription="Create a new document." ma:contentTypeScope="" ma:versionID="3a27cfa7c783c3efaf0bd804efcd2345">
  <xsd:schema xmlns:xsd="http://www.w3.org/2001/XMLSchema" xmlns:xs="http://www.w3.org/2001/XMLSchema" xmlns:p="http://schemas.microsoft.com/office/2006/metadata/properties" xmlns:ns2="1c2a5dca-ef59-4b75-b081-b8c19a33ae49" xmlns:ns3="f33fde89-ca84-4f41-9cf4-2970b81dc696" targetNamespace="http://schemas.microsoft.com/office/2006/metadata/properties" ma:root="true" ma:fieldsID="9a60262b3d994825193278e2f3371f6b" ns2:_="" ns3:_="">
    <xsd:import namespace="1c2a5dca-ef59-4b75-b081-b8c19a33ae49"/>
    <xsd:import namespace="f33fde89-ca84-4f41-9cf4-2970b81dc6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a5dca-ef59-4b75-b081-b8c19a33ae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5d0804c-76fa-410a-9782-953cf5ffad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de89-ca84-4f41-9cf4-2970b81dc69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2e9c4c9-f685-4c58-832f-fa74a9e024c9}" ma:internalName="TaxCatchAll" ma:showField="CatchAllData" ma:web="f33fde89-ca84-4f41-9cf4-2970b81dc6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4975C8-887B-45AA-BB3C-CAB56B033324}"/>
</file>

<file path=customXml/itemProps2.xml><?xml version="1.0" encoding="utf-8"?>
<ds:datastoreItem xmlns:ds="http://schemas.openxmlformats.org/officeDocument/2006/customXml" ds:itemID="{964118B6-C948-4738-B8B9-B0809397E6D7}"/>
</file>

<file path=customXml/itemProps3.xml><?xml version="1.0" encoding="utf-8"?>
<ds:datastoreItem xmlns:ds="http://schemas.openxmlformats.org/officeDocument/2006/customXml" ds:itemID="{C27670DE-AE14-47D2-8844-360D4E0D04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2026-02-19T02:52:41Z</dcterms:created>
  <dcterms:modified xsi:type="dcterms:W3CDTF">2026-06-10T23:35:27Z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0x01010068369852071E4A4AA2DB91BA7C6CB08D</vt:lpwstr>
  </property>
  <property fmtid="{D5CDD505-2E9C-101B-9397-08002B2CF9AE}" pid="3" name="MediaServiceImageTags">
    <vt:lpwstr/>
  </property>
</Properties>
</file>