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20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2.xml" ContentType="application/vnd.openxmlformats-officedocument.spreadsheetml.worksheet+xml"/>
  <Override PartName="/xl/worksheets/sheet5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7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78.xml" ContentType="application/vnd.openxmlformats-officedocument.spreadsheetml.worksheet+xml"/>
  <Override PartName="/xl/worksheets/sheet29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77.xml" ContentType="application/vnd.openxmlformats-officedocument.spreadsheetml.worksheet+xml"/>
  <Override PartName="/xl/worksheets/sheet76.xml" ContentType="application/vnd.openxmlformats-officedocument.spreadsheetml.worksheet+xml"/>
  <Override PartName="/xl/worksheets/sheet75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ormulario" sheetId="1" state="visible" r:id="rId3"/>
    <sheet name="Datos iniciales " sheetId="2" state="visible" r:id="rId4"/>
    <sheet name="PROVISIONALES" sheetId="3" state="visible" r:id="rId5"/>
    <sheet name="APU PROVISIONALES" sheetId="4" state="visible" r:id="rId6"/>
    <sheet name="ESTRUCTURA" sheetId="5" state="visible" r:id="rId7"/>
    <sheet name="APU ESTRUCTURAS" sheetId="6" state="visible" r:id="rId8"/>
    <sheet name="ARQUITECTURA" sheetId="7" state="visible" r:id="rId9"/>
    <sheet name="APUS ARQUITECTURA" sheetId="8" state="visible" r:id="rId10"/>
    <sheet name="SANITARIAS" sheetId="9" state="visible" r:id="rId11"/>
    <sheet name="APUS SANITARIAS" sheetId="10" state="visible" r:id="rId12"/>
    <sheet name="ELECTRICAS" sheetId="11" state="visible" r:id="rId13"/>
    <sheet name="APUS ELECTRICAS" sheetId="12" state="visible" r:id="rId14"/>
    <sheet name="COMUNICACIONES" sheetId="13" state="visible" r:id="rId15"/>
    <sheet name="APUS COMUNICACIONES" sheetId="14" state="visible" r:id="rId16"/>
    <sheet name="Obras provisionales" sheetId="15" state="visible" r:id="rId17"/>
    <sheet name="Obras exteriores " sheetId="16" state="visible" r:id="rId18"/>
    <sheet name="Estructura 1" sheetId="17" state="visible" r:id="rId19"/>
    <sheet name="Estructura 2" sheetId="18" state="visible" r:id="rId20"/>
    <sheet name="Escalera" sheetId="19" state="visible" r:id="rId21"/>
    <sheet name="Lista de insumos" sheetId="20" state="visible" r:id="rId22"/>
    <sheet name="Cimentación 1 piso" sheetId="21" state="visible" r:id="rId23"/>
    <sheet name="Cimentación 2 pisos " sheetId="22" state="visible" r:id="rId24"/>
    <sheet name="Cimentación 3 pisos" sheetId="23" state="visible" r:id="rId25"/>
    <sheet name="Cimentación 4 pisos" sheetId="24" state="visible" r:id="rId26"/>
    <sheet name="Platea de Cimentacion" sheetId="25" state="visible" r:id="rId27"/>
    <sheet name="BIBLIOTECA" sheetId="26" state="visible" r:id="rId28"/>
    <sheet name="Laboratorio" sheetId="27" state="visible" r:id="rId29"/>
    <sheet name="ALMACÉN MAT. DEP." sheetId="28" state="visible" r:id="rId30"/>
    <sheet name="SUM" sheetId="29" state="visible" r:id="rId31"/>
    <sheet name="MÓDULO DE CONECTIVIDAD" sheetId="30" state="visible" r:id="rId32"/>
    <sheet name="DIRECCIÓN ADM" sheetId="31" state="visible" r:id="rId33"/>
    <sheet name="SUBDIRECCIÓN " sheetId="32" state="visible" r:id="rId34"/>
    <sheet name="SALA DE REUNIONES" sheetId="33" state="visible" r:id="rId35"/>
    <sheet name="SECRETARÍA " sheetId="34" state="visible" r:id="rId36"/>
    <sheet name="SALA DE ESPERA" sheetId="35" state="visible" r:id="rId37"/>
    <sheet name="COORDINACIÓN ADMINISTRATIVA" sheetId="36" state="visible" r:id="rId38"/>
    <sheet name="ARCHIVO" sheetId="37" state="visible" r:id="rId39"/>
    <sheet name="TALLER CREATIVO PRIM" sheetId="38" state="visible" r:id="rId40"/>
    <sheet name="TALLER CREATIVO SEC" sheetId="39" state="visible" r:id="rId41"/>
    <sheet name="ECONOMATO" sheetId="40" state="visible" r:id="rId42"/>
    <sheet name="COORDINACIÓN PEDAGÓGICA" sheetId="41" state="visible" r:id="rId43"/>
    <sheet name="TÓPICO" sheetId="42" state="visible" r:id="rId44"/>
    <sheet name="SALA DE PROFESORES" sheetId="43" state="visible" r:id="rId45"/>
    <sheet name="TIENDA ESCOLAR" sheetId="44" state="visible" r:id="rId46"/>
    <sheet name="ALMACÉN GENERAL " sheetId="45" state="visible" r:id="rId47"/>
    <sheet name="SSHH ADM-HOMBRES" sheetId="46" state="visible" r:id="rId48"/>
    <sheet name="SSHH ADM-MUJERES" sheetId="47" state="visible" r:id="rId49"/>
    <sheet name="SSHH INICIAL-HOMBRES " sheetId="48" state="visible" r:id="rId50"/>
    <sheet name="SSHH INICIAL- MUJERES" sheetId="49" state="visible" r:id="rId51"/>
    <sheet name="SSHH PRIM-HOMBRES" sheetId="50" state="visible" r:id="rId52"/>
    <sheet name="SSHH PRIM-MUJERES" sheetId="51" state="visible" r:id="rId53"/>
    <sheet name="SSHH SEC-HOMBRES" sheetId="52" state="visible" r:id="rId54"/>
    <sheet name="SSHH SEC-MUJERES" sheetId="53" state="visible" r:id="rId55"/>
    <sheet name="VESTUARIOS HOMBRES" sheetId="54" state="visible" r:id="rId56"/>
    <sheet name="VESTUARIOS MUJERES" sheetId="55" state="visible" r:id="rId57"/>
    <sheet name="COCINA INICIAL" sheetId="56" state="visible" r:id="rId58"/>
    <sheet name="COCINA PRIM- SEC" sheetId="57" state="visible" r:id="rId59"/>
    <sheet name="OFICINA DE BIENESTAR" sheetId="58" state="visible" r:id="rId60"/>
    <sheet name="LACTARIO" sheetId="59" state="visible" r:id="rId61"/>
    <sheet name="CTO ELÉCTRICO" sheetId="60" state="visible" r:id="rId62"/>
    <sheet name="DEP. MATERIAL DEPORTIVO" sheetId="61" state="visible" r:id="rId63"/>
    <sheet name="DEPOSITO" sheetId="62" state="visible" r:id="rId64"/>
    <sheet name="GUARDIANIA" sheetId="63" state="visible" r:id="rId65"/>
    <sheet name="CUARTO DE LIMPIEZA" sheetId="64" state="visible" r:id="rId66"/>
    <sheet name="AULA CICLO I" sheetId="65" state="visible" r:id="rId67"/>
    <sheet name="AULA CICLO II" sheetId="66" state="visible" r:id="rId68"/>
    <sheet name="AULA PRIMARIA" sheetId="67" state="visible" r:id="rId69"/>
    <sheet name="AULA SECUNDARIA" sheetId="68" state="visible" r:id="rId70"/>
    <sheet name="AULA PSICOMOTRICIDAD" sheetId="69" state="visible" r:id="rId71"/>
    <sheet name="AULA DE INNOVACIÓN PRIM" sheetId="70" state="visible" r:id="rId72"/>
    <sheet name="AULA DE INNOVACIÓN SEC" sheetId="71" state="visible" r:id="rId73"/>
    <sheet name="TALLER EPT " sheetId="72" state="visible" r:id="rId74"/>
    <sheet name="MAESTRANZA" sheetId="73" state="visible" r:id="rId75"/>
    <sheet name="RESIDUOS" sheetId="74" state="visible" r:id="rId76"/>
    <sheet name="CIRCULACIÓN " sheetId="75" state="visible" r:id="rId77"/>
    <sheet name="ESCALERA PRIM" sheetId="76" state="visible" r:id="rId78"/>
    <sheet name="ESCALERA SEC" sheetId="77" state="visible" r:id="rId79"/>
    <sheet name="INGRESO" sheetId="78" state="visible" r:id="rId8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<sst xmlns="http://schemas.openxmlformats.org/spreadsheetml/2006/main" count="26561" uniqueCount="1398">
  <si>
    <t xml:space="preserve">Datos Generales</t>
  </si>
  <si>
    <t xml:space="preserve">Area Techada (m2)</t>
  </si>
  <si>
    <t xml:space="preserve">Area del terreno (m2)</t>
  </si>
  <si>
    <t xml:space="preserve">Plazo de ejecución (meses) </t>
  </si>
  <si>
    <t xml:space="preserve">Area Techada Escalera  (m2)</t>
  </si>
  <si>
    <t xml:space="preserve">Opciones Adicionales</t>
  </si>
  <si>
    <t xml:space="preserve">INCLUIR DEMOLICIONES</t>
  </si>
  <si>
    <t xml:space="preserve">INCLUIR COLUMNETAS Y VIGUETAS DE CONFINAMIENTO </t>
  </si>
  <si>
    <t xml:space="preserve">SI</t>
  </si>
  <si>
    <t xml:space="preserve">NO</t>
  </si>
  <si>
    <t xml:space="preserve">Cimentación</t>
  </si>
  <si>
    <t xml:space="preserve">TIPO DE CIMENTACION </t>
  </si>
  <si>
    <t xml:space="preserve">Numero de pisos</t>
  </si>
  <si>
    <t xml:space="preserve">Área de cimentación (m2)</t>
  </si>
  <si>
    <t xml:space="preserve">ZAPATAS Y VIGAS DE CIMENTACION </t>
  </si>
  <si>
    <t xml:space="preserve">PLATEA DE CIMENTACIÓN </t>
  </si>
  <si>
    <t xml:space="preserve">Ambientes</t>
  </si>
  <si>
    <t xml:space="preserve">Cantidad  </t>
  </si>
  <si>
    <t xml:space="preserve">Area  (m2)</t>
  </si>
  <si>
    <t xml:space="preserve">BIBLIOTECA </t>
  </si>
  <si>
    <t xml:space="preserve">LABORATORIO</t>
  </si>
  <si>
    <t xml:space="preserve">ALMACÉN MAT. DEP.</t>
  </si>
  <si>
    <t xml:space="preserve">SUM</t>
  </si>
  <si>
    <t xml:space="preserve">MÓDULO DE CONECTIVIDAD</t>
  </si>
  <si>
    <t xml:space="preserve">DIRECCIÓN ADM</t>
  </si>
  <si>
    <t xml:space="preserve">SUBDIRECCIÓN</t>
  </si>
  <si>
    <t xml:space="preserve">SALA DE REUNIONES</t>
  </si>
  <si>
    <t xml:space="preserve">SECRETARÍA</t>
  </si>
  <si>
    <t xml:space="preserve"> SALA DE ESPERA</t>
  </si>
  <si>
    <t xml:space="preserve">COORDINACIÓN ADMINISTRATIVA</t>
  </si>
  <si>
    <t xml:space="preserve">ARCHIVO</t>
  </si>
  <si>
    <t xml:space="preserve">TALLER CREATIVO PRIM</t>
  </si>
  <si>
    <t xml:space="preserve">TALLER CREATIVO SEC</t>
  </si>
  <si>
    <t xml:space="preserve">ECONOMATO</t>
  </si>
  <si>
    <t xml:space="preserve">COORDINACIÓN PEDAGÓGICA</t>
  </si>
  <si>
    <t xml:space="preserve">TÓPICO</t>
  </si>
  <si>
    <t xml:space="preserve">SALA DE PROFESORES</t>
  </si>
  <si>
    <t xml:space="preserve">TIENDA ESCOLAR</t>
  </si>
  <si>
    <t xml:space="preserve">ALMACÉN GENERAL </t>
  </si>
  <si>
    <t xml:space="preserve">SSHH ADM - HOMBRES</t>
  </si>
  <si>
    <t xml:space="preserve">SSHH ADM - MUJERES</t>
  </si>
  <si>
    <t xml:space="preserve">SSHH INICIAL - HOMBRES</t>
  </si>
  <si>
    <t xml:space="preserve">SSHH INICIAL - MUJERES</t>
  </si>
  <si>
    <t xml:space="preserve">SSHH PRIMARIA - HOMBRES</t>
  </si>
  <si>
    <t xml:space="preserve">SSHH PRIMARIA - MUJERES</t>
  </si>
  <si>
    <t xml:space="preserve">SSHH SECUNDARIA - HOMBRES</t>
  </si>
  <si>
    <t xml:space="preserve">SSHH SECUNDARIA - MUJERES</t>
  </si>
  <si>
    <t xml:space="preserve">VESTUARIOS - HOMBRES</t>
  </si>
  <si>
    <t xml:space="preserve">VESTUARIOS - MUJERES</t>
  </si>
  <si>
    <t xml:space="preserve">COCINA INICIAL</t>
  </si>
  <si>
    <t xml:space="preserve">COCINA PRIM -SEC</t>
  </si>
  <si>
    <t xml:space="preserve">OFICINA DE BIENESTAR</t>
  </si>
  <si>
    <t xml:space="preserve">LACTARIO</t>
  </si>
  <si>
    <t xml:space="preserve">CTO ELÉCTRICO</t>
  </si>
  <si>
    <t xml:space="preserve">DEP. MATERIAL DEPORTIVO</t>
  </si>
  <si>
    <t xml:space="preserve">DEPÓSITO</t>
  </si>
  <si>
    <t xml:space="preserve">GUARDIANÍA</t>
  </si>
  <si>
    <t xml:space="preserve">CUARTO DE LIMPIEZA</t>
  </si>
  <si>
    <t xml:space="preserve">AULA CICLO I</t>
  </si>
  <si>
    <t xml:space="preserve">AULA CICLO II</t>
  </si>
  <si>
    <t xml:space="preserve">AULA PRIMARIA</t>
  </si>
  <si>
    <t xml:space="preserve">AULA SECUNDARIA</t>
  </si>
  <si>
    <t xml:space="preserve">AULA PSICOMOTRICIDAD</t>
  </si>
  <si>
    <t xml:space="preserve">AULA DE INNOVACIÓN PEDAGÓGICA PRIM</t>
  </si>
  <si>
    <t xml:space="preserve">AULA DE INNOVACIÓN PEDAGÓGICA SEC</t>
  </si>
  <si>
    <t xml:space="preserve">TALLER EPT </t>
  </si>
  <si>
    <t xml:space="preserve">MAESTRANZA</t>
  </si>
  <si>
    <t xml:space="preserve">RESIDUOS</t>
  </si>
  <si>
    <t xml:space="preserve">CIRCULACIÓN </t>
  </si>
  <si>
    <t xml:space="preserve">ESCALERA PRIM</t>
  </si>
  <si>
    <t xml:space="preserve">ESCALERA SEC</t>
  </si>
  <si>
    <t xml:space="preserve">AREA DE INGRESO</t>
  </si>
  <si>
    <t xml:space="preserve">Exteriores</t>
  </si>
  <si>
    <t xml:space="preserve">Area</t>
  </si>
  <si>
    <t xml:space="preserve">AREAS VERDES</t>
  </si>
  <si>
    <t xml:space="preserve">LOSA DEPORTIVA</t>
  </si>
  <si>
    <t xml:space="preserve">COBERTURA DE LOSA DEPORTIVA</t>
  </si>
  <si>
    <t xml:space="preserve">PATIO DE INICIAL</t>
  </si>
  <si>
    <t xml:space="preserve">COBERTURA PATIO DE INICIAL</t>
  </si>
  <si>
    <t xml:space="preserve">ASTA DE BANDERA</t>
  </si>
  <si>
    <t xml:space="preserve">VEREDAS Y RAMPAS DE CONCRETO</t>
  </si>
  <si>
    <t xml:space="preserve">PAVIMENTO RIGIDO VEHICULAR</t>
  </si>
  <si>
    <t xml:space="preserve">LAMAS EN PASADIZOS</t>
  </si>
  <si>
    <t xml:space="preserve">ESTACIONAMIENTO DE BICICLETAS</t>
  </si>
  <si>
    <t xml:space="preserve">CERCO PERIMETRICO H=3.00M</t>
  </si>
  <si>
    <t xml:space="preserve">PORTADA DE INGRESO (PORTON METALICO)</t>
  </si>
  <si>
    <t xml:space="preserve">Categoría</t>
  </si>
  <si>
    <t xml:space="preserve">Obras provisionales</t>
  </si>
  <si>
    <t xml:space="preserve">Area Techada</t>
  </si>
  <si>
    <t xml:space="preserve">Area del terreno</t>
  </si>
  <si>
    <t xml:space="preserve">Plazo de ejecución </t>
  </si>
  <si>
    <t xml:space="preserve">Incluye demoliciones</t>
  </si>
  <si>
    <t xml:space="preserve">CT</t>
  </si>
  <si>
    <t xml:space="preserve">Área de cimentación</t>
  </si>
  <si>
    <t xml:space="preserve">#pisos</t>
  </si>
  <si>
    <t xml:space="preserve">Tipo de cimentacion</t>
  </si>
  <si>
    <t xml:space="preserve">Costo x m2</t>
  </si>
  <si>
    <t xml:space="preserve">zapatas y vigas de cimentación</t>
  </si>
  <si>
    <t xml:space="preserve">Estructura</t>
  </si>
  <si>
    <t xml:space="preserve">Incluye columnetas y viguetas</t>
  </si>
  <si>
    <t xml:space="preserve">Area Escalera</t>
  </si>
  <si>
    <t xml:space="preserve">Area </t>
  </si>
  <si>
    <t xml:space="preserve">Total Area</t>
  </si>
  <si>
    <t xml:space="preserve">#AMBIENTES</t>
  </si>
  <si>
    <t xml:space="preserve">ML</t>
  </si>
  <si>
    <t xml:space="preserve">Area total</t>
  </si>
  <si>
    <t xml:space="preserve">COBERTURA LOSA DEPORTIVA</t>
  </si>
  <si>
    <t xml:space="preserve">PATIO DE INICIAL </t>
  </si>
  <si>
    <t xml:space="preserve">COBERTURA PATIO DE INICIAL </t>
  </si>
  <si>
    <t xml:space="preserve">CERCO PERIMETRICO H=3.00m</t>
  </si>
  <si>
    <t xml:space="preserve">PORTADA DE INGRESO  (PORTON METALICO)</t>
  </si>
  <si>
    <t xml:space="preserve">INSTALACIONES EXTERIORES</t>
  </si>
  <si>
    <t xml:space="preserve">SISTEMA DE BOMBEO DE PRESIÓN CONSTANTE</t>
  </si>
  <si>
    <t xml:space="preserve">INSTALACIONES SANITARIAS EXTERIORES INC. CANALETAS DE EVACUACIÓN PLUVIAL</t>
  </si>
  <si>
    <t xml:space="preserve">SISTEMA DE AGUA CONTRA INCENDIOS (RED CONTRA INCENDIOS, GABINETES)</t>
  </si>
  <si>
    <t xml:space="preserve">COSTO DIRECTO</t>
  </si>
  <si>
    <t xml:space="preserve">Estructura </t>
  </si>
  <si>
    <t xml:space="preserve">Arquitectura  </t>
  </si>
  <si>
    <t xml:space="preserve">Sanitarias</t>
  </si>
  <si>
    <t xml:space="preserve">Electricas</t>
  </si>
  <si>
    <t xml:space="preserve">Comunicaciones</t>
  </si>
  <si>
    <t xml:space="preserve">Unidad</t>
  </si>
  <si>
    <t xml:space="preserve">Metrado</t>
  </si>
  <si>
    <t xml:space="preserve">C.U</t>
  </si>
  <si>
    <t xml:space="preserve">Parcial</t>
  </si>
  <si>
    <t xml:space="preserve">Total</t>
  </si>
  <si>
    <t xml:space="preserve">OBRAS PROVISIONALES, PRELIMINARES, SEGURIDAD Y SALUD EN EL TRABAJO Y PLAN DE CONTINGENCIA</t>
  </si>
  <si>
    <t xml:space="preserve">OBRAS PROVISIONALES </t>
  </si>
  <si>
    <t xml:space="preserve">1.1.1</t>
  </si>
  <si>
    <t xml:space="preserve">CONSTRUCCIONES PROVISIONALES</t>
  </si>
  <si>
    <t xml:space="preserve">1.1.1.1</t>
  </si>
  <si>
    <t xml:space="preserve">OFICINAS DE RESIDENCIA Y SUPERVISIÓN</t>
  </si>
  <si>
    <t xml:space="preserve">m2</t>
  </si>
  <si>
    <t xml:space="preserve">1.1.1.2</t>
  </si>
  <si>
    <t xml:space="preserve">ALMACENES DE OBRA</t>
  </si>
  <si>
    <t xml:space="preserve">1.1.1.3</t>
  </si>
  <si>
    <t xml:space="preserve">CASETAS DE GUARDIANÍA</t>
  </si>
  <si>
    <t xml:space="preserve">1.1.1.4</t>
  </si>
  <si>
    <t xml:space="preserve">COMEDOR PARA PERSONAL DE OBRA</t>
  </si>
  <si>
    <t xml:space="preserve">1.1.1.5</t>
  </si>
  <si>
    <t xml:space="preserve">VESTUARIO PARA PERSONAL DE OBRA</t>
  </si>
  <si>
    <t xml:space="preserve">1.1.1.6</t>
  </si>
  <si>
    <t xml:space="preserve">CERCO PERIMÉTRICO DE MALLA ARPILLERA</t>
  </si>
  <si>
    <t xml:space="preserve">m</t>
  </si>
  <si>
    <t xml:space="preserve">1.1.1.7</t>
  </si>
  <si>
    <t xml:space="preserve">SERVICIOS HIGIÉNICOS</t>
  </si>
  <si>
    <t xml:space="preserve">1.1.1.8</t>
  </si>
  <si>
    <t xml:space="preserve">CARTEL DE IDENTIFICACIÓN DE LA OBRA</t>
  </si>
  <si>
    <t xml:space="preserve">und</t>
  </si>
  <si>
    <t xml:space="preserve">1.1.2</t>
  </si>
  <si>
    <t xml:space="preserve">INSTALACIONES PROVISIONALES</t>
  </si>
  <si>
    <t xml:space="preserve">1.1.2.1</t>
  </si>
  <si>
    <t xml:space="preserve">CONEXIÓN E INSTALACIÓN DE AGUA</t>
  </si>
  <si>
    <t xml:space="preserve">glb</t>
  </si>
  <si>
    <t xml:space="preserve">1.1.2.2</t>
  </si>
  <si>
    <t xml:space="preserve">CONSUMO Y MANTENIMIENTO DE AGUA PARA LA CONSTRUCCIÓN</t>
  </si>
  <si>
    <t xml:space="preserve">mes</t>
  </si>
  <si>
    <t xml:space="preserve">1.1.2.3</t>
  </si>
  <si>
    <t xml:space="preserve">CONEXIÓN E INSTALACIÓN DE ENERGÍA ELÉCTRICA</t>
  </si>
  <si>
    <t xml:space="preserve">1.1.2.4</t>
  </si>
  <si>
    <t xml:space="preserve">CONSUMO Y MANTENIMIENTO DE ENERGÍA ELÉCTRICA</t>
  </si>
  <si>
    <t xml:space="preserve">TRABAJOS PRELIMINARES</t>
  </si>
  <si>
    <t xml:space="preserve">1.2.1</t>
  </si>
  <si>
    <t xml:space="preserve">LIMPIEZA DEL TERRENO</t>
  </si>
  <si>
    <t xml:space="preserve">1.2.1.1</t>
  </si>
  <si>
    <t xml:space="preserve">LIMPIEZA DEL TERRENO MANUAL</t>
  </si>
  <si>
    <t xml:space="preserve">1.2.1.2</t>
  </si>
  <si>
    <t xml:space="preserve">ELIMINACIÓN DE OBSTRUCCIONES</t>
  </si>
  <si>
    <t xml:space="preserve">1.2.2</t>
  </si>
  <si>
    <t xml:space="preserve">MOVILIZACIÓN DE CAMPAMENTO, MAQUINARIA Y HERRAMIENTAS</t>
  </si>
  <si>
    <t xml:space="preserve">1.2.2.1</t>
  </si>
  <si>
    <t xml:space="preserve">MOVILIZACIÓN DE EQUIPOS Y HERRAMIENTAS</t>
  </si>
  <si>
    <t xml:space="preserve">1.2.2.2</t>
  </si>
  <si>
    <t xml:space="preserve">TRANSPORTE DE MATERIALES A LA OBRA</t>
  </si>
  <si>
    <t xml:space="preserve">1.2.3</t>
  </si>
  <si>
    <t xml:space="preserve">TRAZOS, NIVELES Y REPLANTEO</t>
  </si>
  <si>
    <t xml:space="preserve">1.2.3.1</t>
  </si>
  <si>
    <t xml:space="preserve">TRAZO Y REPLANTEO PRELIMINAR</t>
  </si>
  <si>
    <t xml:space="preserve">1.2.3.2</t>
  </si>
  <si>
    <t xml:space="preserve">TRAZO NIVELACIÓN Y REPLANTEO DURANTE EL PROCESO</t>
  </si>
  <si>
    <t xml:space="preserve">PLAN DE SEGURIDAD Y SALUD EN EL TRABAJO</t>
  </si>
  <si>
    <t xml:space="preserve">1.3.1</t>
  </si>
  <si>
    <t xml:space="preserve">Equipo de seguridad y salud</t>
  </si>
  <si>
    <t xml:space="preserve">1.3.1.1</t>
  </si>
  <si>
    <t xml:space="preserve">EQUIPOS DE PROTECCIÓN INDIVIDUAL</t>
  </si>
  <si>
    <t xml:space="preserve">1.3.1.2</t>
  </si>
  <si>
    <t xml:space="preserve">EQUIPOS DE PROTECCIÓN COLECTIVA</t>
  </si>
  <si>
    <t xml:space="preserve">1.3.1.3</t>
  </si>
  <si>
    <t xml:space="preserve">SEÑALIZACIÓN TEMPORAL DE SEGURIDAD</t>
  </si>
  <si>
    <t xml:space="preserve">1.3.1.4</t>
  </si>
  <si>
    <t xml:space="preserve">PROGRAMA DE CAPACITACIÓN EN SEGURIDAD Y SALUD</t>
  </si>
  <si>
    <t xml:space="preserve">1.3.1.5</t>
  </si>
  <si>
    <t xml:space="preserve">RECURSOS PARA RESPUESTA ANTE EMERGENCIAS</t>
  </si>
  <si>
    <t xml:space="preserve">1.3.1.6</t>
  </si>
  <si>
    <t xml:space="preserve">PROGRAMA DE PREVENCIÓN Y CONTROL</t>
  </si>
  <si>
    <t xml:space="preserve">1.3.1.7</t>
  </si>
  <si>
    <t xml:space="preserve">EXAMEN MÉDICO GENERAL</t>
  </si>
  <si>
    <t xml:space="preserve">PLAN DE MANEJO AMBIENTAL</t>
  </si>
  <si>
    <t xml:space="preserve">1.4.1</t>
  </si>
  <si>
    <t xml:space="preserve">PROGRAMA DE PREVENCIÓN Y MITIGACIÓN AMBIENTAL</t>
  </si>
  <si>
    <t xml:space="preserve">1.4.1.1</t>
  </si>
  <si>
    <t xml:space="preserve">PREVENCIÓN Y MITIGACIÓN DE IMPACTOS</t>
  </si>
  <si>
    <t xml:space="preserve">m3</t>
  </si>
  <si>
    <t xml:space="preserve">1.4.1.2</t>
  </si>
  <si>
    <t xml:space="preserve">IMPLEMENTACIÓN DE ÁREA DE SEÑALIZACIÓN</t>
  </si>
  <si>
    <t xml:space="preserve">1.4.2</t>
  </si>
  <si>
    <t xml:space="preserve">PROGRAMA DE EDUCACIÓN Y CAPACITACIÓN AMBIENTAL</t>
  </si>
  <si>
    <t xml:space="preserve">1.4.2.1</t>
  </si>
  <si>
    <t xml:space="preserve">CHARLAS DE SENSIBILIZACIÓN AMBIENTAL</t>
  </si>
  <si>
    <t xml:space="preserve">1.4.3</t>
  </si>
  <si>
    <t xml:space="preserve">PROGRAMA DE SEGUIMIENTO, CONTROL Y VIGILANCIA AMBIENTAL</t>
  </si>
  <si>
    <t xml:space="preserve">1.4.3.1</t>
  </si>
  <si>
    <t xml:space="preserve">MONITOREO DE CALIDAD AMBIENTAL</t>
  </si>
  <si>
    <t xml:space="preserve">pto</t>
  </si>
  <si>
    <t xml:space="preserve">1.4.4</t>
  </si>
  <si>
    <t xml:space="preserve">PROGRAMA DE MANEJO DE RESIDUOS SÓLIDOS</t>
  </si>
  <si>
    <t xml:space="preserve">1.4.4.1</t>
  </si>
  <si>
    <t xml:space="preserve">Manejo de residuos peligrosos</t>
  </si>
  <si>
    <t xml:space="preserve">1.4.4.1.1</t>
  </si>
  <si>
    <t xml:space="preserve">ADQUISICIÓN DE CONTENEDORES PARA RESIDUOS PELIGROSOS</t>
  </si>
  <si>
    <t xml:space="preserve">1.4.4.1.2</t>
  </si>
  <si>
    <t xml:space="preserve">RECOLECCIÓN DE RESIDUOS PELIGROSOS</t>
  </si>
  <si>
    <t xml:space="preserve">1.4.4.1.3</t>
  </si>
  <si>
    <t xml:space="preserve">ELIMINACIÓN Y TRANSPORTE DE RESIDUOS PELIGROSOS</t>
  </si>
  <si>
    <t xml:space="preserve">1.4.4.2</t>
  </si>
  <si>
    <t xml:space="preserve">Manejo de residuos no peligrosos</t>
  </si>
  <si>
    <t xml:space="preserve">1.4.4.2.1</t>
  </si>
  <si>
    <t xml:space="preserve">ACONDICIONAMIENTO</t>
  </si>
  <si>
    <t xml:space="preserve">1.4.4.2.2</t>
  </si>
  <si>
    <t xml:space="preserve">ADQUISICIÓN DE CONTENEDORES PARA RESIDUOS NO PELIGROSOS</t>
  </si>
  <si>
    <t xml:space="preserve">1.4.4.2.3</t>
  </si>
  <si>
    <t xml:space="preserve">RECOLECCIÓN DE RESIDUOS NO PELIGROSOS</t>
  </si>
  <si>
    <t xml:space="preserve">1.4.4.2.4</t>
  </si>
  <si>
    <t xml:space="preserve">DISPOSICIÓN FINAL DE RESIDUOS NO PELIGROSOS</t>
  </si>
  <si>
    <t xml:space="preserve">1.4.4.3</t>
  </si>
  <si>
    <t xml:space="preserve">Manejo de residuos valorizables</t>
  </si>
  <si>
    <t xml:space="preserve">1.4.4.3.1</t>
  </si>
  <si>
    <t xml:space="preserve">CLASIFICACIÓN DE RESIDUOS VALORIZABLES</t>
  </si>
  <si>
    <t xml:space="preserve">1.4.4.3.2</t>
  </si>
  <si>
    <t xml:space="preserve">DISPOSICIÓN FINAL</t>
  </si>
  <si>
    <t xml:space="preserve">1.4.5</t>
  </si>
  <si>
    <t xml:space="preserve">PROGRAMA DE CONTINGENCIA</t>
  </si>
  <si>
    <t xml:space="preserve">1.4.5.1</t>
  </si>
  <si>
    <t xml:space="preserve">CONTINGENCIA ANTE DERRAMES</t>
  </si>
  <si>
    <t xml:space="preserve">1.4.6</t>
  </si>
  <si>
    <t xml:space="preserve">PROGRAMA DE CIERRE Y ABANDONO</t>
  </si>
  <si>
    <t xml:space="preserve">1.4.6.1</t>
  </si>
  <si>
    <t xml:space="preserve">MANEJO DE RESIDUOS DE DESINSTALACIÓN</t>
  </si>
  <si>
    <t xml:space="preserve">1.4.6.2</t>
  </si>
  <si>
    <t xml:space="preserve">TRASLADO Y DISPOSICIÓN FINAL DE RESIDUOS</t>
  </si>
  <si>
    <t xml:space="preserve">1.4.6.3</t>
  </si>
  <si>
    <t xml:space="preserve">REHABILITACIÓN DE SUELOS AFECTADOS</t>
  </si>
  <si>
    <t xml:space="preserve">1.4.6.4</t>
  </si>
  <si>
    <t xml:space="preserve">NIVELACIÓN Y COMPACTACIÓN</t>
  </si>
  <si>
    <t xml:space="preserve">DEMOLICIONES</t>
  </si>
  <si>
    <t xml:space="preserve">1.5.1</t>
  </si>
  <si>
    <t xml:space="preserve">DESMONTAJE</t>
  </si>
  <si>
    <t xml:space="preserve">1.5.1.1</t>
  </si>
  <si>
    <t xml:space="preserve">DESMONTAJE DE TECHO DE TEJA ANDINA + ESTRUCTURA DE MADERA</t>
  </si>
  <si>
    <t xml:space="preserve">1.5.1.2</t>
  </si>
  <si>
    <t xml:space="preserve">DESMONTAJE DE TECHO DE CALAMINA + ESTRUCTURA DE MADERA</t>
  </si>
  <si>
    <t xml:space="preserve">1.5.1.3</t>
  </si>
  <si>
    <t xml:space="preserve">DESMONTAJE DE CIELORRASO EXISTENTE</t>
  </si>
  <si>
    <t xml:space="preserve">1.5.1.4</t>
  </si>
  <si>
    <t xml:space="preserve">DESMONTAJE DE PUERTAS METÁLICAS EXISTENTES</t>
  </si>
  <si>
    <t xml:space="preserve">1.5.1.5</t>
  </si>
  <si>
    <t xml:space="preserve">DESMONTAJE DE PUERTAS DE MADERA EXISTENTES</t>
  </si>
  <si>
    <t xml:space="preserve">1.5.1.6</t>
  </si>
  <si>
    <t xml:space="preserve">DESMONTAJE DE VENTANAS EXISTENTES</t>
  </si>
  <si>
    <t xml:space="preserve">1.5.1.7</t>
  </si>
  <si>
    <t xml:space="preserve">DESMONTAJE DE PISO DE MADERA</t>
  </si>
  <si>
    <t xml:space="preserve">1.5.2</t>
  </si>
  <si>
    <t xml:space="preserve">1.5.2.1</t>
  </si>
  <si>
    <t xml:space="preserve">DEMOLICIÓN MANUAL DE PISO DE CONCRETO</t>
  </si>
  <si>
    <t xml:space="preserve">1.5.2.2</t>
  </si>
  <si>
    <t xml:space="preserve">DEMOLICIÓN MANUAL DE MURO DE TAPIAL</t>
  </si>
  <si>
    <t xml:space="preserve">Partida </t>
  </si>
  <si>
    <t xml:space="preserve">Rendimiento m2/día</t>
  </si>
  <si>
    <t xml:space="preserve">m2/dia</t>
  </si>
  <si>
    <t xml:space="preserve">M.O</t>
  </si>
  <si>
    <t xml:space="preserve">EQ</t>
  </si>
  <si>
    <t xml:space="preserve">Costo unitario directo</t>
  </si>
  <si>
    <t xml:space="preserve">Código</t>
  </si>
  <si>
    <t xml:space="preserve">Descripción Recurso</t>
  </si>
  <si>
    <t xml:space="preserve">Cuadrilla</t>
  </si>
  <si>
    <t xml:space="preserve">Cantidad</t>
  </si>
  <si>
    <t xml:space="preserve">Precio (S/.)</t>
  </si>
  <si>
    <t xml:space="preserve">Parcial (S/.)</t>
  </si>
  <si>
    <t xml:space="preserve">Mano de Obra</t>
  </si>
  <si>
    <t xml:space="preserve">OPERARIO </t>
  </si>
  <si>
    <t xml:space="preserve">hh</t>
  </si>
  <si>
    <t xml:space="preserve">OFICIAL </t>
  </si>
  <si>
    <t xml:space="preserve">PEON </t>
  </si>
  <si>
    <t xml:space="preserve">Materiales</t>
  </si>
  <si>
    <t xml:space="preserve">ALAMBRE NEGRO RECOCIDO BWG N 16</t>
  </si>
  <si>
    <t xml:space="preserve">kg</t>
  </si>
  <si>
    <t xml:space="preserve">CALAMINA</t>
  </si>
  <si>
    <t xml:space="preserve">pln</t>
  </si>
  <si>
    <t xml:space="preserve">CERRADURA CLÁSICA ADOSADA BK 233</t>
  </si>
  <si>
    <t xml:space="preserve">CLAVOS PARA CALAMINA</t>
  </si>
  <si>
    <t xml:space="preserve">CLAVO C/CABEZA P/CONSTRUCCION D.PROMEDIO</t>
  </si>
  <si>
    <t xml:space="preserve">HORMIGON</t>
  </si>
  <si>
    <t xml:space="preserve">TRIPLAY ENCHAPE CEDRO 4' x 8' x 4mm</t>
  </si>
  <si>
    <t xml:space="preserve">VIDRIO CLARO 4MM</t>
  </si>
  <si>
    <t xml:space="preserve">p2</t>
  </si>
  <si>
    <t xml:space="preserve">CEMENTO PORTLAND TIPO I (42.5 kg) </t>
  </si>
  <si>
    <t xml:space="preserve">bls</t>
  </si>
  <si>
    <t xml:space="preserve">MADERA TORNILLO</t>
  </si>
  <si>
    <t xml:space="preserve">Equipos </t>
  </si>
  <si>
    <t xml:space="preserve">HERRAMIENTAS MANUALES</t>
  </si>
  <si>
    <t xml:space="preserve">%mo</t>
  </si>
  <si>
    <t xml:space="preserve">HORMIGON </t>
  </si>
  <si>
    <t xml:space="preserve">ESPEJO BISELADO 1.15x0.75M, e=4mm (INCL.INSTALACION)</t>
  </si>
  <si>
    <t xml:space="preserve">m/dia</t>
  </si>
  <si>
    <t xml:space="preserve">CERCO DE MALLA METALICA</t>
  </si>
  <si>
    <t xml:space="preserve">m </t>
  </si>
  <si>
    <t xml:space="preserve">CLAVOS CON CABEZA DE 3"</t>
  </si>
  <si>
    <t xml:space="preserve">Equipos</t>
  </si>
  <si>
    <t xml:space="preserve">INODORO</t>
  </si>
  <si>
    <t xml:space="preserve">TUBERIA PVC 4"</t>
  </si>
  <si>
    <t xml:space="preserve">CODO PVC 4"</t>
  </si>
  <si>
    <t xml:space="preserve">PEGAMENTO PVC</t>
  </si>
  <si>
    <t xml:space="preserve">LAVAMANOS</t>
  </si>
  <si>
    <t xml:space="preserve">GRIFERIA</t>
  </si>
  <si>
    <t xml:space="preserve">SIFÓN</t>
  </si>
  <si>
    <t xml:space="preserve">und/dia</t>
  </si>
  <si>
    <t xml:space="preserve">BANNER BASE PANAFLEX 3.60 x 2.40 m</t>
  </si>
  <si>
    <t xml:space="preserve">PERNO 1/4" x 7" CON TUERCA</t>
  </si>
  <si>
    <t xml:space="preserve">PIEDRA MEDIANA DE 4"</t>
  </si>
  <si>
    <t xml:space="preserve">ROLLIZO DE EUCALIPTO DE 3" x 3 m</t>
  </si>
  <si>
    <t xml:space="preserve">pza</t>
  </si>
  <si>
    <t xml:space="preserve">glb/dia</t>
  </si>
  <si>
    <t xml:space="preserve">mes/dia</t>
  </si>
  <si>
    <t xml:space="preserve">Partida</t>
  </si>
  <si>
    <t xml:space="preserve">LIMPIEZA DE TERRENO MANUAL</t>
  </si>
  <si>
    <t xml:space="preserve">ELIMINACION DE OBSTRUCCIONES </t>
  </si>
  <si>
    <t xml:space="preserve">CAMION VOLQUETE DE 15 M3</t>
  </si>
  <si>
    <t xml:space="preserve">hm</t>
  </si>
  <si>
    <t xml:space="preserve">PINTURA ESMALTE </t>
  </si>
  <si>
    <t xml:space="preserve"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</si>
  <si>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</si>
  <si>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</si>
  <si>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</si>
  <si>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</si>
  <si>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</si>
  <si>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 xml:space="preserve">EQUIPOS DE PROTECCION INDIVIDUAL</t>
  </si>
  <si>
    <t xml:space="preserve">gbl/dia</t>
  </si>
  <si>
    <t xml:space="preserve">gbl</t>
  </si>
  <si>
    <t xml:space="preserve">ARNES DE 3 PUNTOS CON AMORTIGUADOR TRABAJOS DE ALTURA</t>
  </si>
  <si>
    <t xml:space="preserve">BOTAS DE JEBE CON PUNTA DE ACERO</t>
  </si>
  <si>
    <t xml:space="preserve">par</t>
  </si>
  <si>
    <t xml:space="preserve">CASCO CONTRAIMPACTO CON BARBIQUEJO NORMADO</t>
  </si>
  <si>
    <t xml:space="preserve">CHALECO REFLECTIVO</t>
  </si>
  <si>
    <t xml:space="preserve">CORTAVIENTO TELA DRILL CON FORRO POLAR</t>
  </si>
  <si>
    <t xml:space="preserve">GUANTES DE CUERO</t>
  </si>
  <si>
    <t xml:space="preserve">GUANTES DE JEBE NORMADO</t>
  </si>
  <si>
    <t xml:space="preserve">GUANTES DE LONA</t>
  </si>
  <si>
    <t xml:space="preserve">GUANTES DIELÉCTRICOS CLASE 1 HASTA 10KV</t>
  </si>
  <si>
    <t xml:space="preserve">JUEGO DE CUERO PARA SOLDAR (MANDIL, MANGAS, POLAINAS)</t>
  </si>
  <si>
    <t xml:space="preserve">LENTES DE SEGURIDAD CLARO DE POLICARBONATO</t>
  </si>
  <si>
    <t xml:space="preserve">MÁSCARA DE SOLDAR</t>
  </si>
  <si>
    <t xml:space="preserve">MASCARILLA FFP1</t>
  </si>
  <si>
    <t xml:space="preserve">cja</t>
  </si>
  <si>
    <t xml:space="preserve">OREJERAS ADITIVAS PARA CASCO</t>
  </si>
  <si>
    <t xml:space="preserve">PONCHO IMPERMEABLE DE PVC</t>
  </si>
  <si>
    <t xml:space="preserve">RESPIRADOR MEDIA CARA CON CARTUCHO</t>
  </si>
  <si>
    <t xml:space="preserve">TAPONES AUDITIVOS CON CORDÓN</t>
  </si>
  <si>
    <t xml:space="preserve">TRAJE DESCARTABLE BIODEGRADABLE</t>
  </si>
  <si>
    <t xml:space="preserve">UNIFORME DE TRABAJO (PANTALÓN Y CAMISA)</t>
  </si>
  <si>
    <t xml:space="preserve">ZAPATOS DE SEGURIDAD</t>
  </si>
  <si>
    <t xml:space="preserve">EQUIPOS DE PROTECCION COLECTIVA</t>
  </si>
  <si>
    <t xml:space="preserve">CINTA DE SEGURIDAD (AMARILLO/ROJO)</t>
  </si>
  <si>
    <t xml:space="preserve">rll</t>
  </si>
  <si>
    <t xml:space="preserve">CONOS DE SEGURIDAD 36"</t>
  </si>
  <si>
    <t xml:space="preserve">LISTONES DE 3”X2” MADERA TORNILLO</t>
  </si>
  <si>
    <t xml:space="preserve">MALLA HDPE PARA CERCO PERIMETRAL</t>
  </si>
  <si>
    <t xml:space="preserve">PROTECTOR DE ACERO (CAPUCHONES)</t>
  </si>
  <si>
    <t xml:space="preserve">ROLLO DE SOGA DRIZA DE 5/8”</t>
  </si>
  <si>
    <t xml:space="preserve">CARTEL GENERAL INDICATIVO DE ADVERTENCIA</t>
  </si>
  <si>
    <t xml:space="preserve">CARTEL GENERAL INDICATIVO DE PROHIBICIÓN</t>
  </si>
  <si>
    <t xml:space="preserve">CARTEL GENERAL INDICATIVO DE RIESGO</t>
  </si>
  <si>
    <t xml:space="preserve">CARTEL SEÑALIZADOR DE SEGURIDAD AL INGRESO</t>
  </si>
  <si>
    <t xml:space="preserve">CARTELES DE EVACUACIÓN DE SALIDA 40X30</t>
  </si>
  <si>
    <t xml:space="preserve">CARTELES DE SEÑALIZACIÓN DE SEGURIDAD EN OBRA</t>
  </si>
  <si>
    <t xml:space="preserve">POSTE PARA SEÑALIZACIÓN DE MADERA Y CONCRETO</t>
  </si>
  <si>
    <t xml:space="preserve">SEÑAL PROVISIONAL DE OBRA (LETREROS)</t>
  </si>
  <si>
    <t xml:space="preserve">CAPACITACIÓN EN SEGURIDAD Y SALUD 1 VEX POR MES</t>
  </si>
  <si>
    <t xml:space="preserve">MATERIAL INFORMATIVO DE CAPACITACIÓN</t>
  </si>
  <si>
    <t xml:space="preserve">REFRIGERIO</t>
  </si>
  <si>
    <t xml:space="preserve">RECURSOS PARA RESPUESTAS ANTE EMERGENCIAS</t>
  </si>
  <si>
    <t xml:space="preserve">ALARMA CON PULSADOR</t>
  </si>
  <si>
    <t xml:space="preserve">BOTIQUÍN COMPLETO SEGÚN LA NORMA G 050</t>
  </si>
  <si>
    <t xml:space="preserve">CAMILLA RÍGIDA COLOR NARANJA CON CINTOS</t>
  </si>
  <si>
    <t xml:space="preserve">COLLARÍN CERVICAL</t>
  </si>
  <si>
    <t xml:space="preserve">EXTINTOR DE POLVO QUÍMICO SECO (PQS) DE 6 KG</t>
  </si>
  <si>
    <t xml:space="preserve">LAVA OJO</t>
  </si>
  <si>
    <t xml:space="preserve">PROGRAMA DE PREVENCION Y CONTROL</t>
  </si>
  <si>
    <t xml:space="preserve">AGUA DE MESA PARA CONSUMO HUMANO: CONTROL AGENTE FÍSICO</t>
  </si>
  <si>
    <t xml:space="preserve">PROTECTOR SOLAR CON PROTECTOR UV Y UVB 1 LITRO</t>
  </si>
  <si>
    <t xml:space="preserve">EXAMEN MÉDICO OCUPACIONAL: PREVENCIÓN ESTADO SALUD TRABAJADOR</t>
  </si>
  <si>
    <t xml:space="preserve">PREVENCION Y MITIGACION DE IMPACTOS</t>
  </si>
  <si>
    <t xml:space="preserve">CAMION CISTERNA 2000 GAL</t>
  </si>
  <si>
    <t xml:space="preserve">MOTOBOMBA 10HP 4"</t>
  </si>
  <si>
    <t xml:space="preserve">IMPLEMENTACIÓN DE ÁREA DE LA SEÑALIZACIÓN AMBIENTAL</t>
  </si>
  <si>
    <t xml:space="preserve">OPERARIO</t>
  </si>
  <si>
    <t xml:space="preserve">CINTA DE MADERA DE 2”X2” (3.00)</t>
  </si>
  <si>
    <t xml:space="preserve">SEÑALIZACIÓN AMBIENTAL</t>
  </si>
  <si>
    <t xml:space="preserve">CHARLAS DE SENSIBILIZACIÓN PARA LOS TRABAJADORES</t>
  </si>
  <si>
    <t xml:space="preserve">FICHA DE CONTROL</t>
  </si>
  <si>
    <t xml:space="preserve">MATERIAL DIDÁCTICO PARA CHARLAS Y TALLERES</t>
  </si>
  <si>
    <t xml:space="preserve">PANEL INFORMATIVO (1.20MX0.80M) INCLUYE MARCO</t>
  </si>
  <si>
    <t xml:space="preserve">MONITOREO DE CALIDAD AMBIENTAL </t>
  </si>
  <si>
    <t xml:space="preserve">pto/dia</t>
  </si>
  <si>
    <t xml:space="preserve">SERVICIO DE MONITOREO DE CALIDAD AMBIENTAL DE RUIDO</t>
  </si>
  <si>
    <t xml:space="preserve">CONTENEDOR DE RESIDUOS SOLIDOS DE 200 LTS</t>
  </si>
  <si>
    <t xml:space="preserve">m3/dia</t>
  </si>
  <si>
    <t xml:space="preserve">ALCOHOL EN GELX300 ML </t>
  </si>
  <si>
    <t xml:space="preserve">BOLSAS DE POLIETILENO (ROJO, NEGRO) </t>
  </si>
  <si>
    <t xml:space="preserve"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</si>
  <si>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</si>
  <si>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</si>
  <si>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</si>
  <si>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</si>
  <si>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 xml:space="preserve">SERVICIO DE ELIMINACIÓN Y TRANSPORTE DE RESIDUOS PELIGROSOS</t>
  </si>
  <si>
    <t xml:space="preserve">est</t>
  </si>
  <si>
    <t xml:space="preserve">ACONDICIONAMIENTO </t>
  </si>
  <si>
    <t xml:space="preserve">CALAMINA GALV. 11 CANALES 0.83x1.83 (N°30)</t>
  </si>
  <si>
    <t xml:space="preserve">m³</t>
  </si>
  <si>
    <t xml:space="preserve">CEMENTO PORTLAND TIPO IP (42.5 kg)</t>
  </si>
  <si>
    <t xml:space="preserve">bol</t>
  </si>
  <si>
    <t xml:space="preserve">MADERA AGUANO</t>
  </si>
  <si>
    <t xml:space="preserve">P2</t>
  </si>
  <si>
    <t xml:space="preserve">BOLSAS NEGRAS DE BASURA</t>
  </si>
  <si>
    <t xml:space="preserve">ESCOBA CON MANGO PVC</t>
  </si>
  <si>
    <t xml:space="preserve">RECOGEDOR</t>
  </si>
  <si>
    <t xml:space="preserve">OPERARIO DE EQUIPO PESADO</t>
  </si>
  <si>
    <t xml:space="preserve">PETRÓLEO D-2</t>
  </si>
  <si>
    <t xml:space="preserve">gal</t>
  </si>
  <si>
    <t xml:space="preserve">CAMIÓN VOLQUETE DE 15 M3</t>
  </si>
  <si>
    <t xml:space="preserve">SACOS DE POLIPROPILENO 50 KG</t>
  </si>
  <si>
    <t xml:space="preserve">BOLSAS HERMÉTICAS</t>
  </si>
  <si>
    <t xml:space="preserve">KIT ANTE DERRAME</t>
  </si>
  <si>
    <t xml:space="preserve">PAÑOS ABSORBENTES PARA HIDROCARBUROS</t>
  </si>
  <si>
    <t xml:space="preserve">ROLLO DE PLÁSTICO DE 1.0 mm x 2 mm</t>
  </si>
  <si>
    <t xml:space="preserve">RETROEXCAVADOR SOBRE LLANTAS 80-110HP 0.5-1.3 YD³</t>
  </si>
  <si>
    <t xml:space="preserve">CARGADOR FRONTAL S/LLANTAS DE 125-155 HP 3 YD³</t>
  </si>
  <si>
    <t xml:space="preserve">ABONO ORGÁNICO</t>
  </si>
  <si>
    <t xml:space="preserve">SEMILLAS DE PLANTAS ORNAMENTALES</t>
  </si>
  <si>
    <t xml:space="preserve">NIVELACION Y COMPACTACION </t>
  </si>
  <si>
    <t xml:space="preserve">OPERARIO  </t>
  </si>
  <si>
    <t xml:space="preserve">GASOHOL</t>
  </si>
  <si>
    <t xml:space="preserve">COMPACTADOR VIBRATORIO TIPO PLANCHA 4 HP</t>
  </si>
  <si>
    <t xml:space="preserve">Parcial </t>
  </si>
  <si>
    <t xml:space="preserve">Total </t>
  </si>
  <si>
    <t xml:space="preserve">ESTRUCTURA</t>
  </si>
  <si>
    <t xml:space="preserve">MOVIMIENTO DE TIERRAS</t>
  </si>
  <si>
    <t xml:space="preserve">02.01.01</t>
  </si>
  <si>
    <t xml:space="preserve">EXCAVACIÓN LOCALIZADA CON MAQUINARIA</t>
  </si>
  <si>
    <t xml:space="preserve">02.01.02</t>
  </si>
  <si>
    <t xml:space="preserve">EXCAVACIÓN MANUAL</t>
  </si>
  <si>
    <t xml:space="preserve">02.01.03</t>
  </si>
  <si>
    <t xml:space="preserve">RELLENO COMPACTADO C/PLANCHA COMPACTADORA C/MATERIAL DE PRÉSTAMO</t>
  </si>
  <si>
    <t xml:space="preserve">02.01.04</t>
  </si>
  <si>
    <t xml:space="preserve">RELLENO COMPACTADO C/PLANCHA COMPACTADORA C/MATERIAL PROPIO</t>
  </si>
  <si>
    <t xml:space="preserve">02.01.05</t>
  </si>
  <si>
    <t xml:space="preserve">FORMACION Y COMPACTACION DE SUBRASANTE</t>
  </si>
  <si>
    <t xml:space="preserve">02.01.06</t>
  </si>
  <si>
    <t xml:space="preserve">ACARREO DE MATERIAL EXCEDENTE</t>
  </si>
  <si>
    <t xml:space="preserve">02.01.07</t>
  </si>
  <si>
    <t xml:space="preserve">ELIMINACIÓN DE MATERIAL EXCEDENTE HASTA D=10 KM</t>
  </si>
  <si>
    <t xml:space="preserve">02.01.08</t>
  </si>
  <si>
    <t xml:space="preserve">COMPACTACION DE SUBRASANTE LOSA DEPORTIVA</t>
  </si>
  <si>
    <t xml:space="preserve">02.01.09</t>
  </si>
  <si>
    <t xml:space="preserve">AFIRMADO DE e=0.30m PARA LOSA DEPORTIVA</t>
  </si>
  <si>
    <t xml:space="preserve">CONCRETO SIMPLE</t>
  </si>
  <si>
    <t xml:space="preserve">02.02.01</t>
  </si>
  <si>
    <t xml:space="preserve">CONCRETO CICLOPEO -PLATEA DE CIMENTACION </t>
  </si>
  <si>
    <t xml:space="preserve">02.02.01.01</t>
  </si>
  <si>
    <t xml:space="preserve">CONCRETO CICLOPEO F’C=100 KG/CM² + PIEDRA GRANDE DE 8" E=0.80 M</t>
  </si>
  <si>
    <t xml:space="preserve">02.02.02</t>
  </si>
  <si>
    <t xml:space="preserve">FALSA ZAPATA  </t>
  </si>
  <si>
    <t xml:space="preserve">02.02.02.01</t>
  </si>
  <si>
    <t xml:space="preserve">FALSA ZAPATA F’C=100 KG/CM² + PIEDRA GRANDE DE 8" E=0.80 M</t>
  </si>
  <si>
    <t xml:space="preserve">02.02.03</t>
  </si>
  <si>
    <t xml:space="preserve">FALSO PISO  </t>
  </si>
  <si>
    <t xml:space="preserve">02.02.03.01</t>
  </si>
  <si>
    <t xml:space="preserve">FALSO PISO E = 4" FC = 175 KG/CM2</t>
  </si>
  <si>
    <t xml:space="preserve">02.02.04</t>
  </si>
  <si>
    <t xml:space="preserve">SOLADOS</t>
  </si>
  <si>
    <t xml:space="preserve">02.02.04.01</t>
  </si>
  <si>
    <t xml:space="preserve">SOLADO PARA VIGA DE CIMENTACIÓN FC=100 KG/CM2 E=4"</t>
  </si>
  <si>
    <t xml:space="preserve">CONCRETO ARMADO</t>
  </si>
  <si>
    <t xml:space="preserve">02.03.01</t>
  </si>
  <si>
    <t xml:space="preserve">ZAPATAS</t>
  </si>
  <si>
    <t xml:space="preserve">02.03.01.01</t>
  </si>
  <si>
    <t xml:space="preserve">ZAPATAS.- CONCRETO f'c=210 Kg/cm2</t>
  </si>
  <si>
    <t xml:space="preserve">02.03.01.02</t>
  </si>
  <si>
    <t xml:space="preserve">ZAPATAS.- ACERO DE REFUERZO fy=4,200 Kg/cm2</t>
  </si>
  <si>
    <t xml:space="preserve">02.03.02</t>
  </si>
  <si>
    <t xml:space="preserve">PLATEA DE CIMENTACION</t>
  </si>
  <si>
    <t xml:space="preserve">02.03.02.01</t>
  </si>
  <si>
    <t xml:space="preserve">PLATEA DE CIMENTACION. – CONCRETO f'c=210</t>
  </si>
  <si>
    <t xml:space="preserve">02.03.02.02</t>
  </si>
  <si>
    <t xml:space="preserve">PLATEA DE CIMENTACION. – ENCOFRADO Y DESENCOFRADO</t>
  </si>
  <si>
    <t xml:space="preserve">02.03.02.03</t>
  </si>
  <si>
    <t xml:space="preserve">PLATEA DE CIMENTACION.- ACERO DE REFUERZO fy=4,200 Kg/cm2</t>
  </si>
  <si>
    <t xml:space="preserve">02.03.03</t>
  </si>
  <si>
    <t xml:space="preserve">SOBRECIMIENTOS ARMADO</t>
  </si>
  <si>
    <t xml:space="preserve">02.03.03.01</t>
  </si>
  <si>
    <t xml:space="preserve">SOBRECIMIENTO REFORZADO.- CONCRETO 210 KG/CM2</t>
  </si>
  <si>
    <t xml:space="preserve">02.03.03.02</t>
  </si>
  <si>
    <t xml:space="preserve">SOBRECIMIENTOS REFORZADOS.- ENCOFRADO Y DESENCOFRADO</t>
  </si>
  <si>
    <t xml:space="preserve">02.03.03.03</t>
  </si>
  <si>
    <t xml:space="preserve">SOBRECIMIENTO ARMADO.- ACERO DE REFUERZO fy=4,200 Kg/cm2</t>
  </si>
  <si>
    <t xml:space="preserve">02.03.04</t>
  </si>
  <si>
    <t xml:space="preserve">VIGAS DE CIMENTACIÓN</t>
  </si>
  <si>
    <t xml:space="preserve">02.03.04.01</t>
  </si>
  <si>
    <t xml:space="preserve">VIGAS DE CIMENTACIÓN.- CONCRETO 210 KG/CM2</t>
  </si>
  <si>
    <t xml:space="preserve">02.03.04.02</t>
  </si>
  <si>
    <t xml:space="preserve">VIGAS DE CIMENTACIÓN.- ENCOFRADO Y DESENCOFRADO</t>
  </si>
  <si>
    <t xml:space="preserve">02.03.04.03</t>
  </si>
  <si>
    <t xml:space="preserve">VIGAS DE CIMENTACIÓN.- ACERO DE REFUERZO fy=4,200 Kg/cm2</t>
  </si>
  <si>
    <t xml:space="preserve">02.03.05</t>
  </si>
  <si>
    <t xml:space="preserve">COLUMNAS</t>
  </si>
  <si>
    <t xml:space="preserve">02.03.05.01</t>
  </si>
  <si>
    <t xml:space="preserve">COLUMNAS-CONCRETO fc=210kg/cm2</t>
  </si>
  <si>
    <t xml:space="preserve">02.03.05.02</t>
  </si>
  <si>
    <t xml:space="preserve">COLUMNAS.- ENCOFRADO Y DESENCOFRADO</t>
  </si>
  <si>
    <t xml:space="preserve">02.03.05.03</t>
  </si>
  <si>
    <t xml:space="preserve">COLUMNAS.- ACERO DE REFUERZO fy=4,200 Kg/cm2</t>
  </si>
  <si>
    <t xml:space="preserve">02.03.06</t>
  </si>
  <si>
    <t xml:space="preserve">COLUMNETAS DE CONFINAMIENTO</t>
  </si>
  <si>
    <t xml:space="preserve">02.03.06.01</t>
  </si>
  <si>
    <t xml:space="preserve">COLUMNETAS DE CONFINAMIENTO-CONCRETO fc=210kg/cm2</t>
  </si>
  <si>
    <t xml:space="preserve">02.03.06.02</t>
  </si>
  <si>
    <t xml:space="preserve">COLUMNETAS DE CONFINAMIENTO.- ENCOFRADO Y DESENCOFRADO</t>
  </si>
  <si>
    <t xml:space="preserve">02.03.06.03</t>
  </si>
  <si>
    <t xml:space="preserve">COLUMNETAS DE CONFINAMIENTO.- ACERO DE REFUERZO fy=4,200 Kg/cm2</t>
  </si>
  <si>
    <t xml:space="preserve">02.03.07</t>
  </si>
  <si>
    <t xml:space="preserve">VIGAS</t>
  </si>
  <si>
    <t xml:space="preserve">02.03.07.01</t>
  </si>
  <si>
    <t xml:space="preserve">VIGAS.- CONCRETO fc=210kg/cm2</t>
  </si>
  <si>
    <t xml:space="preserve">02.03.07.02</t>
  </si>
  <si>
    <t xml:space="preserve">VIGAS.- ENCOFRADO Y DESENCOFRADO</t>
  </si>
  <si>
    <t xml:space="preserve">02.03.07.03</t>
  </si>
  <si>
    <t xml:space="preserve">VIGAS.- ACERO fy=4200 kg/cm²</t>
  </si>
  <si>
    <t xml:space="preserve">02.03.08</t>
  </si>
  <si>
    <t xml:space="preserve">VIGUETAS DE CONFINAMIENTO </t>
  </si>
  <si>
    <t xml:space="preserve">02.03.08.01</t>
  </si>
  <si>
    <t xml:space="preserve">VIGUETAS DE CONFINAMIENTO.- CONCRETO fc=210kg/cm2</t>
  </si>
  <si>
    <t xml:space="preserve">02.03.08.02</t>
  </si>
  <si>
    <t xml:space="preserve">VIGUETAS DE CONFINAMIENTO.- ENCOFRADO Y DESENCOFRADO</t>
  </si>
  <si>
    <t xml:space="preserve">02.03.08.03</t>
  </si>
  <si>
    <t xml:space="preserve">VIGUETAS DE CONFINAMIENTO.- ACERO fy=4200 kg/cm²</t>
  </si>
  <si>
    <t xml:space="preserve">02.03.09</t>
  </si>
  <si>
    <t xml:space="preserve">LOSA ALIGERADA </t>
  </si>
  <si>
    <t xml:space="preserve">02.03.09.01</t>
  </si>
  <si>
    <t xml:space="preserve">LOSA ALIGERADA - CONCRETO f'c=210 kg/cm²</t>
  </si>
  <si>
    <t xml:space="preserve">02.03.09.02</t>
  </si>
  <si>
    <t xml:space="preserve">LOSA ALIGERADA.- ENCOFRADO Y DESENCOFRADO</t>
  </si>
  <si>
    <t xml:space="preserve">02.03.09.03</t>
  </si>
  <si>
    <t xml:space="preserve">LOSA ALIGERADA.- ACERO DE REFUERZO fy=4,200 kg/cm²</t>
  </si>
  <si>
    <t xml:space="preserve">02.03.09.04</t>
  </si>
  <si>
    <t xml:space="preserve">LOSA ALIGERADA.- LADRILLO HUECO 30×30×15 cm</t>
  </si>
  <si>
    <t xml:space="preserve">und </t>
  </si>
  <si>
    <t xml:space="preserve">02.03.10</t>
  </si>
  <si>
    <t xml:space="preserve">LOSA MACIZA</t>
  </si>
  <si>
    <t xml:space="preserve">02.03.10.01</t>
  </si>
  <si>
    <t xml:space="preserve">LOSA MACIZA CONCRETO f'c= 210 kg/cm²</t>
  </si>
  <si>
    <t xml:space="preserve">02.03.10.02</t>
  </si>
  <si>
    <t xml:space="preserve">LOSA MACIZA ENCOFRADO Y DESENCOFRADO</t>
  </si>
  <si>
    <t xml:space="preserve">02.03.10.03</t>
  </si>
  <si>
    <t xml:space="preserve">LOSA MACIZA ACERO fy=4200 kg/cm²</t>
  </si>
  <si>
    <t xml:space="preserve">02.03.11</t>
  </si>
  <si>
    <t xml:space="preserve">PLACAS</t>
  </si>
  <si>
    <t xml:space="preserve">02.03.11.01</t>
  </si>
  <si>
    <t xml:space="preserve">PLACAS-CONCRETO fc=210kg/cm2</t>
  </si>
  <si>
    <t xml:space="preserve">02.03.11.02</t>
  </si>
  <si>
    <t xml:space="preserve">PLACAS.- ENCOFRADO Y DESENCOFRADO</t>
  </si>
  <si>
    <t xml:space="preserve">02.03.11.03</t>
  </si>
  <si>
    <t xml:space="preserve">PLACAS.- ACERO DE REFUERZO fy=4,200 Kg/cm2</t>
  </si>
  <si>
    <t xml:space="preserve">02.03.12</t>
  </si>
  <si>
    <t xml:space="preserve">ESCALERA </t>
  </si>
  <si>
    <t xml:space="preserve">02.03.12.01</t>
  </si>
  <si>
    <t xml:space="preserve">CONCRETO F'C=210 KG/CM² EN ESCALERA</t>
  </si>
  <si>
    <t xml:space="preserve">02.03.12.02</t>
  </si>
  <si>
    <t xml:space="preserve">ENCOFRADO Y DESENCOFRADO ESCALERA</t>
  </si>
  <si>
    <t xml:space="preserve">02.03.12.03</t>
  </si>
  <si>
    <t xml:space="preserve">ACERO FY=4200 KG/CM² EN ESCALERA</t>
  </si>
  <si>
    <t xml:space="preserve">OBRAS EXTERIORES</t>
  </si>
  <si>
    <t xml:space="preserve">02.04.01</t>
  </si>
  <si>
    <t xml:space="preserve">02.04.01.01</t>
  </si>
  <si>
    <t xml:space="preserve">CONCRETO EN LOSA DEPORTIVA F'C= 210 KG/CM2</t>
  </si>
  <si>
    <t xml:space="preserve">02.04.01.02</t>
  </si>
  <si>
    <t xml:space="preserve">CONCRETO DE UÑAS = 210KG/CM2</t>
  </si>
  <si>
    <t xml:space="preserve">02.04.01.03</t>
  </si>
  <si>
    <t xml:space="preserve">ENCOFRADO Y DESENCOFRADO NORMAL EN LOSA</t>
  </si>
  <si>
    <t xml:space="preserve">02.04.01.04</t>
  </si>
  <si>
    <t xml:space="preserve">DADOS DE CONCRETO PARA SOPORTE, f'c=210 kg/cm2</t>
  </si>
  <si>
    <t xml:space="preserve">02.04.01.05</t>
  </si>
  <si>
    <t xml:space="preserve">CURADO DE LOSA</t>
  </si>
  <si>
    <t xml:space="preserve">02.04.01.06</t>
  </si>
  <si>
    <t xml:space="preserve">JUNTAS DE DILATACION E= 1" , H=0.10</t>
  </si>
  <si>
    <t xml:space="preserve">02.04.01.07</t>
  </si>
  <si>
    <t xml:space="preserve">JUNTAS DILATACION E= 1", H= 0.05</t>
  </si>
  <si>
    <t xml:space="preserve">02.04.01.08</t>
  </si>
  <si>
    <t xml:space="preserve">ESTRUCTURA METALICA P/PARANTES DE REFLECTORES</t>
  </si>
  <si>
    <t xml:space="preserve">02.04.02</t>
  </si>
  <si>
    <t xml:space="preserve">02.04.02.01</t>
  </si>
  <si>
    <t xml:space="preserve">CONCRETO EN PATIO DE INICIAL F'C= 210 KG/CM2</t>
  </si>
  <si>
    <t xml:space="preserve">02.04.02.02</t>
  </si>
  <si>
    <t xml:space="preserve">02.04.02.03</t>
  </si>
  <si>
    <t xml:space="preserve">02.04.02.04</t>
  </si>
  <si>
    <t xml:space="preserve">02.04.02.05</t>
  </si>
  <si>
    <t xml:space="preserve">02.04.02.06</t>
  </si>
  <si>
    <t xml:space="preserve">02.04.02.07</t>
  </si>
  <si>
    <t xml:space="preserve">02.04.02.08</t>
  </si>
  <si>
    <t xml:space="preserve">02.04.03</t>
  </si>
  <si>
    <t xml:space="preserve">02.04.03.01</t>
  </si>
  <si>
    <t xml:space="preserve">CONCRETO EN VEREDAS F'C= 175 KG/CM2</t>
  </si>
  <si>
    <t xml:space="preserve">02.04.03.02</t>
  </si>
  <si>
    <t xml:space="preserve">CONCRETO DE UÑAS = 175KG/CM2</t>
  </si>
  <si>
    <t xml:space="preserve">02.04.03.03</t>
  </si>
  <si>
    <t xml:space="preserve">02.04.03.04</t>
  </si>
  <si>
    <t xml:space="preserve">02.04.03.05</t>
  </si>
  <si>
    <t xml:space="preserve">02.04.03.06</t>
  </si>
  <si>
    <t xml:space="preserve">02.04.04</t>
  </si>
  <si>
    <t xml:space="preserve">02.04.04.01</t>
  </si>
  <si>
    <t xml:space="preserve">PAVIMENTO VEHICULAR - ENCOFRADO Y DESENCOFRADO</t>
  </si>
  <si>
    <t xml:space="preserve">02.04.04.02</t>
  </si>
  <si>
    <t xml:space="preserve">DOWELLS</t>
  </si>
  <si>
    <t xml:space="preserve">02.04.04.03</t>
  </si>
  <si>
    <t xml:space="preserve">02.04.04.04</t>
  </si>
  <si>
    <t xml:space="preserve">PAVIMENTO VEHICULAR - CONCRETO F'C=210 kg/cm2 </t>
  </si>
  <si>
    <t xml:space="preserve">02.04.04.05</t>
  </si>
  <si>
    <t xml:space="preserve">02.04.05</t>
  </si>
  <si>
    <t xml:space="preserve">02.04.05.01</t>
  </si>
  <si>
    <t xml:space="preserve">02.04.06</t>
  </si>
  <si>
    <t xml:space="preserve">CERCO PERIMETRICO </t>
  </si>
  <si>
    <t xml:space="preserve">02.04.06.01</t>
  </si>
  <si>
    <t xml:space="preserve">MURO DE CONTENCION PARA CERCO PERIMETRICO</t>
  </si>
  <si>
    <t xml:space="preserve">02.04.06.02</t>
  </si>
  <si>
    <t xml:space="preserve">COLUMNAS PARA CERCO PERIMETRICO </t>
  </si>
  <si>
    <t xml:space="preserve">02.04.06.03</t>
  </si>
  <si>
    <t xml:space="preserve">VIGAS PARA CERCO PERIMETRICO</t>
  </si>
  <si>
    <t xml:space="preserve">02.04.06.04</t>
  </si>
  <si>
    <t xml:space="preserve">JUNTAS DE DILATACION H=0.10</t>
  </si>
  <si>
    <t xml:space="preserve">02.04.07</t>
  </si>
  <si>
    <t xml:space="preserve">02.04.07.01</t>
  </si>
  <si>
    <t xml:space="preserve">CAPATAZ</t>
  </si>
  <si>
    <t xml:space="preserve">RETROEXCAVADORA SOBRE LLANTAS 58 HP 1YD3</t>
  </si>
  <si>
    <t xml:space="preserve">OPERADOR EQUIPO LIVIANO</t>
  </si>
  <si>
    <t xml:space="preserve">Materiales </t>
  </si>
  <si>
    <t xml:space="preserve">MATERIAL GRANULAR</t>
  </si>
  <si>
    <t xml:space="preserve">AGUA </t>
  </si>
  <si>
    <t xml:space="preserve">APISONADOR TIPO CANGURO</t>
  </si>
  <si>
    <t xml:space="preserve">CAMION CISTERNA (1,500 GLNS.)</t>
  </si>
  <si>
    <t xml:space="preserve">RODILLO LISO VIBRATORIO AUTOPROPULSADO 7- 9  ton</t>
  </si>
  <si>
    <t xml:space="preserve">MOTONIVELADORA 125 HP</t>
  </si>
  <si>
    <t xml:space="preserve">MINICARGADOR DE 73 HP</t>
  </si>
  <si>
    <t xml:space="preserve">CAMION VOLQUETE 4X4 414 HP 15 m3</t>
  </si>
  <si>
    <t xml:space="preserve">CARGADOR SOBRE LLANTAS 100-115 HP 2-2.25 yd3</t>
  </si>
  <si>
    <t xml:space="preserve">AGUA</t>
  </si>
  <si>
    <t xml:space="preserve">GASOLINA DE 84 OCTANOS </t>
  </si>
  <si>
    <t xml:space="preserve">PIEDRA GRANDE DE 8"</t>
  </si>
  <si>
    <t xml:space="preserve">MEZCLADORA DE CONCRETO TAMBOR 11 p3 18 HP</t>
  </si>
  <si>
    <t xml:space="preserve">FALSO PISO MEZCLA 1:8 e=10 cm.</t>
  </si>
  <si>
    <t xml:space="preserve">MADERA TORNILLO </t>
  </si>
  <si>
    <t xml:space="preserve">SOLADO PARA CIMENTACION</t>
  </si>
  <si>
    <t xml:space="preserve"> </t>
  </si>
  <si>
    <t xml:space="preserve">PIEDRA CHANCADA DE 1/2" Y 3/4"</t>
  </si>
  <si>
    <t xml:space="preserve">ARENA GRUESA </t>
  </si>
  <si>
    <t xml:space="preserve">ADITIVO IMPERMEABILIZANTE </t>
  </si>
  <si>
    <t xml:space="preserve">VIBRADOR A GASOLINA Y 1 3/4" , 4 HP</t>
  </si>
  <si>
    <t xml:space="preserve">kg/dia</t>
  </si>
  <si>
    <t xml:space="preserve">OFICIAL</t>
  </si>
  <si>
    <t xml:space="preserve">ACERO CORRUGADO F'Y 4200 (G-60) PRECIO PROMEDIO</t>
  </si>
  <si>
    <t xml:space="preserve">CIZALLA PARA CORTE DE FIERRO</t>
  </si>
  <si>
    <t xml:space="preserve">PLATEA DE CIMENTACION.- CONCRETO f'c=210 Kg/cm2</t>
  </si>
  <si>
    <t xml:space="preserve">PLATEA DE CIMENTACION.- ENCOFRADO Y DESENCOFRADO</t>
  </si>
  <si>
    <t xml:space="preserve">ALAMBRE NEGRO RECOCIDO BWG N 8</t>
  </si>
  <si>
    <t xml:space="preserve">SOBRECIMIENTOS REFORZADOS.- ACERO DE REFUERZO fy=4,200 Kg/cm2</t>
  </si>
  <si>
    <t xml:space="preserve">VIGAS DE CIMENTACION .- CONCRETO f'c=210 Kg/cm2</t>
  </si>
  <si>
    <t xml:space="preserve">VIGAS DE CIMENTACION .- ENCOFRADO Y DESENCOFRADO</t>
  </si>
  <si>
    <t xml:space="preserve">VIGAS DE CIMENTACION.- ACERO DE REFUERZO fy=4,200 Kg/cm2</t>
  </si>
  <si>
    <t xml:space="preserve">ALAMBRE NEGRO RECOCIDO BWG N 8  </t>
  </si>
  <si>
    <t xml:space="preserve">COLUMNETAS DE CONFINAMIENTO-CONCRETO fc=175kg/cm2</t>
  </si>
  <si>
    <t xml:space="preserve">WINCHE ELECTRICO 3.6 HP DE DOS BLADES</t>
  </si>
  <si>
    <t xml:space="preserve">VIGAS - ACERO fy=4200 kg/cm²</t>
  </si>
  <si>
    <t xml:space="preserve">VIGUETAS DE CONFINAMIENTO.- CONCRETO fc=175kg/cm2</t>
  </si>
  <si>
    <t xml:space="preserve">VIGUETAS DE CONFINAMIENTO - ACERO fy=4200 kg/cm²</t>
  </si>
  <si>
    <t xml:space="preserve">LOSA ALIGERADA.- CONCRETO f'c=210 kg/cm²</t>
  </si>
  <si>
    <t xml:space="preserve">ACEITE MOTOR GASOLINA SAE 30W </t>
  </si>
  <si>
    <t xml:space="preserve">GRASA MULTIPLG EP</t>
  </si>
  <si>
    <t xml:space="preserve">lb </t>
  </si>
  <si>
    <t xml:space="preserve">GASOLINA 84 OCTANOS </t>
  </si>
  <si>
    <t xml:space="preserve">PIEDRA CHANCADA DE 1/2" - 3/4"</t>
  </si>
  <si>
    <t xml:space="preserve">ARENA GRUESA</t>
  </si>
  <si>
    <t xml:space="preserve">CEMENTO PORTLAND TIPO I (42.5 KG)</t>
  </si>
  <si>
    <t xml:space="preserve">MEZCLADORA DE CONCRETO</t>
  </si>
  <si>
    <t xml:space="preserve">VIBRADOR DE CONCRETO</t>
  </si>
  <si>
    <t xml:space="preserve">ENCOFRADO Y DESENCOFRADO NORMAL PARA LOSA ALIGERADA</t>
  </si>
  <si>
    <t xml:space="preserve">kg/dia </t>
  </si>
  <si>
    <t xml:space="preserve">kg </t>
  </si>
  <si>
    <t xml:space="preserve">und/dia </t>
  </si>
  <si>
    <t xml:space="preserve">LADRILLO ARCILLA HUECO 15 15x30x30cm</t>
  </si>
  <si>
    <t xml:space="preserve">WINCHE ELECTRICO 3.6 HP DE DOS BALDES</t>
  </si>
  <si>
    <t xml:space="preserve">LOZA MACIZA ACERO fy=4200 kg/cm²</t>
  </si>
  <si>
    <t xml:space="preserve">ESCALERAS-CONCRETO fc=210kg/cm2</t>
  </si>
  <si>
    <t xml:space="preserve">ACEITE MOTOR GASOLINA SAE 30W</t>
  </si>
  <si>
    <t xml:space="preserve">GRASA MULTIPLE EP </t>
  </si>
  <si>
    <t xml:space="preserve">lb</t>
  </si>
  <si>
    <t xml:space="preserve">WNCHE DE DOS BALDES (350KG) M.E. 3.6 HP</t>
  </si>
  <si>
    <t xml:space="preserve">ESCALERAS.- ENCOFRADO Y DESENCOFRADO</t>
  </si>
  <si>
    <t xml:space="preserve">ESCALERAS.- ACERO DE REFUERZO fy=4,200 Kg/cm2</t>
  </si>
  <si>
    <t xml:space="preserve">DISCO DE 14 PARA ACERO </t>
  </si>
  <si>
    <t xml:space="preserve">CORTADORA DE METALES 14" 2600 WATT</t>
  </si>
  <si>
    <t xml:space="preserve"> </t>
  </si>
  <si>
    <t xml:space="preserve">CEMENTO PORTLAND TIPO I (42.5 kg)</t>
  </si>
  <si>
    <t xml:space="preserve">CONCRETO PREMEZCLADO F'C=210 KG/CM2</t>
  </si>
  <si>
    <t xml:space="preserve">SERVICIO DE BOMBA PARA CONCRETO PREMEZCLADO</t>
  </si>
  <si>
    <t xml:space="preserve">VIBRADOR DE CONCRETO 4 HP 1.5"</t>
  </si>
  <si>
    <t xml:space="preserve">ALAMBRE NEGRO RECOCIDO N° 8</t>
  </si>
  <si>
    <t xml:space="preserve">CLAVOS PARA MADERA CON CABEZA</t>
  </si>
  <si>
    <t xml:space="preserve">ANDAMIO METÁLICO</t>
  </si>
  <si>
    <t xml:space="preserve">ADITIVO CURADOR DE CONCRETO</t>
  </si>
  <si>
    <t xml:space="preserve">TECNOPOR DE 1"</t>
  </si>
  <si>
    <t xml:space="preserve">SELLADOR</t>
  </si>
  <si>
    <t xml:space="preserve">CURADO DE LOSA </t>
  </si>
  <si>
    <t xml:space="preserve">CONCRETO PREMEZCLADO F'C=175 KG/CM2</t>
  </si>
  <si>
    <t xml:space="preserve">TRIPLAY DE 1.20X2.40 m X 18 mm</t>
  </si>
  <si>
    <t xml:space="preserve">FIERRO LISO GRADO 60 FY=4200 KG/CM2</t>
  </si>
  <si>
    <t xml:space="preserve">MURO DE CONTENCION PARA CERCO PERIMETRICO-ENCOFRADO Y DESENCOFRADO</t>
  </si>
  <si>
    <t xml:space="preserve">Subpartidas</t>
  </si>
  <si>
    <t xml:space="preserve">MURO DE CONTENCION - CONCRETO F'C=210 KG/CM2</t>
  </si>
  <si>
    <t xml:space="preserve">MURO DE CONTENCION - ACERO FY=4,200 KG/CM2</t>
  </si>
  <si>
    <t xml:space="preserve">COLUMNAS PARA CERCO PERIMETRICO</t>
  </si>
  <si>
    <t xml:space="preserve">COLUMNAS CERCO PERIMETRICO - ENCOFRADO Y DESENCOFRADO</t>
  </si>
  <si>
    <t xml:space="preserve">COLUMNAS CERCO PERIMETRICO - CONCRETO F'C=210 KG/CM2</t>
  </si>
  <si>
    <t xml:space="preserve">COLUMNAS CERCO PERIMETRICO- ACERO FY=4,200 KG/CM2</t>
  </si>
  <si>
    <t xml:space="preserve">VIGAS  CERCO PERIMETRICO - ENCOFRADO Y DESENCOFRADO</t>
  </si>
  <si>
    <t xml:space="preserve">VIGAS CERCO PERIMETRICO - CONCRETO F'C=210 KG/CM2</t>
  </si>
  <si>
    <t xml:space="preserve">VIGAS  CERCO PERIMETRICO- ACERO FY=4,200 KG/CM2</t>
  </si>
  <si>
    <t xml:space="preserve">COLUMNAS CERCO PERIMETRICO.- ENCOFRADO Y DESENCOFRADO</t>
  </si>
  <si>
    <t xml:space="preserve">COLUMNAS CERCO PERIMETRICO-CONCRETO fc=210kg/cm2</t>
  </si>
  <si>
    <t xml:space="preserve">COLUMNAS CERCO PERIMETRICO.- ACERO DE REFUERZO fy=4,200 Kg/cm2</t>
  </si>
  <si>
    <t xml:space="preserve">VIGAS CERCO PERIMETRICO.- ENCOFRADO Y DESENCOFRADO</t>
  </si>
  <si>
    <t xml:space="preserve">VIGAS  CERCO PERIMETRICO.- CONCRETO fc=210kg/cm2</t>
  </si>
  <si>
    <t xml:space="preserve">VIGAS  CERCO PERIMETRICO - ACERO fy=4200 kg/cm²</t>
  </si>
  <si>
    <t xml:space="preserve"> PORTADA DE INGRESO (PORTON METALICO)</t>
  </si>
  <si>
    <t xml:space="preserve">ARQUITECTURA</t>
  </si>
  <si>
    <t xml:space="preserve">MUROS DE MAMPOSTERIA</t>
  </si>
  <si>
    <t xml:space="preserve">03.01.01</t>
  </si>
  <si>
    <t xml:space="preserve">MURO DE LADRILLO KK TIPO IV SOGA M 1:4 E=1.5 CM</t>
  </si>
  <si>
    <t xml:space="preserve">03.01.02</t>
  </si>
  <si>
    <t xml:space="preserve">MURO DE LADRILLO KK TIPO IV CABEZA M 1:4 E=1.5 CM</t>
  </si>
  <si>
    <t xml:space="preserve">03.01.03</t>
  </si>
  <si>
    <t xml:space="preserve">TABIQUE DE DRYWALL E=0.15m</t>
  </si>
  <si>
    <t xml:space="preserve">03.01.04</t>
  </si>
  <si>
    <t xml:space="preserve">MELAMINE</t>
  </si>
  <si>
    <t xml:space="preserve">03.01.05</t>
  </si>
  <si>
    <t xml:space="preserve">TABLERO C.A. C/CERAMICO</t>
  </si>
  <si>
    <t xml:space="preserve">REVOQUES, ENLUCIDOS y MOLDURAS</t>
  </si>
  <si>
    <t xml:space="preserve">03.02.01</t>
  </si>
  <si>
    <t xml:space="preserve">TARRAJEO </t>
  </si>
  <si>
    <t xml:space="preserve">03.02.01.01</t>
  </si>
  <si>
    <t xml:space="preserve">TARRAJEO FROTACHADO EN MUROS INTERIORES</t>
  </si>
  <si>
    <t xml:space="preserve">03.02.01.02</t>
  </si>
  <si>
    <t xml:space="preserve">TARRAJEO FROTACHADO EN MUROS EXTERIORES</t>
  </si>
  <si>
    <t xml:space="preserve">03.02.02</t>
  </si>
  <si>
    <t xml:space="preserve">ZOCALO</t>
  </si>
  <si>
    <t xml:space="preserve">03.02.02.01</t>
  </si>
  <si>
    <t xml:space="preserve">ZOCALO DE CERAMICA 0.30x0.30</t>
  </si>
  <si>
    <t xml:space="preserve">03.02.03</t>
  </si>
  <si>
    <t xml:space="preserve">CIELO RASO</t>
  </si>
  <si>
    <t xml:space="preserve">03.02.03.01</t>
  </si>
  <si>
    <t xml:space="preserve">FALSO CIELORRADOS DE BALDOSAS DE FIBRA MINERAL DE 0.61x0.61m, e:15mm, BORDE REBAJADO, CON SISTEMA DE SUSPENSION ANTISISMICO</t>
  </si>
  <si>
    <t xml:space="preserve">03.02.03.02</t>
  </si>
  <si>
    <t xml:space="preserve">TARRAJEO DE CIELO RASO MEZCLA C:A 1:5, e=0.15cm</t>
  </si>
  <si>
    <t xml:space="preserve">PISOS Y PAVIMENTOS </t>
  </si>
  <si>
    <t xml:space="preserve">03.03.01</t>
  </si>
  <si>
    <t xml:space="preserve">CONTRAPISOS E=40MM C:A 1:4</t>
  </si>
  <si>
    <t xml:space="preserve">03.03.02</t>
  </si>
  <si>
    <t xml:space="preserve">PISO PORCELANATO ANTIDESLIZANTE 0.60x0.6OM</t>
  </si>
  <si>
    <t xml:space="preserve">03.03.03</t>
  </si>
  <si>
    <t xml:space="preserve">PISO DE BALDOSA CERAMICA 30x30</t>
  </si>
  <si>
    <t xml:space="preserve">03.03.04</t>
  </si>
  <si>
    <t xml:space="preserve">PISO DE CONCRETO E=4" - FC=175 KG7CM2 / ACABADO FROTACHADO</t>
  </si>
  <si>
    <t xml:space="preserve">03.03.05</t>
  </si>
  <si>
    <t xml:space="preserve">PISO DE CEMENTO PULIDO Y BRUÑADO E=2" S/ COLOREAR</t>
  </si>
  <si>
    <t xml:space="preserve">03.03.06</t>
  </si>
  <si>
    <t xml:space="preserve">PISO LAMINADO DE ALTO TRANSITO EN AULAS</t>
  </si>
  <si>
    <t xml:space="preserve">CONTRAZOCALOS</t>
  </si>
  <si>
    <t xml:space="preserve">03.04.01</t>
  </si>
  <si>
    <t xml:space="preserve">CONTR. S/COLOREAR H=30cm MZ 1:2 e=1.5cm</t>
  </si>
  <si>
    <t xml:space="preserve">03.04.02</t>
  </si>
  <si>
    <t xml:space="preserve">CONTRAZOCALO DE CEMENTO SEMIPULIDO CON IMPERMEABILIZANTE Y ENDURECEDOR</t>
  </si>
  <si>
    <t xml:space="preserve">03.04.03</t>
  </si>
  <si>
    <t xml:space="preserve">CONTRAZOCALO PORCELANATO ANTIDESLIZANTE H=0.10M</t>
  </si>
  <si>
    <t xml:space="preserve">03.04.04</t>
  </si>
  <si>
    <t xml:space="preserve">CONTRAZOCALO LAMINADO EN AULAS</t>
  </si>
  <si>
    <t xml:space="preserve">03.04.05</t>
  </si>
  <si>
    <t xml:space="preserve">CONTRAZOCALO DE BALDOSA CERAMICA H=30cm</t>
  </si>
  <si>
    <t xml:space="preserve">03.04.06</t>
  </si>
  <si>
    <t xml:space="preserve">CONTRAZOCALO SANITARIO TERRAZO PULIDO, H=0,10M</t>
  </si>
  <si>
    <t xml:space="preserve">CARPINTERIA</t>
  </si>
  <si>
    <t xml:space="preserve">03.05.01</t>
  </si>
  <si>
    <t xml:space="preserve">PUERTA DE MADERA ROBLE NACIONAL APANELADA TIPO MACHIMBRADA +SOBRELUZ+VIDRIO TEMPLADO DE 8MM DE 02 HOJAS+INST+ACABADO, SEGUN PLANO Y ET</t>
  </si>
  <si>
    <t xml:space="preserve">03.05.02</t>
  </si>
  <si>
    <t xml:space="preserve">VENTANA C/MARCO DE ALUMINIO SISTEMA CORREDIZO TIPO SERIE 3160 + VIDRIOS INCOLORO TEMPLADO DE 8MM+ACCESORIO + ACCESORIO+ INSTALACION, SEGUN PLANO Y ESPECIFICACIONES TECNICAS</t>
  </si>
  <si>
    <t xml:space="preserve">03.05.03</t>
  </si>
  <si>
    <t xml:space="preserve">MAMPARA DE ALUMINIO+VIDRIO INCOLORO TEMPLADO 8MM+ACCESORIOS+INSTALACION,SEGUN PLANO Y ESPECIFICACIONES TECNICAS</t>
  </si>
  <si>
    <t xml:space="preserve">03.05.04</t>
  </si>
  <si>
    <t xml:space="preserve">PARASOLES</t>
  </si>
  <si>
    <t xml:space="preserve">03.05.05</t>
  </si>
  <si>
    <t xml:space="preserve">PERSIANA METALICA</t>
  </si>
  <si>
    <t xml:space="preserve">PINTURA </t>
  </si>
  <si>
    <t xml:space="preserve">03.06.01</t>
  </si>
  <si>
    <t xml:space="preserve">PINTURA LATEX PARA INTERIOR - 2 MANOS (MUROS, TECHOS, VIGAS Y COLUMNAS)</t>
  </si>
  <si>
    <t xml:space="preserve">03.06.02</t>
  </si>
  <si>
    <t xml:space="preserve">PINTURA OLEO PARA EXTERIORES - 2 MANOS</t>
  </si>
  <si>
    <t xml:space="preserve">03.07.01</t>
  </si>
  <si>
    <t xml:space="preserve">03.07.01.01</t>
  </si>
  <si>
    <t xml:space="preserve">SUMINISTRO Y PREPARACIÓN DE TIERRA DE CHACRA</t>
  </si>
  <si>
    <t xml:space="preserve">03.07.01.02</t>
  </si>
  <si>
    <t xml:space="preserve">SUMINISTRO Y SEMBRIO DE ARBUSTOS</t>
  </si>
  <si>
    <t xml:space="preserve">03.07.01.03</t>
  </si>
  <si>
    <t xml:space="preserve">SUMINISTRO Y SEMBRIO DE ARBOLES</t>
  </si>
  <si>
    <t xml:space="preserve">03.07.02</t>
  </si>
  <si>
    <t xml:space="preserve">03.07.02.01</t>
  </si>
  <si>
    <t xml:space="preserve">PINTURA DE LINEAS EN LOSA DEPORTIVA</t>
  </si>
  <si>
    <t xml:space="preserve">03.07.03</t>
  </si>
  <si>
    <t xml:space="preserve">PATIO DE FORMACIÓN </t>
  </si>
  <si>
    <t xml:space="preserve">03.07.03.01</t>
  </si>
  <si>
    <t xml:space="preserve">PINTURA DE LINEAS EN PATIO DE INICIAL</t>
  </si>
  <si>
    <t xml:space="preserve">03.07.04</t>
  </si>
  <si>
    <t xml:space="preserve">03.07.04.01</t>
  </si>
  <si>
    <t xml:space="preserve">ACABADO FROTACHADO Y BRUÑADO EN VEREDAS</t>
  </si>
  <si>
    <t xml:space="preserve">03.07.05</t>
  </si>
  <si>
    <t xml:space="preserve">03.07.05.01</t>
  </si>
  <si>
    <t xml:space="preserve">ACABADO CEPILLADO </t>
  </si>
  <si>
    <t xml:space="preserve">03.07.06</t>
  </si>
  <si>
    <t xml:space="preserve">03.07.06.01</t>
  </si>
  <si>
    <t xml:space="preserve">03.07.07</t>
  </si>
  <si>
    <t xml:space="preserve">03.07.07.01</t>
  </si>
  <si>
    <t xml:space="preserve">MURO DE LADRILLO</t>
  </si>
  <si>
    <t xml:space="preserve">03.07.07.02</t>
  </si>
  <si>
    <t xml:space="preserve">TARRAJEO COLUMNAS Y PLACAS</t>
  </si>
  <si>
    <t xml:space="preserve">03.07.07.03</t>
  </si>
  <si>
    <t xml:space="preserve">TARRAJEO DE VIGAS</t>
  </si>
  <si>
    <t xml:space="preserve">03.07.07.04</t>
  </si>
  <si>
    <t xml:space="preserve">PINTURA DE MUROS</t>
  </si>
  <si>
    <t xml:space="preserve">03.07.08</t>
  </si>
  <si>
    <t xml:space="preserve">03.07.08.01</t>
  </si>
  <si>
    <t xml:space="preserve">03.07.09</t>
  </si>
  <si>
    <t xml:space="preserve">COBERTURAS</t>
  </si>
  <si>
    <t xml:space="preserve">03.07.09.01</t>
  </si>
  <si>
    <t xml:space="preserve">COBERTURA LIVIANA DE LOSA DEPORTIVA</t>
  </si>
  <si>
    <t xml:space="preserve">03.07.09.02</t>
  </si>
  <si>
    <t xml:space="preserve">COBERTURA LIVIANA DE PATIO DE INICIAL</t>
  </si>
  <si>
    <t xml:space="preserve">COLUMNETAS - CONCRETO f'c=210 kg/cm²</t>
  </si>
  <si>
    <t xml:space="preserve">LADRILLO KK TIPO IV 24X13X9 CM</t>
  </si>
  <si>
    <t xml:space="preserve">ANDAMIO METALICO HOMOLOGADO </t>
  </si>
  <si>
    <t xml:space="preserve">d</t>
  </si>
  <si>
    <t xml:space="preserve">COLUMNETAS - CONCRETO F'C= 210 kg/cm2</t>
  </si>
  <si>
    <t xml:space="preserve">COLUMNETAS - ENCOFRADO Y DESENCOFRADO</t>
  </si>
  <si>
    <t xml:space="preserve">COLUMNETAS - ACERO DE REFUERZO Fy= 4200 kg/cm2</t>
  </si>
  <si>
    <t xml:space="preserve">VIGUETAS - CONCRETO F'C= 210 kg/cm2</t>
  </si>
  <si>
    <t xml:space="preserve">COLUMNETAS - ENCOFRADO Y DESENCOFRADO NORMAL</t>
  </si>
  <si>
    <t xml:space="preserve">VIGUETAS - ENCOFRADO Y DESENCOFRADO</t>
  </si>
  <si>
    <t xml:space="preserve">VIGUETAS - ACERO DE REFUERZO Fy= 4200 kg/cm2</t>
  </si>
  <si>
    <t xml:space="preserve">JUNTAS CON ESPUMA PLASTICO + SELLO ELASTOMERICO DE POLIURETANO E=0.15M</t>
  </si>
  <si>
    <t xml:space="preserve">COLUMNETAS - ACERO fy=4200 kg/cm²</t>
  </si>
  <si>
    <t xml:space="preserve">CAPATAZ </t>
  </si>
  <si>
    <t xml:space="preserve">VIGUETAS - CONCRETO f'c=210 kg/cm²</t>
  </si>
  <si>
    <t xml:space="preserve">ANGULO ESQUINERO DE ACERO 30x30x0.30mm, L=2.40m</t>
  </si>
  <si>
    <t xml:space="preserve">CLAVOS DISPARO 3.7x3.8mm</t>
  </si>
  <si>
    <t xml:space="preserve">PARANTE DE FoGo 89x38x0.45mm, L=3.00m</t>
  </si>
  <si>
    <t xml:space="preserve">CINTA DE PAPEL PARA JUNTAS 2"x75m</t>
  </si>
  <si>
    <t xml:space="preserve">MASILLA PARA DRYWALL (25Kg)</t>
  </si>
  <si>
    <t xml:space="preserve">TORNILLO AUTORROSCANTE 1/2"x4mm</t>
  </si>
  <si>
    <t xml:space="preserve">TORNILLOS VOLCANITA 6x1"</t>
  </si>
  <si>
    <t xml:space="preserve">PLACA DE YESO ESTANDAR GYPLAC e=5/8", 1.22 m x 2.44m</t>
  </si>
  <si>
    <t xml:space="preserve">RIEL DE FoGo 90x25x0.45mm, L=3.00m</t>
  </si>
  <si>
    <t xml:space="preserve">VIGUETAS - ENCOFRADO y DESENCOFRADO</t>
  </si>
  <si>
    <t xml:space="preserve">TORNILLO AUTOROSCANTE CABEZA AVELLANADA 1/2"</t>
  </si>
  <si>
    <t xml:space="preserve">MELAMINE 18MM (1.80X2.50)</t>
  </si>
  <si>
    <t xml:space="preserve">PARANTE DE ALUMINIO DE 38.10X25.40X2.00MM</t>
  </si>
  <si>
    <t xml:space="preserve">BASTIDOR DE ALUMINIO DE 39.70X25.40X2.00MM</t>
  </si>
  <si>
    <t xml:space="preserve">TABLERO C.A.C/CERAMICO</t>
  </si>
  <si>
    <t xml:space="preserve">VIGUETAS - ACERO fy=4200 kg/cm²</t>
  </si>
  <si>
    <t xml:space="preserve">ACERO CORRUGADO FY=4200 KG/CM2 GRADO 60</t>
  </si>
  <si>
    <t xml:space="preserve">ARENA FINA</t>
  </si>
  <si>
    <t xml:space="preserve">CEMENTO PORTLAND TIPO I (42.5KG)</t>
  </si>
  <si>
    <t xml:space="preserve">CERAMICO 20X30 CM </t>
  </si>
  <si>
    <t xml:space="preserve">FRAGUA PARA CERAMICO</t>
  </si>
  <si>
    <t xml:space="preserve">RODOPLAST</t>
  </si>
  <si>
    <t xml:space="preserve">MADERA ROBLE NACIONAL </t>
  </si>
  <si>
    <t xml:space="preserve">TRIPLAY LUPUNA DE 4' X 8' X 9MM</t>
  </si>
  <si>
    <t xml:space="preserve">pl</t>
  </si>
  <si>
    <t xml:space="preserve">IMPRIMANTE APLICACIÖN ELASTOMERICA POLIURETANO</t>
  </si>
  <si>
    <t xml:space="preserve">CINTA MASKINGTAPE</t>
  </si>
  <si>
    <t xml:space="preserve">TECKNOPOR DE 1"x4'x8'</t>
  </si>
  <si>
    <t xml:space="preserve">plan</t>
  </si>
  <si>
    <t xml:space="preserve">SELLO ELASTOMERICO DE POLIURETANO</t>
  </si>
  <si>
    <t xml:space="preserve">BACKER ROOD 1 1/4" ESPUMA</t>
  </si>
  <si>
    <t xml:space="preserve">TARRAJEO FROTACHADO EN MUROS INTERIORES </t>
  </si>
  <si>
    <t xml:space="preserve">CEMENTO PORTLAND TIPO I (BLS.:42.5 KG) EL SOL </t>
  </si>
  <si>
    <t xml:space="preserve">CAL HIDRATADA EN BOLSA 30 kg</t>
  </si>
  <si>
    <t xml:space="preserve">REGLA DE MADERA</t>
  </si>
  <si>
    <t xml:space="preserve">MADERA ANDAMIAJE</t>
  </si>
  <si>
    <t xml:space="preserve">CLAVO C/CABEZA P/CONSTRUCCION D. PROMEDIO</t>
  </si>
  <si>
    <t xml:space="preserve">PORCELANA BLANCA</t>
  </si>
  <si>
    <t xml:space="preserve">PEGAMENTO CHEMAYOLIC CERAMICOS PORCELANATOS Y GRES
PORCELAN-25 KG</t>
  </si>
  <si>
    <t xml:space="preserve">PISO BALDOSA CERAMICA</t>
  </si>
  <si>
    <t xml:space="preserve">CRUCETAS (200 und)</t>
  </si>
  <si>
    <t xml:space="preserve">REGLA DE ALUMINIO 2" X 4" X 10"</t>
  </si>
  <si>
    <t xml:space="preserve">FALSO CIELO RASO CON PLANCHA DE DRYWALL BALDOSA ACUSTICA AMF ECOMIN PLANET</t>
  </si>
  <si>
    <t xml:space="preserve">ALAMBRE GALVANIZADO N°12</t>
  </si>
  <si>
    <t xml:space="preserve">ÁNGULO PERIMETRAL METÁLICO SUPRAFINE XL 9/16", LONG. 9.8'</t>
  </si>
  <si>
    <t xml:space="preserve">SUSPENSIÓN METÁLICA TERCIARIA SUPRAFINE XL 9/16", LONG. 2'</t>
  </si>
  <si>
    <t xml:space="preserve">SUSPENSIÓN METÁLICA SECUNDARIA SUPRAFINE XL 9/16", LONG. 4'</t>
  </si>
  <si>
    <t xml:space="preserve">SUSPENSIÓN METÁLICA PRINCIPAL SUPRAFINE XL 9/16", LONG. 4'</t>
  </si>
  <si>
    <t xml:space="preserve">TORNILLO DE FIJACIÓN Y TARUGOS P/F CIELO RASO</t>
  </si>
  <si>
    <t xml:space="preserve">BALDOSAS DE FIBRA MINERAL 0.60X0.60 M, E=14 MM</t>
  </si>
  <si>
    <t xml:space="preserve"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</si>
  <si>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</si>
  <si>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</si>
  <si>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</si>
  <si>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</si>
  <si>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 xml:space="preserve">PEGAMENTO EN POLVO PARA CERAMICOS (BOLSA 25KG)</t>
  </si>
  <si>
    <t xml:space="preserve">bal</t>
  </si>
  <si>
    <t xml:space="preserve">PORCELANATO ANTIDESLIZANTE ALTO TRANSITO  60 X 60 cm</t>
  </si>
  <si>
    <t xml:space="preserve">CRUCETAS DE PLASTICO 3mm (BOL DE 200 und)</t>
  </si>
  <si>
    <t xml:space="preserve">PISO DE CEMENTO SEMIPULIDO Y BRUÑADO</t>
  </si>
  <si>
    <t xml:space="preserve">PULIDOR DE PISO </t>
  </si>
  <si>
    <t xml:space="preserve">PISO LAMINADO DE ALTO TRANSITO EN AULAS </t>
  </si>
  <si>
    <t xml:space="preserve">SUMINISTRO E INSTALACIÓN DE PISO LAMINADO</t>
  </si>
  <si>
    <t xml:space="preserve">MORTERO TARRAJEO EMBOLSADO (40 kg)</t>
  </si>
  <si>
    <t xml:space="preserve">ADITIVO IMPERMEABILIZANTE (20 L)</t>
  </si>
  <si>
    <t xml:space="preserve">bld</t>
  </si>
  <si>
    <t xml:space="preserve">ADITIVO ENDURECEDOR DE PISO</t>
  </si>
  <si>
    <t xml:space="preserve">CEMENTO BLANCO BOLSA 25 KG</t>
  </si>
  <si>
    <t xml:space="preserve">MARMOLINA N°01 (BOLSA DE 25 KG)</t>
  </si>
  <si>
    <t xml:space="preserve">GRANALLA</t>
  </si>
  <si>
    <t xml:space="preserve">LIJA P/MADERA</t>
  </si>
  <si>
    <t xml:space="preserve">PINTURA LATEX LAVABLE </t>
  </si>
  <si>
    <t xml:space="preserve">SELLADOR BLANCO PARA MUROS </t>
  </si>
  <si>
    <t xml:space="preserve">CINTA MAKINGTAPE</t>
  </si>
  <si>
    <t xml:space="preserve">PASTA MURAL </t>
  </si>
  <si>
    <t xml:space="preserve">PINTURA OLEO</t>
  </si>
  <si>
    <t xml:space="preserve">AGUARRAS</t>
  </si>
  <si>
    <t xml:space="preserve">SELLADOR BLANCO PARA MUROS</t>
  </si>
  <si>
    <t xml:space="preserve">PASTA MURAL</t>
  </si>
  <si>
    <t xml:space="preserve">TIERRA DE CHACRA</t>
  </si>
  <si>
    <t xml:space="preserve">ARBUSTOS LOCALES</t>
  </si>
  <si>
    <t xml:space="preserve">ARBOL</t>
  </si>
  <si>
    <t xml:space="preserve">PINTURA INDUSTRIAL COLOR AMARILLO </t>
  </si>
  <si>
    <t xml:space="preserve">XILOL</t>
  </si>
  <si>
    <t xml:space="preserve">PINTURA DE LINEAS EN PATIO DE FORMACION </t>
  </si>
  <si>
    <t xml:space="preserve">ACABADO CEPILLADO</t>
  </si>
  <si>
    <t xml:space="preserve">MURO DE LADRILLO </t>
  </si>
  <si>
    <t xml:space="preserve">MADERA CEDRO</t>
  </si>
  <si>
    <t xml:space="preserve">TARRAJEO DE VIGAS </t>
  </si>
  <si>
    <t xml:space="preserve">PINTURA DE MUROS </t>
  </si>
  <si>
    <t xml:space="preserve">PLANCHA DE ACERO LAC 1/8" (3mm)</t>
  </si>
  <si>
    <t xml:space="preserve">PINTURA ESMALTE</t>
  </si>
  <si>
    <t xml:space="preserve">PINTURA ANTICORROSIVA</t>
  </si>
  <si>
    <t xml:space="preserve">TUBERIA DE FIERRO N° 2" STANDARD</t>
  </si>
  <si>
    <t xml:space="preserve">TUBERIA DE FIERRO N° 3" STANDARD</t>
  </si>
  <si>
    <t xml:space="preserve">TUBERIA DE FIERRO N° 4" STANDARD</t>
  </si>
  <si>
    <t xml:space="preserve">CUERDA DE NYLON</t>
  </si>
  <si>
    <t xml:space="preserve">ARANDELA PLANA DE 1/2"</t>
  </si>
  <si>
    <t xml:space="preserve">PERNO 1/2" x 3" CON TUERCA</t>
  </si>
  <si>
    <t xml:space="preserve">ELECTRODO TIPO 6011</t>
  </si>
  <si>
    <t xml:space="preserve">COBERTURA LIVIANA DE PATIO DE FORMACION</t>
  </si>
  <si>
    <t xml:space="preserve">INSTALACIONES SANITARIAS </t>
  </si>
  <si>
    <t xml:space="preserve">APARATOS SANITARIOS</t>
  </si>
  <si>
    <t xml:space="preserve">04.01.01</t>
  </si>
  <si>
    <t xml:space="preserve">INODORO </t>
  </si>
  <si>
    <t xml:space="preserve">04.01.02</t>
  </si>
  <si>
    <t xml:space="preserve">URINARIO </t>
  </si>
  <si>
    <t xml:space="preserve">04.01.03</t>
  </si>
  <si>
    <t xml:space="preserve">LAVATORIO </t>
  </si>
  <si>
    <t xml:space="preserve">04.01.04</t>
  </si>
  <si>
    <t xml:space="preserve">LAVADEROS DE LIMPIEZA DE MAMPOSTERIA DE LADRILLO REVESTIDO CON CERAMICA + GRIFERIA</t>
  </si>
  <si>
    <t xml:space="preserve">SALIDAS DE AGUA </t>
  </si>
  <si>
    <t xml:space="preserve">04.02.01</t>
  </si>
  <si>
    <t xml:space="preserve">SALIDA DE AGUA FRIA PVC INC. TUBERIA Y ACCESORIOS 1/2" </t>
  </si>
  <si>
    <t xml:space="preserve">04.02.02</t>
  </si>
  <si>
    <t xml:space="preserve">SALIDA DE AGUA CALIENTE, CON TUBERIA CPVC (PROMEDIO) </t>
  </si>
  <si>
    <t xml:space="preserve">VALVULAS  </t>
  </si>
  <si>
    <t xml:space="preserve">04.03.01</t>
  </si>
  <si>
    <t xml:space="preserve">VALVULAS COMPUERTAS, ESFERICAS Y CAJAS PARA VALVULAS</t>
  </si>
  <si>
    <t xml:space="preserve">EXTINTORES Y GABINETES</t>
  </si>
  <si>
    <t xml:space="preserve">04.04.01</t>
  </si>
  <si>
    <t xml:space="preserve">SALIDAS DRENAJE PLUVIAL </t>
  </si>
  <si>
    <t xml:space="preserve">04.05.01</t>
  </si>
  <si>
    <t xml:space="preserve">DRENAJE PLUVIAL </t>
  </si>
  <si>
    <t xml:space="preserve">DESAGÜE </t>
  </si>
  <si>
    <t xml:space="preserve">04.06.01</t>
  </si>
  <si>
    <t xml:space="preserve">SALIDA DE DESAGUE  PVC-SAL 2"</t>
  </si>
  <si>
    <t xml:space="preserve">04.06.02</t>
  </si>
  <si>
    <t xml:space="preserve">SALIDA DE DESAGUE  PVC-SAL 4"</t>
  </si>
  <si>
    <t xml:space="preserve">VENTILACIÓN</t>
  </si>
  <si>
    <t xml:space="preserve">04.07.01</t>
  </si>
  <si>
    <t xml:space="preserve">SALIDA DE VENTILACION (PROMEDIO) </t>
  </si>
  <si>
    <t xml:space="preserve">ACCESORIOS</t>
  </si>
  <si>
    <t xml:space="preserve">04.08.01</t>
  </si>
  <si>
    <t xml:space="preserve">MEZCLADORA DE DUCHA </t>
  </si>
  <si>
    <t xml:space="preserve">04.08.02</t>
  </si>
  <si>
    <t xml:space="preserve">JABONERA DE LOSA PARA EMPOTRAR </t>
  </si>
  <si>
    <t xml:space="preserve">04.09.01</t>
  </si>
  <si>
    <t xml:space="preserve">Glb</t>
  </si>
  <si>
    <t xml:space="preserve">04.09.02</t>
  </si>
  <si>
    <t xml:space="preserve">04.09.03</t>
  </si>
  <si>
    <t xml:space="preserve">URINARIO</t>
  </si>
  <si>
    <t xml:space="preserve">LAVATORIO</t>
  </si>
  <si>
    <t xml:space="preserve">PEGAMENTO PVC AZUL 128 ONZAS - OATEY</t>
  </si>
  <si>
    <t xml:space="preserve">TUBO PVC AGUA S.P. CLASE 10 1/2" X 5m</t>
  </si>
  <si>
    <t xml:space="preserve">CODO PVC AGUA DOBLE CAMPANA S.P. 1/2" X 90°</t>
  </si>
  <si>
    <t xml:space="preserve">TEE PVC AGUA S.P. 1/2"</t>
  </si>
  <si>
    <t xml:space="preserve">PEGAMENTO P/TUBO CPVC ML </t>
  </si>
  <si>
    <t xml:space="preserve">TUBO CPVC AGUA CALIENTE S.P. 1/2" X 5m</t>
  </si>
  <si>
    <t xml:space="preserve">CODO ACERO GALV. TIPO ISO I 1/2" X 90°</t>
  </si>
  <si>
    <t xml:space="preserve">CODO CPVC AGUA CALIENTE S.P/ 1/2" X 90°</t>
  </si>
  <si>
    <t xml:space="preserve">TEE CPVC AGUA CALIENTE S.P/ 1/2"</t>
  </si>
  <si>
    <t xml:space="preserve">CO2, DIOXIDO DE CARBONO - 10 LBS. Incluye gabinete</t>
  </si>
  <si>
    <t xml:space="preserve">GRAVA DE 1/2"</t>
  </si>
  <si>
    <t xml:space="preserve">TUBERIA PVC-SAP 3"</t>
  </si>
  <si>
    <t xml:space="preserve">REJILLA BRONCE Ø 3" ROSCADA</t>
  </si>
  <si>
    <t xml:space="preserve">SALIDA DE DESAGÜE PVC-SAL 2"</t>
  </si>
  <si>
    <t xml:space="preserve">TUBO PVC DESAGUE SAL 2" X 3 M PAVCO</t>
  </si>
  <si>
    <t xml:space="preserve">CODO PVC DESAGUE SAL 2" X 90°</t>
  </si>
  <si>
    <t xml:space="preserve">YEE PVC DESAGUE SAL 2"</t>
  </si>
  <si>
    <t xml:space="preserve">TRAMPA P PVC DESAGUE SAL 2"</t>
  </si>
  <si>
    <t xml:space="preserve">SALIDA DE DESAGÜE PVC-SAL 4"</t>
  </si>
  <si>
    <t xml:space="preserve">TUBO PVC DESAGUE SAL 4" X 3 M PAVCO</t>
  </si>
  <si>
    <t xml:space="preserve">CODO PVC DESAGUE SAL 4" X 90°</t>
  </si>
  <si>
    <t xml:space="preserve">YEE PVC DESAGUE SAL 4"</t>
  </si>
  <si>
    <t xml:space="preserve">SALIDA DE VENTILACION(PROMEDIO) </t>
  </si>
  <si>
    <t xml:space="preserve">CODO VENTILACION PVC DESAGUE SAL 4" A 2"</t>
  </si>
  <si>
    <t xml:space="preserve">MEZCLADORA DE DUCHA C/GRIFERIA Y BRAZO</t>
  </si>
  <si>
    <t xml:space="preserve">JABONERA DE LOSA BLANCA P/EMPOTRAR </t>
  </si>
  <si>
    <t xml:space="preserve">CEMENTO BLANCO </t>
  </si>
  <si>
    <t xml:space="preserve">SISTEMA DE BOMBEO DE PRESION CONSTANTE</t>
  </si>
  <si>
    <t xml:space="preserve">INSTALACIONES SANITARIAS EXTERIORES INC. CANALETAS DE EVACUACION PLUVIAL </t>
  </si>
  <si>
    <t xml:space="preserve">INSTALACIONES ELECTRICAS</t>
  </si>
  <si>
    <t xml:space="preserve">SALIDAS</t>
  </si>
  <si>
    <t xml:space="preserve">05.01.01</t>
  </si>
  <si>
    <t xml:space="preserve">SALIDAS PARA ALUMBRADO, TOMACORRIENTES, FUERZA Y SEÑALES DÉBILES</t>
  </si>
  <si>
    <t xml:space="preserve">05.01.02</t>
  </si>
  <si>
    <t xml:space="preserve">SALIDAS PARA TOMACORRIENTES</t>
  </si>
  <si>
    <t xml:space="preserve">05.01.03</t>
  </si>
  <si>
    <t xml:space="preserve">SALIDAS PARA FUERZA Y SEÑALES DÉBILES</t>
  </si>
  <si>
    <t xml:space="preserve">05.01.04</t>
  </si>
  <si>
    <t xml:space="preserve">SALIDAS TRIFÁSICAS</t>
  </si>
  <si>
    <t xml:space="preserve">LÁMPARAS</t>
  </si>
  <si>
    <t xml:space="preserve">05.02.01</t>
  </si>
  <si>
    <t xml:space="preserve">ARTEFACTO DE ILUMINACIÓN P = 63 W L = 8000 LM</t>
  </si>
  <si>
    <t xml:space="preserve">05.02.02</t>
  </si>
  <si>
    <t xml:space="preserve">INSTALACIÓN DE ARTEFACTO DE ILUMINACIÓN, P=63 W L=8000 LM</t>
  </si>
  <si>
    <t xml:space="preserve">05.02.03</t>
  </si>
  <si>
    <t xml:space="preserve">PROYECTOR Y PANTALLA</t>
  </si>
  <si>
    <t xml:space="preserve">05.02.04</t>
  </si>
  <si>
    <t xml:space="preserve">EXTRACTORES DE AIRE</t>
  </si>
  <si>
    <t xml:space="preserve">05.02.05</t>
  </si>
  <si>
    <t xml:space="preserve">SISTEMA DE BAJA TENSIÓN</t>
  </si>
  <si>
    <t xml:space="preserve">05.02.06</t>
  </si>
  <si>
    <t xml:space="preserve">SISTEMA DE MEDIA TENSIÓN</t>
  </si>
  <si>
    <t xml:space="preserve">SALIDAS PARA ALUMBRADO</t>
  </si>
  <si>
    <t xml:space="preserve">TUBERÍA ELÉCTRICA SAP GRIS 3/4" X3 METROS NICOLL</t>
  </si>
  <si>
    <t xml:space="preserve">CURVA SAP 3/4" NICOLL</t>
  </si>
  <si>
    <t xml:space="preserve">UNIÓN SAP 3/4" NICOLL</t>
  </si>
  <si>
    <t xml:space="preserve">CONEXIÓN A CAJA PVC ELÉCTRICA SAP 3/4"</t>
  </si>
  <si>
    <t xml:space="preserve">CINTA AISLANTE ELÉCTRICA</t>
  </si>
  <si>
    <t xml:space="preserve">CAJA DE PASE OCTOGONAL F.G. PESADA 4"</t>
  </si>
  <si>
    <t xml:space="preserve">ALAMBRE TW 14 AWG</t>
  </si>
  <si>
    <t xml:space="preserve">SALIDAS PARA TOMACORRIENTE</t>
  </si>
  <si>
    <t xml:space="preserve">TOMACORRIENTE DOBLE UNIVERSAL 2 POLOS 10A 250VAC</t>
  </si>
  <si>
    <t xml:space="preserve">CAJA DE PASE RECTANGULAR F.G. PESADA 50 x100 mm</t>
  </si>
  <si>
    <t xml:space="preserve">SALIDAS PARA FUERZAS Y SEÑALES DEBILES</t>
  </si>
  <si>
    <t xml:space="preserve">CAJA DE PASE RECTANGULAR F.G. LIVIANA 50 x100 mm</t>
  </si>
  <si>
    <t xml:space="preserve">SALIDA TRIFASICA</t>
  </si>
  <si>
    <t xml:space="preserve">ptp/dia</t>
  </si>
  <si>
    <t xml:space="preserve">un/dia</t>
  </si>
  <si>
    <t xml:space="preserve">ARTEFACTO DE ILUMINACIÓN P=63W</t>
  </si>
  <si>
    <t xml:space="preserve">CINTA AISLANTE 20 MM X 1700</t>
  </si>
  <si>
    <t xml:space="preserve">CINTILLOS AMARRACABLE 4.8 MM X 250 MM</t>
  </si>
  <si>
    <t xml:space="preserve">ESCALERA DE FIBRA DE ALUMINIO</t>
  </si>
  <si>
    <t xml:space="preserve">PROYECTOR Y PANTALLA </t>
  </si>
  <si>
    <t xml:space="preserve">SALIDA PROYECTOR </t>
  </si>
  <si>
    <t xml:space="preserve">SALIDA PARA EXTRACTOR DE AIRE</t>
  </si>
  <si>
    <t xml:space="preserve">CAJA OCTOGONAL DE F° G° PESADO 100x55 MM</t>
  </si>
  <si>
    <t xml:space="preserve">TUBERÍA PVC SAP 20 MM</t>
  </si>
  <si>
    <t xml:space="preserve">CURVA SAP 1/2" NICOLL</t>
  </si>
  <si>
    <t xml:space="preserve">CONECTOR A CAJA PVC SAP 20 MM</t>
  </si>
  <si>
    <t xml:space="preserve">INSTALACIONES COMUNICACIONES </t>
  </si>
  <si>
    <t xml:space="preserve">CANALIZACIÓN, CONDUCTOS Y/O TUBERÍAS</t>
  </si>
  <si>
    <t xml:space="preserve">06.01.01</t>
  </si>
  <si>
    <t xml:space="preserve">INSTALACION DE PUNTOS DE RED EN PISO</t>
  </si>
  <si>
    <t xml:space="preserve">06.01.02</t>
  </si>
  <si>
    <t xml:space="preserve">INSTALACION DE PUNTOS DE RED EN PARED</t>
  </si>
  <si>
    <t xml:space="preserve">06.01.03</t>
  </si>
  <si>
    <t xml:space="preserve">INSTALACION DE PUNTOS DE RED EN CIELO RASO</t>
  </si>
  <si>
    <t xml:space="preserve">06.01.04</t>
  </si>
  <si>
    <t xml:space="preserve">TUBERIA PVC-P ELÉCTRICA Ø50mm, NTP 339.006</t>
  </si>
  <si>
    <t xml:space="preserve">06.01.05</t>
  </si>
  <si>
    <t xml:space="preserve">TUBERIA PVC-P ELÉCTRICA Ø40mm, NTP 339.006</t>
  </si>
  <si>
    <t xml:space="preserve">06.01.06</t>
  </si>
  <si>
    <t xml:space="preserve">TUBERIA PVC-P ELÉCTRICA Ø25mm, NTP 339.006</t>
  </si>
  <si>
    <t xml:space="preserve">06.01.07</t>
  </si>
  <si>
    <t xml:space="preserve">TUBERIA PVC-P ELÉCTRICA Ø15mm, NTP 339.006</t>
  </si>
  <si>
    <t xml:space="preserve">06.01.08</t>
  </si>
  <si>
    <t xml:space="preserve">CAJA DE PASE FºGº 300x300x100mm</t>
  </si>
  <si>
    <t xml:space="preserve">06.01.09</t>
  </si>
  <si>
    <t xml:space="preserve">CAJA DE PASE FºGº 200x200x100mm</t>
  </si>
  <si>
    <t xml:space="preserve">06.01.10</t>
  </si>
  <si>
    <t xml:space="preserve">CAJA DE PASE FºGº 100x100x100mm</t>
  </si>
  <si>
    <t xml:space="preserve">06.01.11</t>
  </si>
  <si>
    <t xml:space="preserve">BANDEJA PORTACABLE 200x54 P/COMUNICACIÓN</t>
  </si>
  <si>
    <t xml:space="preserve">SISTEMA ESTRUCTURADO Y NETWORKING</t>
  </si>
  <si>
    <t xml:space="preserve">06.02.01</t>
  </si>
  <si>
    <t xml:space="preserve">SUMINISTRO E INSTALACIÓN DE RECEPTOR MO ISP</t>
  </si>
  <si>
    <t xml:space="preserve">06.02.02</t>
  </si>
  <si>
    <t xml:space="preserve">SUMINISTRO E INSTALACIÓN DE ROUTER</t>
  </si>
  <si>
    <t xml:space="preserve">06.02.03</t>
  </si>
  <si>
    <t xml:space="preserve">SUMINISTRO E INSTALACION SWITCH GIGABIT 48 PORT</t>
  </si>
  <si>
    <t xml:space="preserve">06.02.04</t>
  </si>
  <si>
    <t xml:space="preserve">SUMINISTRO E INSTALACION DE PATCH PANEL 48 PORT</t>
  </si>
  <si>
    <t xml:space="preserve">06.02.05</t>
  </si>
  <si>
    <t xml:space="preserve">SUMINISTRO E INSTALACION DE SERVIDOR</t>
  </si>
  <si>
    <t xml:space="preserve">06.02.06</t>
  </si>
  <si>
    <t xml:space="preserve">SUMINISTRO E INSTALACION DE SERVIDOR NVR</t>
  </si>
  <si>
    <t xml:space="preserve">06.02.07</t>
  </si>
  <si>
    <t xml:space="preserve">SUMINISTRO E INSTALACION DE SWITH POE 16 PORT</t>
  </si>
  <si>
    <t xml:space="preserve">06.02.08</t>
  </si>
  <si>
    <t xml:space="preserve">SUMINISTRO E INSTALACION DE PATCH PANEL 24 PORT</t>
  </si>
  <si>
    <t xml:space="preserve">06.02.09</t>
  </si>
  <si>
    <t xml:space="preserve">SUMINISTRO E INSTALACION DE BANDEJA 19"</t>
  </si>
  <si>
    <t xml:space="preserve">06.02.10</t>
  </si>
  <si>
    <t xml:space="preserve">SUMINISTRO E INSTALACION DE BANDEJA EQUIPO ALARMAS</t>
  </si>
  <si>
    <t xml:space="preserve">06.02.11</t>
  </si>
  <si>
    <t xml:space="preserve">SUMINISTRO E INSTALACION DE BANDEJA TELEFONIA IP PBX</t>
  </si>
  <si>
    <t xml:space="preserve">06.02.12</t>
  </si>
  <si>
    <t xml:space="preserve">06.02.13</t>
  </si>
  <si>
    <t xml:space="preserve">SUMINISTRO E INSTALACION DE UPS 3 KVA, MONOFASICO / 2 RU</t>
  </si>
  <si>
    <t xml:space="preserve">06.02.14</t>
  </si>
  <si>
    <t xml:space="preserve">CONEXIÓN DE GABINETE DE PISO 42 RU</t>
  </si>
  <si>
    <t xml:space="preserve">06.02.15</t>
  </si>
  <si>
    <t xml:space="preserve">CONEXIÓN DE GABINETE 42RU Y COMPONENTES DE REDES</t>
  </si>
  <si>
    <t xml:space="preserve">SISTEMA CCTV</t>
  </si>
  <si>
    <t xml:space="preserve">06.03.01</t>
  </si>
  <si>
    <t xml:space="preserve">SERVIDOR NVR 1RU</t>
  </si>
  <si>
    <t xml:space="preserve">06.03.02</t>
  </si>
  <si>
    <t xml:space="preserve">VIDEOCAMARA TUBULAR IP</t>
  </si>
  <si>
    <t xml:space="preserve">06.03.03</t>
  </si>
  <si>
    <t xml:space="preserve">VIDEOCAMARA DOMO IP</t>
  </si>
  <si>
    <t xml:space="preserve">SISTEMA MEGAFONÍA (PERIFONEO)</t>
  </si>
  <si>
    <t xml:space="preserve">06.04.01</t>
  </si>
  <si>
    <t xml:space="preserve">AMPLIFICADOR DE AUDIO DE 100W</t>
  </si>
  <si>
    <t xml:space="preserve">06.04.02</t>
  </si>
  <si>
    <t xml:space="preserve">PARLANTE IP DE TECHO</t>
  </si>
  <si>
    <t xml:space="preserve">SISTEMA DACI (DETECCIÓN Y ALARMA CONTRA INCENDIO)</t>
  </si>
  <si>
    <t xml:space="preserve">06.05.01</t>
  </si>
  <si>
    <t xml:space="preserve">EQUIPAMIENTO DE UNIDAD CENTRAL DEL SISTEMA DE ALARMA CONTRA INCENDIO</t>
  </si>
  <si>
    <t xml:space="preserve">06.05.02</t>
  </si>
  <si>
    <t xml:space="preserve">SUMINISTRO E INSTALACION DE DETECTOR DE HUMO</t>
  </si>
  <si>
    <t xml:space="preserve">06.05.03</t>
  </si>
  <si>
    <t xml:space="preserve">SALIDA PARA ALARMA CONTRA INCENDIO</t>
  </si>
  <si>
    <t xml:space="preserve">TECNICO ESPECIALISTA EN TELECOMUNICACIONES</t>
  </si>
  <si>
    <t xml:space="preserve">JACK DE DATOS CAT CAT6A (BLANCO) P/CAJA POP UP</t>
  </si>
  <si>
    <t xml:space="preserve">CAJA GALV. TIPO GANG INC. TAPA GANG</t>
  </si>
  <si>
    <t xml:space="preserve">CAJA POP-UP PARA 4 MOD.MOSAIC.ALUMINIO MATE</t>
  </si>
  <si>
    <t xml:space="preserve">CONECTOR PVC-P (ELEC.) 25mm</t>
  </si>
  <si>
    <t xml:space="preserve">ETIQUETA PARA JACK DE DATOS</t>
  </si>
  <si>
    <t xml:space="preserve">JACK DE DATOS CAT CAT6A (BLANCO)</t>
  </si>
  <si>
    <t xml:space="preserve">CAJA GALV. RECTANGULAR PESADA DE 4"x2"x21/4"</t>
  </si>
  <si>
    <t xml:space="preserve">FACE PLATE DOBLE PARA DATOS RJ45 BLANCO</t>
  </si>
  <si>
    <t xml:space="preserve">TUBERÍA PVC-P ELECTRICO Ø50mm 3.0m</t>
  </si>
  <si>
    <t xml:space="preserve">CURVA PVC-P ELECTRICO Ø50mm</t>
  </si>
  <si>
    <t xml:space="preserve">PEGAMENTO PARA TUBERÍA PVC</t>
  </si>
  <si>
    <t xml:space="preserve">CONECTOR PVC-P (ELEC.) 50mm</t>
  </si>
  <si>
    <t xml:space="preserve">CURVA PVC-P ELECTRICO Ø40mm</t>
  </si>
  <si>
    <t xml:space="preserve">TUBERÍA PVC-P ELECTRICO Ø40mm 3.0m</t>
  </si>
  <si>
    <t xml:space="preserve">CONECTOR PVC Ø 40mm</t>
  </si>
  <si>
    <t xml:space="preserve">TUBERÍA PVC-P ELECTRICO Ø25mm 3.0m</t>
  </si>
  <si>
    <t xml:space="preserve">CURVA PVC-P ELECTRICO Ø25mm</t>
  </si>
  <si>
    <t xml:space="preserve">TUBERÍA PVC-P ELECTRICO Ø15mm 3.0m</t>
  </si>
  <si>
    <t xml:space="preserve">CURVA PVC-P ELECTRICO Ø15mm</t>
  </si>
  <si>
    <t xml:space="preserve">CONECTOR PVC-P (ELEC.) 15mm</t>
  </si>
  <si>
    <t xml:space="preserve">BANDEJA PORTACABLES 200x54</t>
  </si>
  <si>
    <t xml:space="preserve">RECEPTOR MO ISP</t>
  </si>
  <si>
    <t xml:space="preserve">ROUTER 1RU</t>
  </si>
  <si>
    <t xml:space="preserve">SWITCH GIGA BIT 48 PUERTOS 1 RU</t>
  </si>
  <si>
    <t xml:space="preserve">PACH PANEL 48 PUERTOS CAT 6.2 RU</t>
  </si>
  <si>
    <t xml:space="preserve">SERVIDOR ETHERNET DE 1GB - 4 PUERTOS 366FLR</t>
  </si>
  <si>
    <t xml:space="preserve">SERVIDOR NVR </t>
  </si>
  <si>
    <t xml:space="preserve">SWITCH POE 16 PUERTOS 1 RU</t>
  </si>
  <si>
    <t xml:space="preserve">PATCH PANEL CAT 6A DE 24 PUERTOS RJ45 A 568 A/B</t>
  </si>
  <si>
    <t xml:space="preserve">BANDEJA 19" 1 RU</t>
  </si>
  <si>
    <t xml:space="preserve">BANDEJA EQUIPO ALARMAS</t>
  </si>
  <si>
    <t xml:space="preserve">BANDEJA TELEFONIA</t>
  </si>
  <si>
    <t xml:space="preserve">SUMINISTRO E INSTALACION DE BANDEJA </t>
  </si>
  <si>
    <t xml:space="preserve">BANDEJA </t>
  </si>
  <si>
    <t xml:space="preserve">UPS 3000 VA / 2700 W, TIPO RACK 2U</t>
  </si>
  <si>
    <t xml:space="preserve">GABINETE DE PISO 42 RU</t>
  </si>
  <si>
    <t xml:space="preserve">BLOCK CONECTOR DOBLE RJ-45 / FEMALE</t>
  </si>
  <si>
    <t xml:space="preserve">CONECTOR RJ-45 / FEMALE</t>
  </si>
  <si>
    <t xml:space="preserve">ACCESS POINT PARA EXTERIORES 300 Mbps</t>
  </si>
  <si>
    <t xml:space="preserve">CABLE UTP CAT 6A (CAJA 305m)</t>
  </si>
  <si>
    <t xml:space="preserve">SERVIDOR NVR 1 RU</t>
  </si>
  <si>
    <t xml:space="preserve">MASTIL DE FºGº Ø2"x3.00mm H=3.00m</t>
  </si>
  <si>
    <t xml:space="preserve">VIDEO CAMARA TUBULAR IP</t>
  </si>
  <si>
    <t xml:space="preserve">PLATINA EMPERNADA PARA SOPORTE DE MÁSTIL</t>
  </si>
  <si>
    <t xml:space="preserve">SOPORTE - ABRAZADERA PARA CAMARA</t>
  </si>
  <si>
    <t xml:space="preserve">VIDEO CAMARA DOMO IP</t>
  </si>
  <si>
    <t xml:space="preserve">AMPLIFICADOR DE AUDIO 100W</t>
  </si>
  <si>
    <t xml:space="preserve">UNIDAD CENTRAL DE ALARMA CONTRA INCENDIO</t>
  </si>
  <si>
    <t xml:space="preserve">DETECTOR DE HUMOS</t>
  </si>
  <si>
    <t xml:space="preserve">CAJA GALV. OCTOGONAL PESADA 4"x2"</t>
  </si>
  <si>
    <t xml:space="preserve">Area de terreno</t>
  </si>
  <si>
    <t xml:space="preserve">Factor </t>
  </si>
  <si>
    <t xml:space="preserve">Ratio</t>
  </si>
  <si>
    <t xml:space="preserve">Area techada</t>
  </si>
  <si>
    <t xml:space="preserve">Plazo </t>
  </si>
  <si>
    <t xml:space="preserve">meses </t>
  </si>
  <si>
    <t xml:space="preserve">m²</t>
  </si>
  <si>
    <t xml:space="preserve">LIMPIEZA DEL TERRENO (MANUAL)</t>
  </si>
  <si>
    <t xml:space="preserve">TRAZO NIVELACIÓN Y REPLANTEO</t>
  </si>
  <si>
    <t xml:space="preserve">Equipos de protección individual</t>
  </si>
  <si>
    <t xml:space="preserve">Equipos de protección colectiva</t>
  </si>
  <si>
    <t xml:space="preserve">Señalización temporal de seguridad</t>
  </si>
  <si>
    <t xml:space="preserve">Programa de capacitaciones</t>
  </si>
  <si>
    <t xml:space="preserve">Recursos para respuesta ante emergencias</t>
  </si>
  <si>
    <t xml:space="preserve">Programa de prevención y control</t>
  </si>
  <si>
    <t xml:space="preserve">Examen médico general</t>
  </si>
  <si>
    <t xml:space="preserve">Prevención y mitigación de impactos</t>
  </si>
  <si>
    <t xml:space="preserve">Implementación de área de señalización</t>
  </si>
  <si>
    <t xml:space="preserve">Charlas de sensibilización ambiental</t>
  </si>
  <si>
    <t xml:space="preserve">Monitoreo de calidad ambiental</t>
  </si>
  <si>
    <t xml:space="preserve">Adquisición de contenedores</t>
  </si>
  <si>
    <t xml:space="preserve">Recolección de residuos peligrosos</t>
  </si>
  <si>
    <t xml:space="preserve">Eliminación y transporte</t>
  </si>
  <si>
    <t xml:space="preserve">Acondicionamiento</t>
  </si>
  <si>
    <t xml:space="preserve">Recolección de residuos</t>
  </si>
  <si>
    <t xml:space="preserve">Disposición final</t>
  </si>
  <si>
    <t xml:space="preserve">Clasificación de residuos</t>
  </si>
  <si>
    <t xml:space="preserve">Contingencia ante derrames</t>
  </si>
  <si>
    <t xml:space="preserve">Manejo de residuos de desinstalación</t>
  </si>
  <si>
    <t xml:space="preserve">Traslado y disposición final</t>
  </si>
  <si>
    <t xml:space="preserve">Rehabilitación de suelos afectados</t>
  </si>
  <si>
    <t xml:space="preserve">Nivelación y compactación</t>
  </si>
  <si>
    <t xml:space="preserve">OBTENCIÓN DEL SERVICIO</t>
  </si>
  <si>
    <t xml:space="preserve">CABLE TW 35 mm²</t>
  </si>
  <si>
    <t xml:space="preserve">CONEXIÓN DE ACOMETIDA</t>
  </si>
  <si>
    <t xml:space="preserve"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</si>
  <si>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</si>
  <si>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</si>
  <si>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</si>
  <si>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 xml:space="preserve">CONEXION INSTALACION TEL COM</t>
  </si>
  <si>
    <t xml:space="preserve"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</si>
  <si>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</si>
  <si>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</si>
  <si>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</si>
  <si>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 xml:space="preserve">MOVILIZACION DE EQUIPOS Y HERRAMIENTAS</t>
  </si>
  <si>
    <t xml:space="preserve">EQUIPO DE PROTECCION INDIVIDUAL</t>
  </si>
  <si>
    <t xml:space="preserve">EQUIPO DE PROTECCION COLECTIVA</t>
  </si>
  <si>
    <t xml:space="preserve">HORMIGÓN</t>
  </si>
  <si>
    <t xml:space="preserve">MANEJO DE RESIDUOS DE LA DESINSTALACIÓN</t>
  </si>
  <si>
    <t xml:space="preserve"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</si>
  <si>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</si>
  <si>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</si>
  <si>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</si>
  <si>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 xml:space="preserve"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</si>
  <si>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</si>
  <si>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</si>
  <si>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</si>
  <si>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</si>
  <si>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</si>
  <si>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 xml:space="preserve">DESMONTAJE DE REJAS DE VENTANAS</t>
  </si>
  <si>
    <t xml:space="preserve">DESMONTAJE DE REJAS DE PUERTAS </t>
  </si>
  <si>
    <t xml:space="preserve"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</si>
  <si>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</si>
  <si>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</si>
  <si>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</si>
  <si>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</si>
  <si>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 xml:space="preserve"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</si>
  <si>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</si>
  <si>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</si>
  <si>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</si>
  <si>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</si>
  <si>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</si>
  <si>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 xml:space="preserve"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</si>
  <si>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</si>
  <si>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</si>
  <si>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</si>
  <si>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</si>
  <si>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 xml:space="preserve">PETROLEO D-2</t>
  </si>
  <si>
    <t xml:space="preserve">CARGADOR FRONTAL S/LLANTAS DE 125-155 HP 3 yd3</t>
  </si>
  <si>
    <t xml:space="preserve">DEMOLICION DE PISOS DE SOBRECIMIENTOS </t>
  </si>
  <si>
    <t xml:space="preserve">RETROEXCAVADORA SOBRE LLANTAS 80-110 HP 0.5-1.3 yd3</t>
  </si>
  <si>
    <t xml:space="preserve"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</si>
  <si>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</si>
  <si>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</si>
  <si>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</si>
  <si>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</si>
  <si>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</si>
  <si>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</si>
  <si>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 xml:space="preserve">MARTILLLO NEUMATICO - 25/29 KG</t>
  </si>
  <si>
    <t xml:space="preserve">DEMOLICION DE CAJA DE ESCALERA DE CONCRETO </t>
  </si>
  <si>
    <t xml:space="preserve">DEMOLICION DE MURO DE BLOQUETA</t>
  </si>
  <si>
    <t xml:space="preserve">DEMOLICION DE PLACAS</t>
  </si>
  <si>
    <t xml:space="preserve">DEMOLICION DE LOSA DEPORTIVA </t>
  </si>
  <si>
    <t xml:space="preserve">DEMOLICION DE GRADERIOS </t>
  </si>
  <si>
    <t xml:space="preserve"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</si>
  <si>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</si>
  <si>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</si>
  <si>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</si>
  <si>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</si>
  <si>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</si>
  <si>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 xml:space="preserve">Areas verdes</t>
  </si>
  <si>
    <t xml:space="preserve">Losa DEPORTIVA</t>
  </si>
  <si>
    <t xml:space="preserve">Áreas Verdes</t>
  </si>
  <si>
    <t xml:space="preserve">cobertura</t>
  </si>
  <si>
    <t xml:space="preserve">AREA VERDES</t>
  </si>
  <si>
    <t xml:space="preserve">Patio de INICIAL</t>
  </si>
  <si>
    <t xml:space="preserve">SubPartida </t>
  </si>
  <si>
    <t xml:space="preserve">asta de bandera</t>
  </si>
  <si>
    <t xml:space="preserve">veredas y rampas </t>
  </si>
  <si>
    <t xml:space="preserve">pavimento</t>
  </si>
  <si>
    <t xml:space="preserve">LAMAS</t>
  </si>
  <si>
    <t xml:space="preserve">COMPACTACION DE SUBRASANTE</t>
  </si>
  <si>
    <t xml:space="preserve">bicicletas</t>
  </si>
  <si>
    <t xml:space="preserve">AFIRMADO DE e=0.30m PARA LOSA</t>
  </si>
  <si>
    <t xml:space="preserve">Cerco perimetrico </t>
  </si>
  <si>
    <t xml:space="preserve">Area construida</t>
  </si>
  <si>
    <t xml:space="preserve">Area terreno</t>
  </si>
  <si>
    <t xml:space="preserve">Altura</t>
  </si>
  <si>
    <t xml:space="preserve">PINTURA DE LINEASEN LOSA DEPORTIVA</t>
  </si>
  <si>
    <t xml:space="preserve">Cobertura Liviana de Losa DEPORTIVA</t>
  </si>
  <si>
    <t xml:space="preserve">Cobertura Liviana de PATIO DE INICIAL</t>
  </si>
  <si>
    <t xml:space="preserve">LOSA DEPORTIVA (44 x 22: 968) F'C=210 kg/cm² DE 20 CM DE ESPESOR</t>
  </si>
  <si>
    <t xml:space="preserve">COMPACTACION DE SUBRASANTE DE LOSA </t>
  </si>
  <si>
    <t xml:space="preserve">CURADO DE CONCRETO </t>
  </si>
  <si>
    <t xml:space="preserve">TRAZO, NIVELES Y REPLANTEO PRELIMINAR</t>
  </si>
  <si>
    <t xml:space="preserve">Sistema de Bombeo de Presión Constante</t>
  </si>
  <si>
    <t xml:space="preserve">Instalaciones sanitarias exteriores inc. Canaletas de evacuación pluvial</t>
  </si>
  <si>
    <t xml:space="preserve">CONINICIAL Y COMPACTACION DE SUBRASANTE</t>
  </si>
  <si>
    <t xml:space="preserve">Sistema de agua contra incendios (RED CONTRA INCENDIOS, GABINETES)</t>
  </si>
  <si>
    <t xml:space="preserve">Suministro y Montaje de Montacarga</t>
  </si>
  <si>
    <t xml:space="preserve">CERCO PERIMETRICO E INGRESOS</t>
  </si>
  <si>
    <t xml:space="preserve">Cerco Perimetrico H=3.00m</t>
  </si>
  <si>
    <t xml:space="preserve">ml</t>
  </si>
  <si>
    <t xml:space="preserve">EXCAVACION MANUAL PARA CIMENTACIONES</t>
  </si>
  <si>
    <t xml:space="preserve">COLUMNAS PARA CERCO PERIMETRICO - CONCRETO F'C=210 KG/CM2</t>
  </si>
  <si>
    <t xml:space="preserve">PORTON</t>
  </si>
  <si>
    <t xml:space="preserve">Portada de Ingreso (Porton metalico)</t>
  </si>
  <si>
    <t xml:space="preserve">OPERADOR DE EQUIPO LIVIANO</t>
  </si>
  <si>
    <t xml:space="preserve">COBERTURA LIVIANA DE LOSA DEPORTIVA </t>
  </si>
  <si>
    <t xml:space="preserve">VEREDAS Y RAMPAS</t>
  </si>
  <si>
    <t xml:space="preserve">PAVIMENTO RIGIDO VEHICULAR </t>
  </si>
  <si>
    <t xml:space="preserve">Subpartida </t>
  </si>
  <si>
    <t xml:space="preserve">SUMINISTRO Y MONTAJE DE MONTACARGA</t>
  </si>
  <si>
    <t xml:space="preserve">ml/dia</t>
  </si>
  <si>
    <t xml:space="preserve">COMPACTADORA VIBRATORIA TIPO PLANCHA 7 HP</t>
  </si>
  <si>
    <t xml:space="preserve">AS</t>
  </si>
  <si>
    <t xml:space="preserve">COLUMNAS - ENCOFRADO Y DESENCOFRADO</t>
  </si>
  <si>
    <t xml:space="preserve">COLUMNAS - CONCRETO F'C=210 KG/CM2</t>
  </si>
  <si>
    <t xml:space="preserve">COLUMNAS - ACERO FY=4,200 KG/CM2</t>
  </si>
  <si>
    <t xml:space="preserve">VIGAS - ENCOFRADO Y DESENCOFRADO</t>
  </si>
  <si>
    <t xml:space="preserve">VIGAS - CONCRETO F'C=210 KG/CM2</t>
  </si>
  <si>
    <t xml:space="preserve">VIGAS - ACERO FY=4,200 KG/CM2</t>
  </si>
  <si>
    <t xml:space="preserve">Total x m/2</t>
  </si>
  <si>
    <t xml:space="preserve">Area tecada de escalera</t>
  </si>
  <si>
    <t xml:space="preserve">CIMENTACION </t>
  </si>
  <si>
    <t xml:space="preserve">TRAZO Y REPLANTEO DURANTE LA EJECUCION DE OBRA</t>
  </si>
  <si>
    <t xml:space="preserve">OBRAS DE CONCRETO ARMADO</t>
  </si>
  <si>
    <t xml:space="preserve">TOPOGRAFO </t>
  </si>
  <si>
    <t xml:space="preserve">CAL HIDRATADA BOLSA 30 kg</t>
  </si>
  <si>
    <t xml:space="preserve">TEODOLITO Y MIRA</t>
  </si>
  <si>
    <t xml:space="preserve">CORDEL</t>
  </si>
  <si>
    <t xml:space="preserve">ZAPATAS.- ENCOFRADO Y DESENCOFRADO</t>
  </si>
  <si>
    <t xml:space="preserve">Area de cimentación </t>
  </si>
  <si>
    <t xml:space="preserve">CONFORMACION Y COMPACTACION DE SUBRASANTE</t>
  </si>
  <si>
    <t xml:space="preserve">FALSA ZAPATA F’C=100 KG/CM² + PIEDRA GRANDE DE 8" </t>
  </si>
  <si>
    <t xml:space="preserve">CONCRETO CICLOPEO F’C=100 KG/CM² + PIEDRA GRANDE DE 8" </t>
  </si>
  <si>
    <t xml:space="preserve">SOLADO PARA  CIMENTACIÓN FC=100 KG/CM2 E=4"</t>
  </si>
  <si>
    <t xml:space="preserve">PLATEA DE CIMENTACIÓN</t>
  </si>
  <si>
    <t xml:space="preserve">Platea de cimentación – Concreto f'c=210</t>
  </si>
  <si>
    <t xml:space="preserve">Platea de cimentación – Encofrado y desencofrado</t>
  </si>
  <si>
    <t xml:space="preserve">Platea de cimentación – Acero fy=4200</t>
  </si>
  <si>
    <t xml:space="preserve">MELAMINA</t>
  </si>
  <si>
    <t xml:space="preserve">Piso Laminado de alto transito en aulas</t>
  </si>
  <si>
    <t xml:space="preserve">u</t>
  </si>
  <si>
    <t xml:space="preserve">SALIDA DE AGUA FRIA </t>
  </si>
  <si>
    <t xml:space="preserve">SALIDA DE AGUA CALIENTE</t>
  </si>
  <si>
    <t xml:space="preserve">SISTEMA MAGAFONÍA (PERIFONEO)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</si>
</sst>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"/>
    <numFmt numFmtId="166" formatCode="0.00\ %"/>
    <numFmt numFmtId="167" formatCode="General"/>
    <numFmt numFmtId="168" formatCode="0.00"/>
    <numFmt numFmtId="169" formatCode="0.00000"/>
    <numFmt numFmtId="170" formatCode="0.0000"/>
    <numFmt numFmtId="171" formatCode="0.000"/>
    <numFmt numFmtId="172" formatCode="_(* #,##0.00_);_(* \(#,##0.00\);_(* \-??_);_(@_)"/>
    <numFmt numFmtId="173" formatCode="_ * #,##0.000_ ;_ * \-#,##0.000_ ;_ * \-??_ ;_ @_ "/>
    <numFmt numFmtId="174" formatCode="0"/>
    <numFmt numFmtId="175" formatCode="#,##0.0000"/>
    <numFmt numFmtId="176" formatCode="0\ %"/>
    <numFmt numFmtId="177" formatCode="0.0"/>
    <numFmt numFmtId="178" formatCode="#,##0.00_);\-#,##0.00"/>
    <numFmt numFmtId="179" formatCode="#,##0.0000_);\-#,##0.0000"/>
    <numFmt numFmtId="180" formatCode="_ * #,##0.00_ ;_ * \-#,##0.00_ ;_ * \-??_ ;_ @_ "/>
    <numFmt numFmtId="181" formatCode="#,##0.0000000"/>
  </numFmts>
  <fonts count="6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color rgb="FF000000"/>
      <name val="MS Sans Serif"/>
      <family val="2"/>
      <charset val="1"/>
    </font>
    <font>
      <sz val="8"/>
      <name val="Arial"/>
      <family val="2"/>
      <charset val="1"/>
    </font>
    <font>
      <sz val="10"/>
      <color rgb="FF000000"/>
      <name val="MS Sans Serif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  <font>
      <sz val="11"/>
      <name val="Calibri"/>
      <family val="2"/>
      <charset val="1"/>
    </font>
    <font>
      <b val="true"/>
      <sz val="11"/>
      <color rgb="FF0070C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9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242424"/>
      <name val="Aptos Narrow"/>
      <family val="0"/>
      <charset val="1"/>
    </font>
    <font>
      <b val="true"/>
      <sz val="11"/>
      <color rgb="FF7030A0"/>
      <name val="Calibri"/>
      <family val="2"/>
      <charset val="1"/>
    </font>
    <font>
      <sz val="11"/>
      <color rgb="FF7030A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9"/>
      <color rgb="FF000000"/>
      <name val="Calibri"/>
      <family val="2"/>
      <charset val="1"/>
    </font>
    <font>
      <b val="true"/>
      <sz val="11"/>
      <color theme="4"/>
      <name val="Calibri"/>
      <family val="2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0"/>
      <charset val="1"/>
    </font>
    <font>
      <b val="true"/>
      <sz val="11"/>
      <color theme="1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b val="true"/>
      <sz val="9"/>
      <color rgb="FF000000"/>
      <name val="Aptos Narrow"/>
      <family val="0"/>
      <charset val="1"/>
    </font>
    <font>
      <sz val="10"/>
      <color rgb="FF000000"/>
      <name val="ARIAL"/>
      <family val="0"/>
      <charset val="1"/>
    </font>
    <font>
      <sz val="11"/>
      <color rgb="FF002060"/>
      <name val="Calibri"/>
      <family val="2"/>
      <charset val="1"/>
    </font>
    <font>
      <sz val="11"/>
      <color rgb="FF000000"/>
      <name val="Arial"/>
      <family val="0"/>
      <charset val="1"/>
    </font>
    <font>
      <sz val="11"/>
      <color theme="9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1"/>
      <color theme="1"/>
      <name val="ARIAL"/>
      <family val="2"/>
      <charset val="1"/>
    </font>
    <font>
      <sz val="8.05"/>
      <color rgb="FF000000"/>
      <name val="Arial Narrow"/>
      <family val="0"/>
      <charset val="1"/>
    </font>
    <font>
      <b val="true"/>
      <sz val="8.05"/>
      <color rgb="FF000000"/>
      <name val="Arial Narrow"/>
      <family val="0"/>
      <charset val="1"/>
    </font>
    <font>
      <b val="true"/>
      <sz val="7.9"/>
      <color rgb="FF000000"/>
      <name val="Arial"/>
      <family val="0"/>
      <charset val="1"/>
    </font>
    <font>
      <sz val="10"/>
      <color rgb="FFFF0000"/>
      <name val="MS Sans Serif"/>
      <family val="0"/>
      <charset val="1"/>
    </font>
    <font>
      <sz val="11"/>
      <color rgb="FF242424"/>
      <name val="Consolas"/>
      <family val="0"/>
      <charset val="1"/>
    </font>
    <font>
      <b val="true"/>
      <sz val="10"/>
      <color rgb="FF000000"/>
      <name val="Arial"/>
      <family val="2"/>
      <charset val="1"/>
    </font>
    <font>
      <sz val="10"/>
      <name val="Arial"/>
      <family val="0"/>
      <charset val="1"/>
    </font>
    <font>
      <b val="true"/>
      <sz val="11"/>
      <color rgb="FF242424"/>
      <name val="Aptos Narrow"/>
      <family val="2"/>
      <charset val="1"/>
    </font>
    <font>
      <sz val="11"/>
      <color rgb="FF242424"/>
      <name val="Aptos Narrow"/>
      <family val="2"/>
      <charset val="1"/>
    </font>
    <font>
      <sz val="11"/>
      <color theme="4" tint="-0.25"/>
      <name val="Calibri"/>
      <family val="2"/>
      <charset val="1"/>
    </font>
    <font>
      <b val="true"/>
      <sz val="11"/>
      <color rgb="FF000000"/>
      <name val="Aptos Narrow"/>
      <family val="2"/>
      <charset val="1"/>
    </font>
    <font>
      <sz val="10"/>
      <color rgb="FF7030A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7030A0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theme="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theme="2" tint="-0.1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theme="4" tint="0.5999"/>
        <bgColor rgb="FF99CCFF"/>
      </patternFill>
    </fill>
    <fill>
      <patternFill patternType="solid">
        <fgColor theme="0"/>
        <bgColor rgb="FFFFFFCC"/>
      </patternFill>
    </fill>
    <fill>
      <patternFill patternType="solid">
        <fgColor rgb="FF92D050"/>
        <bgColor rgb="FF70AD47"/>
      </patternFill>
    </fill>
    <fill>
      <patternFill patternType="solid">
        <fgColor theme="7" tint="0.3999"/>
        <bgColor rgb="FFFFFF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3" fontId="3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3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3" fontId="4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3" fontId="3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2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4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top" textRotation="0" wrapText="false" indent="0" shrinkToFit="false" readingOrder="1"/>
      <protection locked="true" hidden="false"/>
    </xf>
    <xf numFmtId="175" fontId="4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5" fontId="42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42" fillId="5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1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1" fillId="0" borderId="0" xfId="21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51" fillId="0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2" fontId="5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0" xfId="21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2" fontId="39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39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3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1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5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1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8" fontId="39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8" fontId="51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1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1" fillId="0" borderId="0" xfId="2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39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2" fontId="4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0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3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9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12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12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12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9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0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30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4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5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7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7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9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1" fontId="3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58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0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81" fontId="3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2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1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5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2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1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52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6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1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1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3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2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1" fontId="41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63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4" fillId="5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1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4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Normal 2" xfId="21"/>
    <cellStyle name="Normal 3" xfId="22"/>
    <cellStyle name="Normal 4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D0CECE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D966"/>
      <rgbColor rgb="FF4472C4"/>
      <rgbColor rgb="FF33CCCC"/>
      <rgbColor rgb="FF92D050"/>
      <rgbColor rgb="FFFFC000"/>
      <rgbColor rgb="FFFF9900"/>
      <rgbColor rgb="FFFF6600"/>
      <rgbColor rgb="FF666699"/>
      <rgbColor rgb="FF70AD47"/>
      <rgbColor rgb="FF002060"/>
      <rgbColor rgb="FF00B050"/>
      <rgbColor rgb="FF003300"/>
      <rgbColor rgb="FF333300"/>
      <rgbColor rgb="FF993300"/>
      <rgbColor rgb="FF993366"/>
      <rgbColor rgb="FF2F5597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9360</xdr:colOff>
      <xdr:row>0</xdr:row>
      <xdr:rowOff>123840</xdr:rowOff>
    </xdr:from>
    <xdr:to>
      <xdr:col>8</xdr:col>
      <xdr:colOff>542160</xdr:colOff>
      <xdr:row>50</xdr:row>
      <xdr:rowOff>37440</xdr:rowOff>
    </xdr:to>
    <xdr:pic>
      <xdr:nvPicPr>
        <xdr:cNvPr id="2" name="Imagen 1" descr=""/>
        <xdr:cNvPicPr/>
      </xdr:nvPicPr>
      <xdr:blipFill>
        <a:blip r:embed="rId1"/>
        <a:stretch/>
      </xdr:blipFill>
      <xdr:spPr>
        <a:xfrm>
          <a:off x="6644520" y="123840"/>
          <a:ext cx="3283560" cy="943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504720</xdr:colOff>
      <xdr:row>178</xdr:row>
      <xdr:rowOff>181080</xdr:rowOff>
    </xdr:from>
    <xdr:to>
      <xdr:col>8</xdr:col>
      <xdr:colOff>427680</xdr:colOff>
      <xdr:row>227</xdr:row>
      <xdr:rowOff>78120</xdr:rowOff>
    </xdr:to>
    <xdr:pic>
      <xdr:nvPicPr>
        <xdr:cNvPr id="3" name="Imagen 4" descr=""/>
        <xdr:cNvPicPr/>
      </xdr:nvPicPr>
      <xdr:blipFill>
        <a:blip r:embed="rId2"/>
        <a:stretch/>
      </xdr:blipFill>
      <xdr:spPr>
        <a:xfrm>
          <a:off x="6452280" y="34090200"/>
          <a:ext cx="3361320" cy="9438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5" activeCellId="0" sqref="B8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15"/>
    <col collapsed="false" customWidth="true" hidden="false" outlineLevel="0" max="2" min="2" style="1" width="54"/>
    <col collapsed="false" customWidth="true" hidden="false" outlineLevel="0" max="3" min="3" style="1" width="27.86"/>
    <col collapsed="false" customWidth="true" hidden="false" outlineLevel="0" max="4" min="4" style="1" width="30.43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/>
      <c r="B3" s="4"/>
      <c r="C3" s="4"/>
      <c r="D3" s="4"/>
    </row>
    <row r="5" customFormat="false" ht="15" hidden="false" customHeight="false" outlineLevel="0" collapsed="false">
      <c r="A5" s="2" t="s">
        <v>5</v>
      </c>
    </row>
    <row r="6" customFormat="false" ht="15" hidden="false" customHeight="false" outlineLevel="0" collapsed="false">
      <c r="A6" s="3" t="s">
        <v>6</v>
      </c>
      <c r="B6" s="3" t="s">
        <v>7</v>
      </c>
    </row>
    <row r="7" customFormat="false" ht="15" hidden="false" customHeight="false" outlineLevel="0" collapsed="false">
      <c r="A7" s="5" t="s">
        <v>8</v>
      </c>
      <c r="B7" s="5" t="s">
        <v>8</v>
      </c>
    </row>
    <row r="8" customFormat="false" ht="15" hidden="false" customHeight="false" outlineLevel="0" collapsed="false">
      <c r="A8" s="5" t="s">
        <v>9</v>
      </c>
      <c r="B8" s="5" t="s">
        <v>9</v>
      </c>
    </row>
    <row r="9" customFormat="false" ht="15" hidden="false" customHeight="false" outlineLevel="0" collapsed="false">
      <c r="A9" s="5"/>
      <c r="B9" s="5"/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3" t="s">
        <v>11</v>
      </c>
      <c r="B13" s="3" t="s">
        <v>12</v>
      </c>
      <c r="C13" s="3" t="s">
        <v>13</v>
      </c>
    </row>
    <row r="14" customFormat="false" ht="15" hidden="false" customHeight="false" outlineLevel="0" collapsed="false">
      <c r="A14" s="5" t="s">
        <v>14</v>
      </c>
      <c r="B14" s="5" t="n">
        <v>1</v>
      </c>
      <c r="C14" s="4"/>
    </row>
    <row r="15" customFormat="false" ht="15" hidden="false" customHeight="false" outlineLevel="0" collapsed="false">
      <c r="A15" s="5" t="s">
        <v>15</v>
      </c>
      <c r="B15" s="5" t="n">
        <v>2</v>
      </c>
      <c r="C15" s="4"/>
    </row>
    <row r="16" customFormat="false" ht="15" hidden="false" customHeight="false" outlineLevel="0" collapsed="false">
      <c r="B16" s="5" t="n">
        <v>3</v>
      </c>
      <c r="C16" s="4"/>
    </row>
    <row r="17" customFormat="false" ht="15" hidden="false" customHeight="false" outlineLevel="0" collapsed="false">
      <c r="B17" s="5" t="n">
        <v>4</v>
      </c>
      <c r="C17" s="4"/>
    </row>
    <row r="24" customFormat="false" ht="15" hidden="false" customHeight="false" outlineLevel="0" collapsed="false">
      <c r="A24" s="2" t="s">
        <v>16</v>
      </c>
    </row>
    <row r="25" customFormat="false" ht="15" hidden="false" customHeight="false" outlineLevel="0" collapsed="false">
      <c r="A25" s="7"/>
      <c r="B25" s="3" t="s">
        <v>17</v>
      </c>
      <c r="C25" s="3" t="s">
        <v>18</v>
      </c>
      <c r="D25" s="2"/>
    </row>
    <row r="26" customFormat="false" ht="15" hidden="false" customHeight="false" outlineLevel="0" collapsed="false">
      <c r="A26" s="8" t="s">
        <v>19</v>
      </c>
      <c r="B26" s="4"/>
      <c r="C26" s="4"/>
    </row>
    <row r="27" customFormat="false" ht="15" hidden="false" customHeight="false" outlineLevel="0" collapsed="false">
      <c r="A27" s="8" t="s">
        <v>20</v>
      </c>
      <c r="B27" s="4"/>
      <c r="C27" s="4"/>
    </row>
    <row r="28" customFormat="false" ht="15" hidden="false" customHeight="false" outlineLevel="0" collapsed="false">
      <c r="A28" s="8" t="s">
        <v>21</v>
      </c>
      <c r="B28" s="4"/>
      <c r="C28" s="4"/>
    </row>
    <row r="29" customFormat="false" ht="15" hidden="false" customHeight="false" outlineLevel="0" collapsed="false">
      <c r="A29" s="8" t="s">
        <v>22</v>
      </c>
      <c r="B29" s="4"/>
      <c r="C29" s="4"/>
    </row>
    <row r="30" customFormat="false" ht="15" hidden="false" customHeight="false" outlineLevel="0" collapsed="false">
      <c r="A30" s="8" t="s">
        <v>23</v>
      </c>
      <c r="B30" s="4"/>
      <c r="C30" s="4"/>
    </row>
    <row r="31" customFormat="false" ht="15" hidden="false" customHeight="false" outlineLevel="0" collapsed="false">
      <c r="A31" s="8" t="s">
        <v>24</v>
      </c>
      <c r="B31" s="4"/>
      <c r="C31" s="4"/>
    </row>
    <row r="32" customFormat="false" ht="15" hidden="false" customHeight="false" outlineLevel="0" collapsed="false">
      <c r="A32" s="8" t="s">
        <v>25</v>
      </c>
      <c r="B32" s="4"/>
      <c r="C32" s="4"/>
    </row>
    <row r="33" customFormat="false" ht="15" hidden="false" customHeight="false" outlineLevel="0" collapsed="false">
      <c r="A33" s="8" t="s">
        <v>26</v>
      </c>
      <c r="B33" s="4"/>
      <c r="C33" s="4"/>
    </row>
    <row r="34" customFormat="false" ht="15" hidden="false" customHeight="false" outlineLevel="0" collapsed="false">
      <c r="A34" s="8" t="s">
        <v>27</v>
      </c>
      <c r="B34" s="4"/>
      <c r="C34" s="4"/>
    </row>
    <row r="35" customFormat="false" ht="15" hidden="false" customHeight="false" outlineLevel="0" collapsed="false">
      <c r="A35" s="8" t="s">
        <v>28</v>
      </c>
      <c r="B35" s="4"/>
      <c r="C35" s="4"/>
    </row>
    <row r="36" customFormat="false" ht="15" hidden="false" customHeight="false" outlineLevel="0" collapsed="false">
      <c r="A36" s="8" t="s">
        <v>29</v>
      </c>
      <c r="B36" s="4"/>
      <c r="C36" s="4"/>
    </row>
    <row r="37" customFormat="false" ht="15" hidden="false" customHeight="false" outlineLevel="0" collapsed="false">
      <c r="A37" s="8" t="s">
        <v>30</v>
      </c>
      <c r="B37" s="4"/>
      <c r="C37" s="4"/>
    </row>
    <row r="38" customFormat="false" ht="15" hidden="false" customHeight="false" outlineLevel="0" collapsed="false">
      <c r="A38" s="8" t="s">
        <v>31</v>
      </c>
      <c r="B38" s="4"/>
      <c r="C38" s="4"/>
    </row>
    <row r="39" customFormat="false" ht="15" hidden="false" customHeight="false" outlineLevel="0" collapsed="false">
      <c r="A39" s="5" t="s">
        <v>32</v>
      </c>
      <c r="B39" s="4"/>
      <c r="C39" s="4"/>
    </row>
    <row r="40" customFormat="false" ht="15" hidden="false" customHeight="false" outlineLevel="0" collapsed="false">
      <c r="A40" s="5" t="s">
        <v>33</v>
      </c>
      <c r="B40" s="4"/>
      <c r="C40" s="4"/>
    </row>
    <row r="41" customFormat="false" ht="15" hidden="false" customHeight="false" outlineLevel="0" collapsed="false">
      <c r="A41" s="5" t="s">
        <v>34</v>
      </c>
      <c r="B41" s="4"/>
      <c r="C41" s="4"/>
    </row>
    <row r="42" customFormat="false" ht="15" hidden="false" customHeight="false" outlineLevel="0" collapsed="false">
      <c r="A42" s="5" t="s">
        <v>35</v>
      </c>
      <c r="B42" s="4"/>
      <c r="C42" s="4"/>
    </row>
    <row r="43" customFormat="false" ht="15" hidden="false" customHeight="false" outlineLevel="0" collapsed="false">
      <c r="A43" s="5" t="s">
        <v>36</v>
      </c>
      <c r="B43" s="4"/>
      <c r="C43" s="4"/>
    </row>
    <row r="44" customFormat="false" ht="15" hidden="false" customHeight="false" outlineLevel="0" collapsed="false">
      <c r="A44" s="5" t="s">
        <v>37</v>
      </c>
      <c r="B44" s="4"/>
      <c r="C44" s="4"/>
    </row>
    <row r="45" customFormat="false" ht="15" hidden="false" customHeight="false" outlineLevel="0" collapsed="false">
      <c r="A45" s="5" t="s">
        <v>38</v>
      </c>
      <c r="B45" s="4"/>
      <c r="C45" s="4"/>
    </row>
    <row r="46" customFormat="false" ht="15" hidden="false" customHeight="false" outlineLevel="0" collapsed="false">
      <c r="A46" s="5" t="s">
        <v>39</v>
      </c>
      <c r="B46" s="4"/>
      <c r="C46" s="4"/>
    </row>
    <row r="47" customFormat="false" ht="15" hidden="false" customHeight="false" outlineLevel="0" collapsed="false">
      <c r="A47" s="5" t="s">
        <v>40</v>
      </c>
      <c r="B47" s="4"/>
      <c r="C47" s="4"/>
    </row>
    <row r="48" customFormat="false" ht="15" hidden="false" customHeight="false" outlineLevel="0" collapsed="false">
      <c r="A48" s="5" t="s">
        <v>41</v>
      </c>
      <c r="B48" s="4"/>
      <c r="C48" s="4"/>
    </row>
    <row r="49" customFormat="false" ht="15" hidden="false" customHeight="false" outlineLevel="0" collapsed="false">
      <c r="A49" s="5" t="s">
        <v>42</v>
      </c>
      <c r="B49" s="4"/>
      <c r="C49" s="4"/>
    </row>
    <row r="50" customFormat="false" ht="15" hidden="false" customHeight="false" outlineLevel="0" collapsed="false">
      <c r="A50" s="5" t="s">
        <v>43</v>
      </c>
      <c r="B50" s="4"/>
      <c r="C50" s="4"/>
    </row>
    <row r="51" customFormat="false" ht="15" hidden="false" customHeight="false" outlineLevel="0" collapsed="false">
      <c r="A51" s="5" t="s">
        <v>44</v>
      </c>
      <c r="B51" s="4"/>
      <c r="C51" s="4"/>
    </row>
    <row r="52" customFormat="false" ht="15" hidden="false" customHeight="false" outlineLevel="0" collapsed="false">
      <c r="A52" s="5" t="s">
        <v>45</v>
      </c>
      <c r="B52" s="4"/>
      <c r="C52" s="4"/>
    </row>
    <row r="53" customFormat="false" ht="15" hidden="false" customHeight="false" outlineLevel="0" collapsed="false">
      <c r="A53" s="5" t="s">
        <v>46</v>
      </c>
      <c r="B53" s="4"/>
      <c r="C53" s="4"/>
    </row>
    <row r="54" customFormat="false" ht="15" hidden="false" customHeight="false" outlineLevel="0" collapsed="false">
      <c r="A54" s="5" t="s">
        <v>47</v>
      </c>
      <c r="B54" s="4"/>
      <c r="C54" s="4"/>
    </row>
    <row r="55" customFormat="false" ht="15" hidden="false" customHeight="false" outlineLevel="0" collapsed="false">
      <c r="A55" s="5" t="s">
        <v>48</v>
      </c>
      <c r="B55" s="4"/>
      <c r="C55" s="4"/>
    </row>
    <row r="56" customFormat="false" ht="15" hidden="false" customHeight="false" outlineLevel="0" collapsed="false">
      <c r="A56" s="5" t="s">
        <v>49</v>
      </c>
      <c r="B56" s="4"/>
      <c r="C56" s="4"/>
    </row>
    <row r="57" customFormat="false" ht="15" hidden="false" customHeight="false" outlineLevel="0" collapsed="false">
      <c r="A57" s="5" t="s">
        <v>50</v>
      </c>
      <c r="B57" s="4"/>
      <c r="C57" s="4"/>
    </row>
    <row r="58" customFormat="false" ht="15" hidden="false" customHeight="false" outlineLevel="0" collapsed="false">
      <c r="A58" s="5" t="s">
        <v>51</v>
      </c>
      <c r="B58" s="4"/>
      <c r="C58" s="4"/>
    </row>
    <row r="59" customFormat="false" ht="15" hidden="false" customHeight="false" outlineLevel="0" collapsed="false">
      <c r="A59" s="5" t="s">
        <v>52</v>
      </c>
      <c r="B59" s="4"/>
      <c r="C59" s="4"/>
    </row>
    <row r="60" customFormat="false" ht="15" hidden="false" customHeight="false" outlineLevel="0" collapsed="false">
      <c r="A60" s="5" t="s">
        <v>53</v>
      </c>
      <c r="B60" s="4"/>
      <c r="C60" s="4"/>
    </row>
    <row r="61" customFormat="false" ht="15" hidden="false" customHeight="false" outlineLevel="0" collapsed="false">
      <c r="A61" s="5" t="s">
        <v>54</v>
      </c>
      <c r="B61" s="4"/>
      <c r="C61" s="4"/>
    </row>
    <row r="62" customFormat="false" ht="15" hidden="false" customHeight="false" outlineLevel="0" collapsed="false">
      <c r="A62" s="5" t="s">
        <v>55</v>
      </c>
      <c r="B62" s="4"/>
      <c r="C62" s="4"/>
    </row>
    <row r="63" customFormat="false" ht="15" hidden="false" customHeight="false" outlineLevel="0" collapsed="false">
      <c r="A63" s="5" t="s">
        <v>56</v>
      </c>
      <c r="B63" s="4"/>
      <c r="C63" s="4"/>
    </row>
    <row r="64" customFormat="false" ht="15" hidden="false" customHeight="false" outlineLevel="0" collapsed="false">
      <c r="A64" s="5" t="s">
        <v>57</v>
      </c>
      <c r="B64" s="4"/>
      <c r="C64" s="4"/>
    </row>
    <row r="65" customFormat="false" ht="15" hidden="false" customHeight="false" outlineLevel="0" collapsed="false">
      <c r="A65" s="5" t="s">
        <v>58</v>
      </c>
      <c r="B65" s="4"/>
      <c r="C65" s="4"/>
    </row>
    <row r="66" customFormat="false" ht="15" hidden="false" customHeight="false" outlineLevel="0" collapsed="false">
      <c r="A66" s="5" t="s">
        <v>59</v>
      </c>
      <c r="B66" s="4"/>
      <c r="C66" s="4"/>
    </row>
    <row r="67" customFormat="false" ht="15" hidden="false" customHeight="false" outlineLevel="0" collapsed="false">
      <c r="A67" s="5" t="s">
        <v>60</v>
      </c>
      <c r="B67" s="4"/>
      <c r="C67" s="4"/>
    </row>
    <row r="68" customFormat="false" ht="15" hidden="false" customHeight="false" outlineLevel="0" collapsed="false">
      <c r="A68" s="5" t="s">
        <v>61</v>
      </c>
      <c r="B68" s="4"/>
      <c r="C68" s="4"/>
    </row>
    <row r="69" customFormat="false" ht="15" hidden="false" customHeight="false" outlineLevel="0" collapsed="false">
      <c r="A69" s="5" t="s">
        <v>62</v>
      </c>
      <c r="B69" s="4"/>
      <c r="C69" s="4"/>
    </row>
    <row r="70" customFormat="false" ht="15" hidden="false" customHeight="false" outlineLevel="0" collapsed="false">
      <c r="A70" s="5" t="s">
        <v>63</v>
      </c>
      <c r="B70" s="4"/>
      <c r="C70" s="4"/>
    </row>
    <row r="71" customFormat="false" ht="15" hidden="false" customHeight="false" outlineLevel="0" collapsed="false">
      <c r="A71" s="5" t="s">
        <v>64</v>
      </c>
      <c r="B71" s="4"/>
      <c r="C71" s="4"/>
    </row>
    <row r="72" customFormat="false" ht="15" hidden="false" customHeight="false" outlineLevel="0" collapsed="false">
      <c r="A72" s="5" t="s">
        <v>65</v>
      </c>
      <c r="B72" s="4"/>
      <c r="C72" s="4"/>
    </row>
    <row r="73" customFormat="false" ht="15" hidden="false" customHeight="false" outlineLevel="0" collapsed="false">
      <c r="A73" s="5" t="s">
        <v>66</v>
      </c>
      <c r="B73" s="4"/>
      <c r="C73" s="4"/>
    </row>
    <row r="74" customFormat="false" ht="15" hidden="false" customHeight="false" outlineLevel="0" collapsed="false">
      <c r="A74" s="5" t="s">
        <v>67</v>
      </c>
      <c r="B74" s="4"/>
      <c r="C74" s="4"/>
    </row>
    <row r="75" customFormat="false" ht="15" hidden="false" customHeight="false" outlineLevel="0" collapsed="false">
      <c r="A75" s="5" t="s">
        <v>68</v>
      </c>
      <c r="B75" s="4"/>
      <c r="C75" s="4"/>
    </row>
    <row r="76" customFormat="false" ht="15" hidden="false" customHeight="false" outlineLevel="0" collapsed="false">
      <c r="A76" s="5" t="s">
        <v>69</v>
      </c>
      <c r="B76" s="4"/>
      <c r="C76" s="4"/>
    </row>
    <row r="77" customFormat="false" ht="15" hidden="false" customHeight="false" outlineLevel="0" collapsed="false">
      <c r="A77" s="5" t="s">
        <v>70</v>
      </c>
      <c r="B77" s="4"/>
      <c r="C77" s="4"/>
    </row>
    <row r="78" customFormat="false" ht="15" hidden="false" customHeight="false" outlineLevel="0" collapsed="false">
      <c r="A78" s="5" t="s">
        <v>71</v>
      </c>
      <c r="B78" s="4"/>
      <c r="C78" s="4"/>
    </row>
    <row r="79" customFormat="false" ht="15" hidden="false" customHeight="false" outlineLevel="0" collapsed="false">
      <c r="A79" s="6"/>
    </row>
    <row r="80" customFormat="false" ht="15" hidden="false" customHeight="false" outlineLevel="0" collapsed="false">
      <c r="A80" s="6"/>
    </row>
    <row r="81" customFormat="false" ht="15" hidden="false" customHeight="false" outlineLevel="0" collapsed="false">
      <c r="A81" s="6"/>
    </row>
    <row r="82" customFormat="false" ht="15" hidden="false" customHeight="false" outlineLevel="0" collapsed="false">
      <c r="A82" s="6"/>
    </row>
    <row r="83" customFormat="false" ht="15" hidden="false" customHeight="false" outlineLevel="0" collapsed="false">
      <c r="A83" s="2" t="s">
        <v>72</v>
      </c>
      <c r="E83" s="9"/>
      <c r="F83" s="9"/>
    </row>
    <row r="84" customFormat="false" ht="15" hidden="false" customHeight="false" outlineLevel="0" collapsed="false">
      <c r="B84" s="10" t="s">
        <v>17</v>
      </c>
      <c r="C84" s="10" t="s">
        <v>73</v>
      </c>
    </row>
    <row r="85" customFormat="false" ht="15" hidden="false" customHeight="false" outlineLevel="0" collapsed="false">
      <c r="A85" s="1" t="s">
        <v>74</v>
      </c>
      <c r="B85" s="11"/>
      <c r="C85" s="11"/>
    </row>
    <row r="86" customFormat="false" ht="15" hidden="false" customHeight="false" outlineLevel="0" collapsed="false">
      <c r="A86" s="1" t="s">
        <v>75</v>
      </c>
      <c r="B86" s="11"/>
      <c r="C86" s="11"/>
    </row>
    <row r="87" customFormat="false" ht="15" hidden="false" customHeight="false" outlineLevel="0" collapsed="false">
      <c r="A87" s="1" t="s">
        <v>76</v>
      </c>
      <c r="B87" s="11"/>
      <c r="C87" s="11"/>
    </row>
    <row r="88" customFormat="false" ht="15" hidden="false" customHeight="false" outlineLevel="0" collapsed="false">
      <c r="A88" s="1" t="s">
        <v>77</v>
      </c>
      <c r="B88" s="11"/>
      <c r="C88" s="11"/>
    </row>
    <row r="89" customFormat="false" ht="15" hidden="false" customHeight="false" outlineLevel="0" collapsed="false">
      <c r="A89" s="1" t="s">
        <v>78</v>
      </c>
      <c r="B89" s="11"/>
      <c r="C89" s="11"/>
    </row>
    <row r="90" customFormat="false" ht="15" hidden="false" customHeight="false" outlineLevel="0" collapsed="false">
      <c r="A90" s="1" t="s">
        <v>79</v>
      </c>
      <c r="B90" s="11"/>
      <c r="C90" s="12"/>
    </row>
    <row r="91" customFormat="false" ht="15" hidden="false" customHeight="false" outlineLevel="0" collapsed="false">
      <c r="A91" s="1" t="s">
        <v>80</v>
      </c>
      <c r="B91" s="11"/>
      <c r="C91" s="11"/>
    </row>
    <row r="92" customFormat="false" ht="15" hidden="false" customHeight="false" outlineLevel="0" collapsed="false">
      <c r="A92" s="1" t="s">
        <v>81</v>
      </c>
      <c r="B92" s="11"/>
      <c r="C92" s="11"/>
    </row>
    <row r="93" customFormat="false" ht="15" hidden="false" customHeight="false" outlineLevel="0" collapsed="false">
      <c r="A93" s="1" t="s">
        <v>82</v>
      </c>
      <c r="B93" s="11"/>
      <c r="C93" s="11"/>
    </row>
    <row r="94" customFormat="false" ht="15" hidden="false" customHeight="false" outlineLevel="0" collapsed="false">
      <c r="A94" s="1" t="s">
        <v>83</v>
      </c>
      <c r="B94" s="11"/>
      <c r="C94" s="12"/>
    </row>
    <row r="95" customFormat="false" ht="15" hidden="false" customHeight="false" outlineLevel="0" collapsed="false">
      <c r="A95" s="1" t="s">
        <v>84</v>
      </c>
      <c r="B95" s="11"/>
      <c r="C95" s="12"/>
    </row>
    <row r="96" customFormat="false" ht="15" hidden="false" customHeight="false" outlineLevel="0" collapsed="false">
      <c r="A96" s="1" t="s">
        <v>85</v>
      </c>
      <c r="B96" s="11"/>
      <c r="C96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AG110"/>
  <sheetViews>
    <sheetView showFormulas="false" showGridLines="true" showRowColHeaders="true" showZeros="true" rightToLeft="false" tabSelected="true" showOutlineSymbols="true" defaultGridColor="true" view="normal" topLeftCell="A29" colorId="64" zoomScale="100" zoomScaleNormal="100" zoomScalePageLayoutView="100" workbookViewId="0">
      <selection pane="topLeft" activeCell="A77" activeCellId="0" sqref="A7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21.3"/>
    <col collapsed="false" customWidth="true" hidden="false" outlineLevel="0" max="3" min="3" style="1" width="17.3"/>
    <col collapsed="false" customWidth="true" hidden="false" outlineLevel="0" max="4" min="4" style="1" width="27.28"/>
    <col collapsed="false" customWidth="true" hidden="false" outlineLevel="0" max="5" min="5" style="1" width="23"/>
    <col collapsed="false" customWidth="true" hidden="false" outlineLevel="0" max="6" min="6" style="1" width="15.57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3.71"/>
    <col collapsed="false" customWidth="true" hidden="false" outlineLevel="0" max="11" min="11" style="1" width="9.86"/>
    <col collapsed="false" customWidth="true" hidden="false" outlineLevel="0" max="12" min="12" style="1" width="23.57"/>
    <col collapsed="false" customWidth="true" hidden="false" outlineLevel="0" max="13" min="13" style="1" width="19.43"/>
    <col collapsed="false" customWidth="true" hidden="false" outlineLevel="0" max="14" min="14" style="1" width="14.57"/>
    <col collapsed="false" customWidth="true" hidden="false" outlineLevel="0" max="15" min="15" style="1" width="18"/>
    <col collapsed="false" customWidth="true" hidden="false" outlineLevel="0" max="16" min="16" style="1" width="17.14"/>
    <col collapsed="false" customWidth="true" hidden="false" outlineLevel="0" max="17" min="17" style="1" width="19.15"/>
    <col collapsed="false" customWidth="true" hidden="false" outlineLevel="0" max="18" min="18" style="1" width="13.86"/>
    <col collapsed="false" customWidth="true" hidden="false" outlineLevel="0" max="19" min="19" style="1" width="13.71"/>
    <col collapsed="false" customWidth="true" hidden="false" outlineLevel="0" max="20" min="20" style="1" width="14.57"/>
    <col collapsed="false" customWidth="true" hidden="false" outlineLevel="0" max="21" min="21" style="1" width="14"/>
    <col collapsed="false" customWidth="true" hidden="false" outlineLevel="0" max="22" min="22" style="1" width="13.43"/>
    <col collapsed="false" customWidth="true" hidden="false" outlineLevel="0" max="23" min="23" style="1" width="19.43"/>
    <col collapsed="false" customWidth="true" hidden="false" outlineLevel="0" max="24" min="24" style="1" width="13.43"/>
    <col collapsed="false" customWidth="true" hidden="false" outlineLevel="0" max="25" min="25" style="1" width="15.28"/>
    <col collapsed="false" customWidth="true" hidden="false" outlineLevel="0" max="26" min="26" style="1" width="19.57"/>
    <col collapsed="false" customWidth="true" hidden="false" outlineLevel="0" max="27" min="27" style="1" width="16.72"/>
    <col collapsed="false" customWidth="true" hidden="false" outlineLevel="0" max="28" min="28" style="1" width="17.86"/>
    <col collapsed="false" customWidth="true" hidden="false" outlineLevel="0" max="29" min="29" style="1" width="23"/>
    <col collapsed="false" customWidth="true" hidden="false" outlineLevel="0" max="31" min="31" style="1" width="15.86"/>
    <col collapsed="false" customWidth="true" hidden="false" outlineLevel="0" max="33" min="32" style="1" width="16"/>
    <col collapsed="false" customWidth="true" hidden="false" outlineLevel="0" max="34" min="34" style="1" width="9.3"/>
  </cols>
  <sheetData>
    <row r="1" customFormat="false" ht="15" hidden="false" customHeight="false" outlineLevel="0" collapsed="false">
      <c r="A1" s="13" t="s">
        <v>86</v>
      </c>
      <c r="B1" s="14"/>
      <c r="C1" s="14"/>
      <c r="D1" s="14"/>
    </row>
    <row r="2" customFormat="false" ht="15" hidden="false" customHeight="false" outlineLevel="0" collapsed="false">
      <c r="A2" s="15" t="s">
        <v>87</v>
      </c>
      <c r="B2" s="3" t="s">
        <v>88</v>
      </c>
      <c r="C2" s="3" t="s">
        <v>89</v>
      </c>
      <c r="D2" s="3" t="s">
        <v>90</v>
      </c>
      <c r="E2" s="3" t="s">
        <v>91</v>
      </c>
      <c r="F2" s="3" t="s">
        <v>92</v>
      </c>
    </row>
    <row r="3" customFormat="false" ht="15" hidden="false" customHeight="false" outlineLevel="0" collapsed="false">
      <c r="A3" s="13"/>
      <c r="B3" s="4" t="n">
        <v>150</v>
      </c>
      <c r="C3" s="4" t="n">
        <v>1000</v>
      </c>
      <c r="D3" s="4" t="n">
        <v>12</v>
      </c>
      <c r="E3" s="16" t="s">
        <v>8</v>
      </c>
      <c r="F3" s="17" t="n">
        <f aca="false" t="array" ref="F3:F3">_xlfn.IFS(E3="SI",'Obras provisionales'!K7,E3="NO",'Obras provisionales'!K7-SUM('Obras provisionales'!J74:J83))</f>
        <v>211078.930482853</v>
      </c>
      <c r="G3" s="9"/>
    </row>
    <row r="4" customFormat="false" ht="15" hidden="false" customHeight="false" outlineLevel="0" collapsed="false">
      <c r="A4" s="15" t="s">
        <v>10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92</v>
      </c>
    </row>
    <row r="5" customFormat="false" ht="15" hidden="false" customHeight="false" outlineLevel="0" collapsed="false">
      <c r="B5" s="4" t="n">
        <v>120</v>
      </c>
      <c r="C5" s="5" t="n">
        <v>1</v>
      </c>
      <c r="D5" s="18" t="s">
        <v>97</v>
      </c>
      <c r="E5" s="5" t="n">
        <f aca="false">IF(D5="zapatas y vigas de cimentación",IF(B5&gt;0,'Cimentación 1 piso'!N4,0),'Platea de Cimentacion'!N4)</f>
        <v>983.731798862921</v>
      </c>
      <c r="F5" s="17" t="n">
        <f aca="false">B5*E5</f>
        <v>118047.81586355</v>
      </c>
    </row>
    <row r="6" customFormat="false" ht="15" hidden="false" customHeight="false" outlineLevel="0" collapsed="false">
      <c r="B6" s="4" t="n">
        <v>120</v>
      </c>
      <c r="C6" s="5" t="n">
        <v>2</v>
      </c>
      <c r="D6" s="18" t="s">
        <v>97</v>
      </c>
      <c r="E6" s="5" t="n">
        <f aca="false">IF(D6="zapatas y vigas de cimentación",IF(B6&gt;0,'Cimentación 2 pisos '!N4,0),'Platea de Cimentacion'!N4)</f>
        <v>1027.29792688436</v>
      </c>
      <c r="F6" s="17" t="n">
        <f aca="false">B6*E6</f>
        <v>123275.751226124</v>
      </c>
    </row>
    <row r="7" customFormat="false" ht="15" hidden="false" customHeight="false" outlineLevel="0" collapsed="false">
      <c r="B7" s="4" t="n">
        <v>1</v>
      </c>
      <c r="C7" s="5" t="n">
        <v>3</v>
      </c>
      <c r="D7" s="18" t="s">
        <v>97</v>
      </c>
      <c r="E7" s="5" t="n">
        <f aca="false">IF(D7="zapatas y vigas de cimentación",IF(B7&gt;0,'Cimentación 3 pisos'!N4,0),'Platea de Cimentacion'!N4)</f>
        <v>1077.40065138409</v>
      </c>
      <c r="F7" s="17" t="n">
        <f aca="false">B7*E7</f>
        <v>1077.40065138409</v>
      </c>
    </row>
    <row r="8" customFormat="false" ht="15" hidden="false" customHeight="false" outlineLevel="0" collapsed="false">
      <c r="B8" s="4" t="n">
        <v>1</v>
      </c>
      <c r="C8" s="5" t="n">
        <v>4</v>
      </c>
      <c r="D8" s="18" t="s">
        <v>97</v>
      </c>
      <c r="E8" s="5" t="n">
        <f aca="false">IF(D8="zapatas y vigas de cimentación",IF(B8&gt;0,'Cimentación 4 pisos'!N4,0),'Platea de Cimentacion'!N4)</f>
        <v>1126.39524134753</v>
      </c>
      <c r="F8" s="17" t="n">
        <f aca="false">B8*E8</f>
        <v>1126.39524134753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A10" s="15" t="s">
        <v>98</v>
      </c>
      <c r="B10" s="3" t="s">
        <v>88</v>
      </c>
      <c r="C10" s="3"/>
      <c r="D10" s="3" t="s">
        <v>99</v>
      </c>
      <c r="E10" s="3" t="s">
        <v>96</v>
      </c>
      <c r="F10" s="3" t="s">
        <v>92</v>
      </c>
    </row>
    <row r="11" customFormat="false" ht="15" hidden="false" customHeight="false" outlineLevel="0" collapsed="false">
      <c r="B11" s="4" t="n">
        <v>150</v>
      </c>
      <c r="C11" s="5"/>
      <c r="D11" s="16" t="s">
        <v>9</v>
      </c>
      <c r="E11" s="5" t="n">
        <f aca="false" t="array" ref="E11:E11">_xlfn.IFS(D11="NO",'Estructura 1'!M4,D11="SI",'Estructura 1'!M4+'Estructura 2'!M4)</f>
        <v>807.416573685559</v>
      </c>
      <c r="F11" s="17" t="n">
        <f aca="false">B11*E11</f>
        <v>121112.486052834</v>
      </c>
    </row>
    <row r="12" customFormat="false" ht="15" hidden="false" customHeight="false" outlineLevel="0" collapsed="false">
      <c r="B12" s="3" t="s">
        <v>100</v>
      </c>
      <c r="C12" s="3"/>
      <c r="D12" s="3"/>
      <c r="E12" s="3" t="s">
        <v>96</v>
      </c>
      <c r="F12" s="3" t="s">
        <v>92</v>
      </c>
      <c r="H12" s="9"/>
    </row>
    <row r="13" customFormat="false" ht="15" hidden="false" customHeight="false" outlineLevel="0" collapsed="false">
      <c r="B13" s="4"/>
      <c r="C13" s="5"/>
      <c r="D13" s="7"/>
      <c r="E13" s="5" t="n">
        <f aca="false" t="array" ref="E13:E13">_xlfn.IFS(B13=0,0,B13&gt;0,Escalera!N4)</f>
        <v>0</v>
      </c>
      <c r="F13" s="17" t="n">
        <f aca="false">B13*E13</f>
        <v>0</v>
      </c>
      <c r="M13" s="9"/>
      <c r="N13" s="19"/>
      <c r="O13" s="20"/>
      <c r="P13" s="20"/>
      <c r="Q13" s="9"/>
      <c r="R13" s="19"/>
      <c r="S13" s="20"/>
      <c r="T13" s="9"/>
      <c r="U13" s="19"/>
      <c r="V13" s="20"/>
      <c r="W13" s="9"/>
      <c r="X13" s="19"/>
      <c r="Y13" s="20"/>
      <c r="Z13" s="9"/>
      <c r="AA13" s="19"/>
      <c r="AB13" s="20"/>
    </row>
    <row r="14" customFormat="false" ht="15" hidden="false" customHeight="false" outlineLevel="0" collapsed="false">
      <c r="A14" s="15" t="s">
        <v>16</v>
      </c>
      <c r="G14" s="9"/>
      <c r="M14" s="9"/>
      <c r="N14" s="19"/>
      <c r="O14" s="20"/>
      <c r="P14" s="20"/>
      <c r="Q14" s="9"/>
      <c r="R14" s="19"/>
      <c r="S14" s="20"/>
      <c r="T14" s="9"/>
      <c r="U14" s="19"/>
      <c r="V14" s="20"/>
      <c r="W14" s="9"/>
      <c r="X14" s="19"/>
      <c r="Y14" s="20"/>
      <c r="Z14" s="9"/>
      <c r="AA14" s="19"/>
      <c r="AB14" s="20"/>
    </row>
    <row r="15" customFormat="false" ht="15" hidden="false" customHeight="false" outlineLevel="0" collapsed="false">
      <c r="A15" s="7"/>
      <c r="B15" s="3" t="s">
        <v>17</v>
      </c>
      <c r="C15" s="21" t="s">
        <v>101</v>
      </c>
      <c r="D15" s="3" t="s">
        <v>102</v>
      </c>
      <c r="E15" s="6"/>
      <c r="F15" s="6"/>
      <c r="G15" s="6"/>
      <c r="H15" s="6"/>
      <c r="M15" s="9"/>
      <c r="N15" s="19"/>
      <c r="O15" s="20"/>
      <c r="P15" s="20"/>
      <c r="Q15" s="9"/>
      <c r="R15" s="19"/>
      <c r="S15" s="20"/>
      <c r="T15" s="9"/>
      <c r="U15" s="19"/>
      <c r="V15" s="20"/>
      <c r="W15" s="9"/>
      <c r="X15" s="19"/>
      <c r="Y15" s="20"/>
      <c r="Z15" s="9"/>
      <c r="AA15" s="19"/>
      <c r="AB15" s="20"/>
    </row>
    <row r="16" customFormat="false" ht="15" hidden="false" customHeight="false" outlineLevel="0" collapsed="false">
      <c r="A16" s="8" t="s">
        <v>19</v>
      </c>
      <c r="B16" s="22" t="n">
        <v>1</v>
      </c>
      <c r="C16" s="22" t="n">
        <v>100</v>
      </c>
      <c r="D16" s="5" t="n">
        <f aca="false">B16*C16</f>
        <v>100</v>
      </c>
      <c r="E16" s="6"/>
      <c r="F16" s="6"/>
      <c r="G16" s="6"/>
      <c r="H16" s="6"/>
      <c r="M16" s="9"/>
      <c r="N16" s="19"/>
      <c r="O16" s="20"/>
      <c r="P16" s="20"/>
      <c r="Q16" s="9"/>
      <c r="R16" s="19"/>
      <c r="S16" s="20"/>
      <c r="T16" s="9"/>
      <c r="U16" s="19"/>
      <c r="V16" s="20"/>
      <c r="W16" s="9"/>
      <c r="X16" s="19"/>
      <c r="Y16" s="20"/>
      <c r="Z16" s="9"/>
      <c r="AA16" s="19"/>
      <c r="AB16" s="20"/>
    </row>
    <row r="17" customFormat="false" ht="15" hidden="false" customHeight="false" outlineLevel="0" collapsed="false">
      <c r="A17" s="8" t="s">
        <v>20</v>
      </c>
      <c r="B17" s="22"/>
      <c r="C17" s="22"/>
      <c r="D17" s="23" t="n">
        <f aca="false">B17*C17</f>
        <v>0</v>
      </c>
      <c r="E17" s="6"/>
      <c r="G17" s="6"/>
      <c r="H17" s="6"/>
      <c r="I17" s="6"/>
      <c r="M17" s="9"/>
      <c r="N17" s="19"/>
      <c r="O17" s="20"/>
      <c r="P17" s="20"/>
      <c r="Q17" s="9"/>
      <c r="R17" s="19"/>
      <c r="S17" s="20"/>
      <c r="T17" s="9"/>
      <c r="U17" s="19"/>
      <c r="V17" s="20"/>
      <c r="W17" s="9"/>
      <c r="X17" s="19"/>
      <c r="Y17" s="20"/>
      <c r="Z17" s="9"/>
      <c r="AA17" s="19"/>
      <c r="AB17" s="20"/>
    </row>
    <row r="18" customFormat="false" ht="15" hidden="false" customHeight="false" outlineLevel="0" collapsed="false">
      <c r="A18" s="8" t="s">
        <v>21</v>
      </c>
      <c r="B18" s="22"/>
      <c r="C18" s="22"/>
      <c r="D18" s="23" t="n">
        <f aca="false">B18*C18</f>
        <v>0</v>
      </c>
      <c r="E18" s="6"/>
      <c r="G18" s="6"/>
      <c r="H18" s="6"/>
      <c r="I18" s="6"/>
      <c r="M18" s="9"/>
      <c r="N18" s="19"/>
      <c r="O18" s="20"/>
      <c r="P18" s="20"/>
      <c r="Q18" s="9"/>
      <c r="R18" s="19"/>
      <c r="S18" s="20"/>
      <c r="T18" s="9"/>
      <c r="U18" s="19"/>
      <c r="V18" s="20"/>
      <c r="W18" s="9"/>
      <c r="X18" s="19"/>
      <c r="Y18" s="20"/>
      <c r="Z18" s="9"/>
      <c r="AA18" s="19"/>
      <c r="AB18" s="20"/>
    </row>
    <row r="19" customFormat="false" ht="15" hidden="false" customHeight="false" outlineLevel="0" collapsed="false">
      <c r="A19" s="8" t="s">
        <v>22</v>
      </c>
      <c r="B19" s="22"/>
      <c r="C19" s="22"/>
      <c r="D19" s="23" t="n">
        <f aca="false">B19*C19</f>
        <v>0</v>
      </c>
      <c r="E19" s="6"/>
      <c r="G19" s="6"/>
      <c r="H19" s="6"/>
      <c r="I19" s="6"/>
      <c r="M19" s="9"/>
      <c r="N19" s="19"/>
      <c r="O19" s="20"/>
      <c r="P19" s="20"/>
      <c r="Q19" s="9"/>
      <c r="R19" s="19"/>
      <c r="S19" s="20"/>
      <c r="T19" s="9"/>
      <c r="U19" s="19"/>
      <c r="V19" s="20"/>
      <c r="W19" s="9"/>
      <c r="X19" s="19"/>
      <c r="Y19" s="20"/>
      <c r="Z19" s="9"/>
      <c r="AA19" s="19"/>
      <c r="AB19" s="20"/>
    </row>
    <row r="20" customFormat="false" ht="15" hidden="false" customHeight="false" outlineLevel="0" collapsed="false">
      <c r="A20" s="8" t="s">
        <v>23</v>
      </c>
      <c r="B20" s="22"/>
      <c r="C20" s="22"/>
      <c r="D20" s="23" t="n">
        <f aca="false">B20*C20</f>
        <v>0</v>
      </c>
      <c r="E20" s="6"/>
      <c r="G20" s="6"/>
      <c r="H20" s="6"/>
      <c r="I20" s="6"/>
      <c r="M20" s="9"/>
      <c r="N20" s="19"/>
      <c r="O20" s="20"/>
      <c r="P20" s="20"/>
      <c r="Q20" s="9"/>
      <c r="R20" s="19"/>
      <c r="S20" s="20"/>
      <c r="T20" s="9"/>
      <c r="U20" s="19"/>
      <c r="V20" s="20"/>
      <c r="W20" s="9"/>
      <c r="X20" s="19"/>
      <c r="Y20" s="20"/>
      <c r="Z20" s="9"/>
      <c r="AA20" s="19"/>
      <c r="AB20" s="20"/>
    </row>
    <row r="21" customFormat="false" ht="15" hidden="false" customHeight="false" outlineLevel="0" collapsed="false">
      <c r="A21" s="8" t="s">
        <v>24</v>
      </c>
      <c r="B21" s="22"/>
      <c r="C21" s="22"/>
      <c r="D21" s="23" t="n">
        <f aca="false">B21*C21</f>
        <v>0</v>
      </c>
      <c r="E21" s="6"/>
      <c r="G21" s="6"/>
      <c r="H21" s="6"/>
      <c r="I21" s="6"/>
      <c r="M21" s="9"/>
    </row>
    <row r="22" customFormat="false" ht="15" hidden="false" customHeight="false" outlineLevel="0" collapsed="false">
      <c r="A22" s="8" t="s">
        <v>25</v>
      </c>
      <c r="B22" s="22"/>
      <c r="C22" s="22"/>
      <c r="D22" s="23" t="n">
        <f aca="false">B22*C22</f>
        <v>0</v>
      </c>
      <c r="E22" s="6"/>
      <c r="G22" s="6"/>
      <c r="H22" s="6"/>
      <c r="I22" s="6"/>
      <c r="M22" s="9"/>
    </row>
    <row r="23" customFormat="false" ht="15" hidden="false" customHeight="false" outlineLevel="0" collapsed="false">
      <c r="A23" s="8" t="s">
        <v>26</v>
      </c>
      <c r="B23" s="22"/>
      <c r="C23" s="22"/>
      <c r="D23" s="23" t="n">
        <f aca="false">B23*C23</f>
        <v>0</v>
      </c>
      <c r="E23" s="6"/>
      <c r="G23" s="6"/>
      <c r="H23" s="6"/>
      <c r="I23" s="6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</row>
    <row r="24" customFormat="false" ht="15" hidden="false" customHeight="false" outlineLevel="0" collapsed="false">
      <c r="A24" s="8" t="s">
        <v>27</v>
      </c>
      <c r="B24" s="22"/>
      <c r="C24" s="22"/>
      <c r="D24" s="23" t="n">
        <f aca="false">B24*C24</f>
        <v>0</v>
      </c>
      <c r="E24" s="6"/>
      <c r="G24" s="6"/>
      <c r="H24" s="6"/>
      <c r="I24" s="6"/>
    </row>
    <row r="25" customFormat="false" ht="15" hidden="false" customHeight="false" outlineLevel="0" collapsed="false">
      <c r="A25" s="8" t="s">
        <v>28</v>
      </c>
      <c r="B25" s="22"/>
      <c r="C25" s="22"/>
      <c r="D25" s="23" t="n">
        <f aca="false">B25*C25</f>
        <v>0</v>
      </c>
      <c r="E25" s="6"/>
      <c r="G25" s="6"/>
      <c r="H25" s="6"/>
      <c r="I25" s="6"/>
    </row>
    <row r="26" customFormat="false" ht="15" hidden="false" customHeight="false" outlineLevel="0" collapsed="false">
      <c r="A26" s="8" t="s">
        <v>29</v>
      </c>
      <c r="B26" s="22"/>
      <c r="C26" s="22"/>
      <c r="D26" s="23" t="n">
        <f aca="false">B26*C26</f>
        <v>0</v>
      </c>
      <c r="E26" s="6"/>
      <c r="G26" s="6"/>
      <c r="H26" s="6"/>
      <c r="I26" s="6"/>
    </row>
    <row r="27" customFormat="false" ht="15" hidden="false" customHeight="false" outlineLevel="0" collapsed="false">
      <c r="A27" s="8" t="s">
        <v>30</v>
      </c>
      <c r="B27" s="22"/>
      <c r="C27" s="22"/>
      <c r="D27" s="23" t="n">
        <f aca="false">B27*C27</f>
        <v>0</v>
      </c>
      <c r="E27" s="6"/>
      <c r="G27" s="6"/>
      <c r="H27" s="6"/>
      <c r="I27" s="6"/>
      <c r="O27" s="15"/>
    </row>
    <row r="28" customFormat="false" ht="15" hidden="false" customHeight="false" outlineLevel="0" collapsed="false">
      <c r="A28" s="8" t="s">
        <v>31</v>
      </c>
      <c r="B28" s="22"/>
      <c r="C28" s="22"/>
      <c r="D28" s="23" t="n">
        <f aca="false">B28*C28</f>
        <v>0</v>
      </c>
      <c r="E28" s="6"/>
      <c r="G28" s="6"/>
      <c r="H28" s="6"/>
      <c r="I28" s="6"/>
      <c r="M28" s="9"/>
      <c r="N28" s="24"/>
      <c r="O28" s="19"/>
      <c r="P28" s="20"/>
      <c r="Q28" s="9"/>
      <c r="R28" s="24"/>
      <c r="S28" s="19"/>
      <c r="T28" s="20"/>
      <c r="U28" s="9"/>
      <c r="V28" s="24"/>
      <c r="W28" s="19"/>
      <c r="X28" s="20"/>
      <c r="Y28" s="9"/>
      <c r="Z28" s="24"/>
      <c r="AA28" s="19"/>
      <c r="AB28" s="20"/>
      <c r="AC28" s="9"/>
      <c r="AD28" s="24"/>
      <c r="AE28" s="19"/>
      <c r="AF28" s="20"/>
    </row>
    <row r="29" customFormat="false" ht="15" hidden="false" customHeight="false" outlineLevel="0" collapsed="false">
      <c r="A29" s="8" t="s">
        <v>32</v>
      </c>
      <c r="B29" s="22"/>
      <c r="C29" s="22"/>
      <c r="D29" s="5" t="n">
        <f aca="false">B29*C29</f>
        <v>0</v>
      </c>
      <c r="E29" s="6"/>
      <c r="G29" s="6"/>
      <c r="H29" s="6"/>
      <c r="I29" s="6"/>
      <c r="M29" s="9"/>
      <c r="N29" s="24"/>
      <c r="O29" s="19"/>
      <c r="P29" s="20"/>
      <c r="Q29" s="9"/>
      <c r="R29" s="24"/>
      <c r="S29" s="19"/>
      <c r="T29" s="20"/>
      <c r="U29" s="9"/>
      <c r="V29" s="24"/>
      <c r="W29" s="19"/>
      <c r="X29" s="20"/>
      <c r="Y29" s="9"/>
      <c r="Z29" s="24"/>
      <c r="AA29" s="19"/>
      <c r="AB29" s="20"/>
      <c r="AC29" s="9"/>
      <c r="AD29" s="24"/>
      <c r="AE29" s="19"/>
      <c r="AF29" s="20"/>
    </row>
    <row r="30" customFormat="false" ht="15" hidden="false" customHeight="false" outlineLevel="0" collapsed="false">
      <c r="A30" s="8" t="s">
        <v>33</v>
      </c>
      <c r="B30" s="22"/>
      <c r="C30" s="22"/>
      <c r="D30" s="5" t="n">
        <f aca="false">B30*C30</f>
        <v>0</v>
      </c>
      <c r="E30" s="6"/>
      <c r="G30" s="6"/>
      <c r="H30" s="6"/>
      <c r="I30" s="6"/>
      <c r="M30" s="9"/>
      <c r="N30" s="24"/>
      <c r="O30" s="19"/>
      <c r="P30" s="20"/>
      <c r="Q30" s="9"/>
      <c r="R30" s="24"/>
      <c r="S30" s="19"/>
      <c r="T30" s="20"/>
      <c r="U30" s="9"/>
      <c r="V30" s="24"/>
      <c r="W30" s="19"/>
      <c r="X30" s="20"/>
      <c r="Y30" s="9"/>
      <c r="Z30" s="24"/>
      <c r="AA30" s="19"/>
      <c r="AB30" s="20"/>
      <c r="AC30" s="9"/>
      <c r="AD30" s="24"/>
      <c r="AE30" s="19"/>
      <c r="AF30" s="20"/>
    </row>
    <row r="31" customFormat="false" ht="15" hidden="false" customHeight="false" outlineLevel="0" collapsed="false">
      <c r="A31" s="8" t="s">
        <v>34</v>
      </c>
      <c r="B31" s="22"/>
      <c r="C31" s="22"/>
      <c r="D31" s="5" t="n">
        <f aca="false">B31*C31</f>
        <v>0</v>
      </c>
      <c r="E31" s="6"/>
      <c r="G31" s="6"/>
      <c r="H31" s="6"/>
      <c r="I31" s="6"/>
      <c r="M31" s="9"/>
      <c r="N31" s="24"/>
      <c r="O31" s="19"/>
      <c r="P31" s="20"/>
      <c r="Q31" s="9"/>
      <c r="R31" s="24"/>
      <c r="S31" s="19"/>
      <c r="T31" s="20"/>
      <c r="U31" s="9"/>
      <c r="V31" s="24"/>
      <c r="W31" s="19"/>
      <c r="X31" s="20"/>
      <c r="Y31" s="9"/>
      <c r="Z31" s="24"/>
      <c r="AA31" s="19"/>
      <c r="AB31" s="20"/>
      <c r="AC31" s="9"/>
      <c r="AD31" s="24"/>
      <c r="AE31" s="19"/>
      <c r="AF31" s="20"/>
    </row>
    <row r="32" customFormat="false" ht="15" hidden="false" customHeight="false" outlineLevel="0" collapsed="false">
      <c r="A32" s="8" t="s">
        <v>35</v>
      </c>
      <c r="B32" s="22"/>
      <c r="C32" s="22"/>
      <c r="D32" s="5" t="n">
        <f aca="false">B32*C32</f>
        <v>0</v>
      </c>
      <c r="E32" s="6"/>
      <c r="F32" s="6"/>
      <c r="G32" s="6"/>
      <c r="H32" s="6"/>
      <c r="M32" s="9"/>
      <c r="N32" s="24"/>
      <c r="O32" s="19"/>
      <c r="P32" s="20"/>
      <c r="Q32" s="9"/>
      <c r="R32" s="24"/>
      <c r="S32" s="19"/>
      <c r="T32" s="20"/>
      <c r="U32" s="9"/>
      <c r="V32" s="24"/>
      <c r="W32" s="19"/>
      <c r="X32" s="20"/>
      <c r="Y32" s="9"/>
      <c r="Z32" s="24"/>
      <c r="AA32" s="19"/>
      <c r="AB32" s="20"/>
      <c r="AC32" s="9"/>
      <c r="AD32" s="24"/>
      <c r="AE32" s="19"/>
      <c r="AF32" s="20"/>
    </row>
    <row r="33" customFormat="false" ht="15" hidden="false" customHeight="false" outlineLevel="0" collapsed="false">
      <c r="A33" s="8" t="s">
        <v>36</v>
      </c>
      <c r="B33" s="22"/>
      <c r="C33" s="22"/>
      <c r="D33" s="5" t="n">
        <f aca="false">B33*C33</f>
        <v>0</v>
      </c>
      <c r="E33" s="6"/>
      <c r="F33" s="6"/>
      <c r="G33" s="6"/>
      <c r="H33" s="6"/>
      <c r="M33" s="9"/>
      <c r="N33" s="24"/>
      <c r="O33" s="19"/>
      <c r="P33" s="20"/>
      <c r="Q33" s="9"/>
      <c r="R33" s="24"/>
      <c r="S33" s="19"/>
      <c r="T33" s="20"/>
      <c r="U33" s="9"/>
      <c r="V33" s="24"/>
      <c r="W33" s="19"/>
      <c r="X33" s="20"/>
      <c r="Y33" s="9"/>
      <c r="Z33" s="24"/>
      <c r="AA33" s="19"/>
      <c r="AB33" s="20"/>
      <c r="AC33" s="9"/>
      <c r="AD33" s="24"/>
      <c r="AE33" s="19"/>
      <c r="AF33" s="20"/>
    </row>
    <row r="34" customFormat="false" ht="15" hidden="false" customHeight="false" outlineLevel="0" collapsed="false">
      <c r="A34" s="8" t="s">
        <v>37</v>
      </c>
      <c r="B34" s="22"/>
      <c r="C34" s="22"/>
      <c r="D34" s="5" t="n">
        <f aca="false">B34*C34</f>
        <v>0</v>
      </c>
      <c r="E34" s="6"/>
      <c r="F34" s="6"/>
      <c r="G34" s="6"/>
      <c r="H34" s="6"/>
      <c r="M34" s="9"/>
      <c r="N34" s="24"/>
      <c r="O34" s="19"/>
      <c r="P34" s="20"/>
      <c r="Q34" s="9"/>
      <c r="R34" s="24"/>
      <c r="S34" s="19"/>
      <c r="T34" s="20"/>
      <c r="U34" s="9"/>
      <c r="V34" s="24"/>
      <c r="W34" s="19"/>
      <c r="X34" s="20"/>
      <c r="Y34" s="9"/>
      <c r="Z34" s="24"/>
      <c r="AA34" s="19"/>
      <c r="AB34" s="20"/>
      <c r="AC34" s="9"/>
      <c r="AD34" s="24"/>
      <c r="AE34" s="19"/>
      <c r="AF34" s="20"/>
    </row>
    <row r="35" customFormat="false" ht="15" hidden="false" customHeight="false" outlineLevel="0" collapsed="false">
      <c r="A35" s="8" t="s">
        <v>38</v>
      </c>
      <c r="B35" s="22"/>
      <c r="C35" s="22"/>
      <c r="D35" s="5" t="n">
        <f aca="false">B35*C35</f>
        <v>0</v>
      </c>
      <c r="E35" s="6"/>
      <c r="F35" s="6"/>
      <c r="G35" s="6"/>
      <c r="H35" s="6"/>
      <c r="M35" s="9"/>
      <c r="N35" s="24"/>
      <c r="O35" s="19"/>
      <c r="P35" s="20"/>
      <c r="Q35" s="9"/>
      <c r="R35" s="24"/>
      <c r="S35" s="19"/>
      <c r="T35" s="20"/>
      <c r="U35" s="9"/>
      <c r="V35" s="24"/>
      <c r="W35" s="19"/>
      <c r="X35" s="20"/>
      <c r="Y35" s="9"/>
      <c r="Z35" s="24"/>
      <c r="AA35" s="19"/>
      <c r="AB35" s="20"/>
      <c r="AC35" s="9"/>
      <c r="AD35" s="24"/>
      <c r="AE35" s="19"/>
      <c r="AF35" s="20"/>
    </row>
    <row r="36" customFormat="false" ht="15" hidden="false" customHeight="false" outlineLevel="0" collapsed="false">
      <c r="A36" s="8" t="s">
        <v>39</v>
      </c>
      <c r="B36" s="22" t="n">
        <v>1</v>
      </c>
      <c r="C36" s="22" t="n">
        <v>10</v>
      </c>
      <c r="D36" s="5" t="n">
        <f aca="false">B36*C36</f>
        <v>10</v>
      </c>
      <c r="E36" s="6"/>
      <c r="F36" s="6"/>
      <c r="G36" s="6"/>
      <c r="H36" s="6"/>
      <c r="M36" s="9"/>
      <c r="N36" s="24"/>
      <c r="O36" s="9"/>
      <c r="P36" s="20"/>
      <c r="Q36" s="9"/>
      <c r="R36" s="24"/>
      <c r="S36" s="9"/>
      <c r="T36" s="20"/>
      <c r="U36" s="9"/>
      <c r="V36" s="24"/>
      <c r="W36" s="9"/>
      <c r="X36" s="20"/>
      <c r="Y36" s="9"/>
      <c r="Z36" s="24"/>
      <c r="AA36" s="9"/>
      <c r="AB36" s="20"/>
      <c r="AC36" s="9"/>
      <c r="AD36" s="20"/>
      <c r="AE36" s="19"/>
      <c r="AF36" s="20"/>
    </row>
    <row r="37" customFormat="false" ht="15" hidden="false" customHeight="false" outlineLevel="0" collapsed="false">
      <c r="A37" s="8" t="s">
        <v>40</v>
      </c>
      <c r="B37" s="22"/>
      <c r="C37" s="22"/>
      <c r="D37" s="5" t="n">
        <f aca="false">B37*C37</f>
        <v>0</v>
      </c>
      <c r="E37" s="6"/>
      <c r="F37" s="6"/>
      <c r="G37" s="6"/>
      <c r="H37" s="6"/>
      <c r="M37" s="9"/>
      <c r="N37" s="24"/>
      <c r="O37" s="9"/>
      <c r="P37" s="20"/>
      <c r="Q37" s="9"/>
      <c r="R37" s="24"/>
      <c r="S37" s="9"/>
      <c r="T37" s="20"/>
      <c r="U37" s="9"/>
      <c r="V37" s="24"/>
      <c r="W37" s="9"/>
      <c r="X37" s="20"/>
      <c r="Y37" s="9"/>
      <c r="Z37" s="24"/>
      <c r="AA37" s="9"/>
      <c r="AB37" s="20"/>
      <c r="AC37" s="9"/>
      <c r="AD37" s="20"/>
      <c r="AE37" s="19"/>
      <c r="AF37" s="20"/>
    </row>
    <row r="38" customFormat="false" ht="15" hidden="false" customHeight="false" outlineLevel="0" collapsed="false">
      <c r="A38" s="8" t="s">
        <v>41</v>
      </c>
      <c r="B38" s="22"/>
      <c r="C38" s="22"/>
      <c r="D38" s="5" t="n">
        <f aca="false">B38*C38</f>
        <v>0</v>
      </c>
      <c r="E38" s="6"/>
      <c r="F38" s="6"/>
      <c r="M38" s="9"/>
    </row>
    <row r="39" customFormat="false" ht="15" hidden="false" customHeight="false" outlineLevel="0" collapsed="false">
      <c r="A39" s="8" t="s">
        <v>42</v>
      </c>
      <c r="B39" s="22"/>
      <c r="C39" s="22"/>
      <c r="D39" s="5" t="n">
        <f aca="false">B39*C39</f>
        <v>0</v>
      </c>
      <c r="E39" s="6"/>
      <c r="F39" s="6"/>
      <c r="M39" s="9"/>
    </row>
    <row r="40" customFormat="false" ht="15" hidden="false" customHeight="false" outlineLevel="0" collapsed="false">
      <c r="A40" s="8" t="s">
        <v>43</v>
      </c>
      <c r="B40" s="22"/>
      <c r="C40" s="22"/>
      <c r="D40" s="5" t="n">
        <f aca="false">B40*C40</f>
        <v>0</v>
      </c>
      <c r="E40" s="6"/>
      <c r="F40" s="6"/>
      <c r="M40" s="9"/>
    </row>
    <row r="41" customFormat="false" ht="15" hidden="false" customHeight="false" outlineLevel="0" collapsed="false">
      <c r="A41" s="8" t="s">
        <v>44</v>
      </c>
      <c r="B41" s="22"/>
      <c r="C41" s="22"/>
      <c r="D41" s="5" t="n">
        <f aca="false">B41*C41</f>
        <v>0</v>
      </c>
      <c r="E41" s="6"/>
      <c r="F41" s="6"/>
      <c r="M41" s="9"/>
    </row>
    <row r="42" customFormat="false" ht="15" hidden="false" customHeight="false" outlineLevel="0" collapsed="false">
      <c r="A42" s="8" t="s">
        <v>45</v>
      </c>
      <c r="B42" s="22"/>
      <c r="C42" s="22"/>
      <c r="D42" s="5" t="n">
        <f aca="false">B42*C42</f>
        <v>0</v>
      </c>
      <c r="E42" s="6"/>
      <c r="F42" s="6"/>
      <c r="M42" s="9"/>
    </row>
    <row r="43" customFormat="false" ht="15" hidden="false" customHeight="false" outlineLevel="0" collapsed="false">
      <c r="A43" s="8" t="s">
        <v>46</v>
      </c>
      <c r="B43" s="22"/>
      <c r="C43" s="22"/>
      <c r="D43" s="5" t="n">
        <f aca="false">B43*C43</f>
        <v>0</v>
      </c>
      <c r="E43" s="6"/>
      <c r="F43" s="6"/>
      <c r="M43" s="9"/>
    </row>
    <row r="44" customFormat="false" ht="15" hidden="false" customHeight="false" outlineLevel="0" collapsed="false">
      <c r="A44" s="8" t="s">
        <v>47</v>
      </c>
      <c r="B44" s="22"/>
      <c r="C44" s="22"/>
      <c r="D44" s="5" t="n">
        <f aca="false">B44*C44</f>
        <v>0</v>
      </c>
      <c r="E44" s="6"/>
      <c r="F44" s="6"/>
    </row>
    <row r="45" customFormat="false" ht="15" hidden="false" customHeight="false" outlineLevel="0" collapsed="false">
      <c r="A45" s="8" t="s">
        <v>48</v>
      </c>
      <c r="B45" s="22"/>
      <c r="C45" s="22"/>
      <c r="D45" s="5" t="n">
        <f aca="false">B45*C45</f>
        <v>0</v>
      </c>
      <c r="E45" s="6"/>
      <c r="F45" s="6"/>
    </row>
    <row r="46" customFormat="false" ht="15" hidden="false" customHeight="false" outlineLevel="0" collapsed="false">
      <c r="A46" s="8" t="s">
        <v>49</v>
      </c>
      <c r="B46" s="22"/>
      <c r="C46" s="22"/>
      <c r="D46" s="5" t="n">
        <f aca="false">B46*C46</f>
        <v>0</v>
      </c>
      <c r="E46" s="6"/>
      <c r="F46" s="6"/>
    </row>
    <row r="47" customFormat="false" ht="15" hidden="false" customHeight="false" outlineLevel="0" collapsed="false">
      <c r="A47" s="8" t="s">
        <v>50</v>
      </c>
      <c r="B47" s="22"/>
      <c r="C47" s="22"/>
      <c r="D47" s="5" t="n">
        <f aca="false">B47*C47</f>
        <v>0</v>
      </c>
      <c r="E47" s="6"/>
      <c r="F47" s="6"/>
    </row>
    <row r="48" customFormat="false" ht="15" hidden="false" customHeight="false" outlineLevel="0" collapsed="false">
      <c r="A48" s="8" t="s">
        <v>51</v>
      </c>
      <c r="B48" s="22"/>
      <c r="C48" s="22"/>
      <c r="D48" s="5" t="n">
        <f aca="false">B48*C48</f>
        <v>0</v>
      </c>
      <c r="E48" s="6"/>
      <c r="F48" s="6"/>
    </row>
    <row r="49" customFormat="false" ht="15" hidden="false" customHeight="false" outlineLevel="0" collapsed="false">
      <c r="A49" s="8" t="s">
        <v>52</v>
      </c>
      <c r="B49" s="22"/>
      <c r="C49" s="22"/>
      <c r="D49" s="5" t="n">
        <f aca="false">B49*C49</f>
        <v>0</v>
      </c>
      <c r="E49" s="6"/>
      <c r="F49" s="6"/>
    </row>
    <row r="50" customFormat="false" ht="15" hidden="false" customHeight="false" outlineLevel="0" collapsed="false">
      <c r="A50" s="8" t="s">
        <v>53</v>
      </c>
      <c r="B50" s="22"/>
      <c r="C50" s="22"/>
      <c r="D50" s="5" t="n">
        <f aca="false">B50*C50</f>
        <v>0</v>
      </c>
      <c r="E50" s="6"/>
      <c r="F50" s="6"/>
    </row>
    <row r="51" customFormat="false" ht="15" hidden="false" customHeight="false" outlineLevel="0" collapsed="false">
      <c r="A51" s="8" t="s">
        <v>54</v>
      </c>
      <c r="B51" s="22"/>
      <c r="C51" s="22"/>
      <c r="D51" s="5" t="n">
        <f aca="false">B51*C51</f>
        <v>0</v>
      </c>
      <c r="E51" s="6"/>
      <c r="F51" s="6"/>
    </row>
    <row r="52" customFormat="false" ht="15" hidden="false" customHeight="false" outlineLevel="0" collapsed="false">
      <c r="A52" s="8" t="s">
        <v>55</v>
      </c>
      <c r="B52" s="22"/>
      <c r="C52" s="22"/>
      <c r="D52" s="5" t="n">
        <f aca="false">B52*C52</f>
        <v>0</v>
      </c>
      <c r="E52" s="6"/>
      <c r="F52" s="6"/>
      <c r="R52" s="9"/>
    </row>
    <row r="53" customFormat="false" ht="15" hidden="false" customHeight="false" outlineLevel="0" collapsed="false">
      <c r="A53" s="8" t="s">
        <v>56</v>
      </c>
      <c r="B53" s="22"/>
      <c r="C53" s="22"/>
      <c r="D53" s="5" t="n">
        <f aca="false">B53*C53</f>
        <v>0</v>
      </c>
      <c r="E53" s="6"/>
      <c r="F53" s="6"/>
      <c r="R53" s="9"/>
    </row>
    <row r="54" customFormat="false" ht="15" hidden="false" customHeight="false" outlineLevel="0" collapsed="false">
      <c r="A54" s="8" t="s">
        <v>57</v>
      </c>
      <c r="B54" s="22"/>
      <c r="C54" s="22"/>
      <c r="D54" s="5" t="n">
        <f aca="false">B54*C54</f>
        <v>0</v>
      </c>
      <c r="E54" s="6"/>
      <c r="F54" s="6"/>
      <c r="R54" s="9"/>
    </row>
    <row r="55" customFormat="false" ht="15" hidden="false" customHeight="false" outlineLevel="0" collapsed="false">
      <c r="A55" s="8" t="s">
        <v>58</v>
      </c>
      <c r="B55" s="22"/>
      <c r="C55" s="22"/>
      <c r="D55" s="5" t="n">
        <f aca="false">B55*C55</f>
        <v>0</v>
      </c>
      <c r="E55" s="6"/>
      <c r="F55" s="6"/>
      <c r="R55" s="9"/>
    </row>
    <row r="56" customFormat="false" ht="15" hidden="false" customHeight="false" outlineLevel="0" collapsed="false">
      <c r="A56" s="8" t="s">
        <v>59</v>
      </c>
      <c r="B56" s="22"/>
      <c r="C56" s="22"/>
      <c r="D56" s="5" t="n">
        <f aca="false">B56*C56</f>
        <v>0</v>
      </c>
      <c r="E56" s="6"/>
      <c r="F56" s="6"/>
      <c r="R56" s="9"/>
    </row>
    <row r="57" customFormat="false" ht="15" hidden="false" customHeight="false" outlineLevel="0" collapsed="false">
      <c r="A57" s="8" t="s">
        <v>60</v>
      </c>
      <c r="B57" s="22"/>
      <c r="C57" s="22"/>
      <c r="D57" s="5" t="n">
        <f aca="false">B57*C57</f>
        <v>0</v>
      </c>
      <c r="E57" s="6"/>
      <c r="F57" s="6"/>
      <c r="R57" s="9"/>
    </row>
    <row r="58" customFormat="false" ht="15" hidden="false" customHeight="false" outlineLevel="0" collapsed="false">
      <c r="A58" s="8" t="s">
        <v>61</v>
      </c>
      <c r="B58" s="22"/>
      <c r="C58" s="22"/>
      <c r="D58" s="5" t="n">
        <f aca="false">B58*C58</f>
        <v>0</v>
      </c>
      <c r="E58" s="6"/>
      <c r="F58" s="6"/>
      <c r="R58" s="9"/>
    </row>
    <row r="59" customFormat="false" ht="15" hidden="false" customHeight="false" outlineLevel="0" collapsed="false">
      <c r="A59" s="8" t="s">
        <v>62</v>
      </c>
      <c r="B59" s="22"/>
      <c r="C59" s="22"/>
      <c r="D59" s="5" t="n">
        <f aca="false">B59*C59</f>
        <v>0</v>
      </c>
      <c r="E59" s="6"/>
      <c r="F59" s="6"/>
      <c r="R59" s="9"/>
    </row>
    <row r="60" customFormat="false" ht="15" hidden="false" customHeight="false" outlineLevel="0" collapsed="false">
      <c r="A60" s="8" t="s">
        <v>63</v>
      </c>
      <c r="B60" s="22"/>
      <c r="C60" s="22"/>
      <c r="D60" s="5" t="n">
        <f aca="false">B60*C60</f>
        <v>0</v>
      </c>
      <c r="E60" s="6"/>
      <c r="F60" s="6"/>
      <c r="G60" s="6"/>
      <c r="H60" s="6"/>
      <c r="R60" s="9"/>
    </row>
    <row r="61" customFormat="false" ht="15" hidden="false" customHeight="false" outlineLevel="0" collapsed="false">
      <c r="A61" s="8" t="s">
        <v>64</v>
      </c>
      <c r="B61" s="22"/>
      <c r="C61" s="22"/>
      <c r="D61" s="5" t="n">
        <f aca="false">B61*C61</f>
        <v>0</v>
      </c>
      <c r="E61" s="6"/>
      <c r="F61" s="6"/>
      <c r="G61" s="6"/>
      <c r="H61" s="6"/>
      <c r="R61" s="9"/>
    </row>
    <row r="62" customFormat="false" ht="15" hidden="false" customHeight="false" outlineLevel="0" collapsed="false">
      <c r="A62" s="8" t="s">
        <v>65</v>
      </c>
      <c r="B62" s="22"/>
      <c r="C62" s="22"/>
      <c r="D62" s="5" t="n">
        <f aca="false">B62*C62</f>
        <v>0</v>
      </c>
      <c r="E62" s="6"/>
      <c r="F62" s="6"/>
      <c r="G62" s="6"/>
      <c r="H62" s="6"/>
    </row>
    <row r="63" customFormat="false" ht="15" hidden="false" customHeight="false" outlineLevel="0" collapsed="false">
      <c r="A63" s="8" t="s">
        <v>66</v>
      </c>
      <c r="B63" s="22"/>
      <c r="C63" s="22"/>
      <c r="D63" s="5" t="n">
        <f aca="false">B63*C63</f>
        <v>0</v>
      </c>
      <c r="E63" s="6"/>
      <c r="F63" s="6"/>
      <c r="G63" s="6"/>
      <c r="H63" s="6"/>
    </row>
    <row r="64" customFormat="false" ht="15" hidden="false" customHeight="false" outlineLevel="0" collapsed="false">
      <c r="A64" s="8" t="s">
        <v>67</v>
      </c>
      <c r="B64" s="22"/>
      <c r="C64" s="22"/>
      <c r="D64" s="5" t="n">
        <f aca="false">B64*C64</f>
        <v>0</v>
      </c>
      <c r="E64" s="6"/>
      <c r="F64" s="6"/>
      <c r="G64" s="6"/>
      <c r="H64" s="6"/>
    </row>
    <row r="65" customFormat="false" ht="15" hidden="false" customHeight="false" outlineLevel="0" collapsed="false">
      <c r="A65" s="8" t="s">
        <v>68</v>
      </c>
      <c r="B65" s="22"/>
      <c r="C65" s="22"/>
      <c r="D65" s="5" t="n">
        <f aca="false">B65*C65</f>
        <v>0</v>
      </c>
      <c r="E65" s="6"/>
      <c r="F65" s="6"/>
      <c r="G65" s="6"/>
      <c r="H65" s="6"/>
    </row>
    <row r="66" customFormat="false" ht="15" hidden="false" customHeight="false" outlineLevel="0" collapsed="false">
      <c r="A66" s="8" t="s">
        <v>69</v>
      </c>
      <c r="B66" s="22"/>
      <c r="C66" s="22"/>
      <c r="D66" s="5" t="n">
        <f aca="false">B66*C66</f>
        <v>0</v>
      </c>
      <c r="E66" s="6"/>
      <c r="F66" s="6"/>
      <c r="G66" s="6"/>
      <c r="H66" s="6"/>
    </row>
    <row r="67" customFormat="false" ht="15" hidden="false" customHeight="false" outlineLevel="0" collapsed="false">
      <c r="A67" s="8" t="s">
        <v>70</v>
      </c>
      <c r="B67" s="22"/>
      <c r="C67" s="22"/>
      <c r="D67" s="5" t="n">
        <f aca="false">B67*C67</f>
        <v>0</v>
      </c>
      <c r="E67" s="6"/>
      <c r="F67" s="6"/>
      <c r="G67" s="6"/>
      <c r="H67" s="6"/>
    </row>
    <row r="68" customFormat="false" ht="15" hidden="false" customHeight="false" outlineLevel="0" collapsed="false">
      <c r="A68" s="8" t="s">
        <v>71</v>
      </c>
      <c r="B68" s="22"/>
      <c r="C68" s="22"/>
      <c r="D68" s="5" t="n">
        <f aca="false">B68*C68</f>
        <v>0</v>
      </c>
      <c r="E68" s="6"/>
      <c r="F68" s="6"/>
      <c r="G68" s="6"/>
      <c r="H68" s="6"/>
    </row>
    <row r="69" customFormat="false" ht="15" hidden="false" customHeight="false" outlineLevel="0" collapsed="false">
      <c r="A69" s="5" t="s">
        <v>103</v>
      </c>
      <c r="B69" s="5" t="n">
        <f aca="false">SUM(B16:B68)</f>
        <v>2</v>
      </c>
      <c r="D69" s="9"/>
      <c r="E69" s="9"/>
      <c r="F69" s="9"/>
      <c r="G69" s="9"/>
      <c r="H69" s="9"/>
      <c r="N69" s="15"/>
    </row>
    <row r="70" customFormat="false" ht="15" hidden="false" customHeight="false" outlineLevel="0" collapsed="false">
      <c r="E70" s="9"/>
      <c r="F70" s="9"/>
      <c r="G70" s="9"/>
      <c r="H70" s="9"/>
      <c r="M70" s="9"/>
      <c r="N70" s="19"/>
      <c r="O70" s="20"/>
      <c r="P70" s="9"/>
      <c r="Q70" s="19"/>
      <c r="R70" s="20"/>
      <c r="S70" s="9"/>
      <c r="T70" s="19"/>
      <c r="U70" s="20"/>
      <c r="V70" s="9"/>
      <c r="W70" s="25"/>
      <c r="X70" s="20"/>
      <c r="Y70" s="9"/>
      <c r="Z70" s="19"/>
      <c r="AA70" s="20"/>
    </row>
    <row r="71" customFormat="false" ht="15" hidden="false" customHeight="false" outlineLevel="0" collapsed="false">
      <c r="A71" s="15" t="s">
        <v>72</v>
      </c>
      <c r="B71" s="10" t="s">
        <v>17</v>
      </c>
      <c r="C71" s="10" t="s">
        <v>73</v>
      </c>
      <c r="D71" s="10" t="s">
        <v>104</v>
      </c>
      <c r="E71" s="10" t="s">
        <v>105</v>
      </c>
      <c r="M71" s="9"/>
      <c r="N71" s="19"/>
      <c r="O71" s="20"/>
      <c r="P71" s="9"/>
      <c r="Q71" s="19"/>
      <c r="R71" s="20"/>
      <c r="S71" s="9"/>
      <c r="T71" s="19"/>
      <c r="U71" s="20"/>
      <c r="V71" s="9"/>
      <c r="W71" s="25"/>
      <c r="X71" s="20"/>
      <c r="Y71" s="9"/>
      <c r="Z71" s="19"/>
      <c r="AA71" s="20"/>
    </row>
    <row r="72" customFormat="false" ht="15" hidden="false" customHeight="false" outlineLevel="0" collapsed="false">
      <c r="A72" s="1" t="s">
        <v>74</v>
      </c>
      <c r="B72" s="11" t="n">
        <v>1</v>
      </c>
      <c r="C72" s="11" t="n">
        <v>100</v>
      </c>
      <c r="D72" s="12"/>
      <c r="E72" s="26" t="n">
        <f aca="false">B72*C72</f>
        <v>100</v>
      </c>
      <c r="M72" s="9"/>
      <c r="N72" s="19"/>
      <c r="O72" s="20"/>
      <c r="P72" s="9"/>
      <c r="Q72" s="19"/>
      <c r="R72" s="20"/>
      <c r="S72" s="9"/>
      <c r="T72" s="19"/>
      <c r="U72" s="20"/>
      <c r="V72" s="9"/>
      <c r="W72" s="25"/>
      <c r="X72" s="20"/>
      <c r="Y72" s="9"/>
      <c r="Z72" s="19"/>
      <c r="AA72" s="20"/>
      <c r="AB72" s="9"/>
    </row>
    <row r="73" customFormat="false" ht="15" hidden="false" customHeight="false" outlineLevel="0" collapsed="false">
      <c r="A73" s="1" t="s">
        <v>75</v>
      </c>
      <c r="B73" s="11"/>
      <c r="C73" s="11"/>
      <c r="D73" s="12"/>
      <c r="E73" s="26" t="n">
        <f aca="false">B73*C73</f>
        <v>0</v>
      </c>
      <c r="M73" s="9"/>
      <c r="N73" s="19"/>
      <c r="O73" s="20"/>
      <c r="P73" s="9"/>
      <c r="Q73" s="19"/>
      <c r="R73" s="20"/>
      <c r="S73" s="9"/>
      <c r="T73" s="19"/>
      <c r="U73" s="20"/>
      <c r="V73" s="9"/>
      <c r="W73" s="25"/>
      <c r="X73" s="20"/>
      <c r="Y73" s="9"/>
      <c r="Z73" s="19"/>
      <c r="AA73" s="20"/>
    </row>
    <row r="74" customFormat="false" ht="15" hidden="false" customHeight="false" outlineLevel="0" collapsed="false">
      <c r="A74" s="1" t="s">
        <v>106</v>
      </c>
      <c r="B74" s="11"/>
      <c r="C74" s="11"/>
      <c r="D74" s="12"/>
      <c r="E74" s="26" t="n">
        <f aca="false">B74*C74</f>
        <v>0</v>
      </c>
      <c r="M74" s="9"/>
      <c r="N74" s="19"/>
      <c r="O74" s="20"/>
      <c r="P74" s="9"/>
      <c r="Q74" s="19"/>
      <c r="R74" s="20"/>
      <c r="S74" s="9"/>
      <c r="T74" s="19"/>
      <c r="U74" s="20"/>
      <c r="V74" s="9"/>
      <c r="W74" s="25"/>
      <c r="X74" s="20"/>
      <c r="Y74" s="9"/>
      <c r="Z74" s="19"/>
      <c r="AA74" s="20"/>
    </row>
    <row r="75" customFormat="false" ht="15" hidden="false" customHeight="false" outlineLevel="0" collapsed="false">
      <c r="A75" s="1" t="s">
        <v>107</v>
      </c>
      <c r="B75" s="11"/>
      <c r="C75" s="11"/>
      <c r="D75" s="12"/>
      <c r="E75" s="26" t="n">
        <f aca="false">B75*C75</f>
        <v>0</v>
      </c>
      <c r="M75" s="9"/>
      <c r="N75" s="19"/>
      <c r="O75" s="20"/>
      <c r="P75" s="9"/>
      <c r="Q75" s="19"/>
      <c r="R75" s="20"/>
      <c r="S75" s="9"/>
      <c r="T75" s="19"/>
      <c r="U75" s="20"/>
      <c r="V75" s="9"/>
      <c r="W75" s="25"/>
      <c r="X75" s="20"/>
      <c r="Y75" s="9"/>
      <c r="Z75" s="19"/>
      <c r="AA75" s="20"/>
    </row>
    <row r="76" customFormat="false" ht="15" hidden="false" customHeight="false" outlineLevel="0" collapsed="false">
      <c r="A76" s="1" t="s">
        <v>108</v>
      </c>
      <c r="B76" s="11"/>
      <c r="C76" s="11"/>
      <c r="D76" s="12"/>
      <c r="E76" s="26" t="n">
        <f aca="false">B76*C76</f>
        <v>0</v>
      </c>
      <c r="M76" s="9"/>
      <c r="N76" s="27"/>
      <c r="O76" s="20"/>
      <c r="P76" s="9"/>
      <c r="Q76" s="19"/>
      <c r="R76" s="20"/>
      <c r="S76" s="9"/>
      <c r="T76" s="19"/>
      <c r="U76" s="20"/>
      <c r="V76" s="9"/>
      <c r="W76" s="19"/>
      <c r="X76" s="20"/>
      <c r="Y76" s="9"/>
      <c r="Z76" s="19"/>
      <c r="AA76" s="20"/>
      <c r="AB76" s="19"/>
    </row>
    <row r="77" customFormat="false" ht="15" hidden="false" customHeight="false" outlineLevel="0" collapsed="false">
      <c r="A77" s="1" t="s">
        <v>79</v>
      </c>
      <c r="B77" s="11"/>
      <c r="C77" s="12"/>
      <c r="D77" s="12"/>
      <c r="E77" s="26" t="n">
        <f aca="false">B77</f>
        <v>0</v>
      </c>
      <c r="M77" s="9"/>
      <c r="N77" s="25"/>
      <c r="O77" s="20"/>
      <c r="P77" s="9"/>
      <c r="Q77" s="19"/>
      <c r="R77" s="20"/>
      <c r="S77" s="9"/>
      <c r="T77" s="25"/>
      <c r="U77" s="20"/>
      <c r="V77" s="9"/>
      <c r="W77" s="25"/>
      <c r="X77" s="20"/>
      <c r="Y77" s="9"/>
      <c r="Z77" s="25"/>
      <c r="AA77" s="20"/>
      <c r="AB77" s="19"/>
    </row>
    <row r="78" customFormat="false" ht="15" hidden="false" customHeight="false" outlineLevel="0" collapsed="false">
      <c r="A78" s="1" t="s">
        <v>80</v>
      </c>
      <c r="B78" s="11" t="n">
        <v>1</v>
      </c>
      <c r="C78" s="11" t="n">
        <v>100</v>
      </c>
      <c r="D78" s="12"/>
      <c r="E78" s="26" t="n">
        <f aca="false">B78*C78</f>
        <v>100</v>
      </c>
    </row>
    <row r="79" customFormat="false" ht="15" hidden="false" customHeight="false" outlineLevel="0" collapsed="false">
      <c r="A79" s="1" t="s">
        <v>81</v>
      </c>
      <c r="B79" s="11"/>
      <c r="C79" s="11"/>
      <c r="D79" s="12"/>
      <c r="E79" s="26" t="n">
        <f aca="false">B79*C79</f>
        <v>0</v>
      </c>
    </row>
    <row r="80" customFormat="false" ht="15" hidden="false" customHeight="false" outlineLevel="0" collapsed="false">
      <c r="A80" s="1" t="s">
        <v>82</v>
      </c>
      <c r="B80" s="11"/>
      <c r="C80" s="11"/>
      <c r="D80" s="12"/>
      <c r="E80" s="26" t="n">
        <f aca="false">B80*C80</f>
        <v>0</v>
      </c>
      <c r="N80" s="15"/>
    </row>
    <row r="81" customFormat="false" ht="15" hidden="false" customHeight="false" outlineLevel="0" collapsed="false">
      <c r="A81" s="1" t="s">
        <v>83</v>
      </c>
      <c r="B81" s="11"/>
      <c r="C81" s="12"/>
      <c r="D81" s="12"/>
      <c r="E81" s="26" t="n">
        <f aca="false">B81</f>
        <v>0</v>
      </c>
      <c r="M81" s="9"/>
      <c r="N81" s="25"/>
      <c r="O81" s="20"/>
      <c r="P81" s="9"/>
      <c r="Q81" s="19"/>
      <c r="R81" s="20"/>
      <c r="S81" s="9"/>
      <c r="T81" s="25"/>
      <c r="U81" s="20"/>
      <c r="V81" s="9"/>
      <c r="W81" s="25"/>
      <c r="X81" s="20"/>
      <c r="Y81" s="9"/>
      <c r="Z81" s="19"/>
      <c r="AA81" s="20"/>
      <c r="AE81" s="19"/>
    </row>
    <row r="82" customFormat="false" ht="15" hidden="false" customHeight="false" outlineLevel="0" collapsed="false">
      <c r="A82" s="1" t="s">
        <v>109</v>
      </c>
      <c r="B82" s="11"/>
      <c r="C82" s="12"/>
      <c r="D82" s="11"/>
      <c r="E82" s="1" t="n">
        <f aca="false">B82*D82</f>
        <v>0</v>
      </c>
      <c r="M82" s="9"/>
      <c r="N82" s="25"/>
      <c r="O82" s="20"/>
      <c r="P82" s="9"/>
      <c r="Q82" s="19"/>
      <c r="R82" s="20"/>
      <c r="S82" s="9"/>
      <c r="T82" s="25"/>
      <c r="U82" s="20"/>
      <c r="V82" s="9"/>
      <c r="W82" s="25"/>
      <c r="X82" s="20"/>
      <c r="Y82" s="9"/>
      <c r="Z82" s="19"/>
      <c r="AA82" s="20"/>
      <c r="AE82" s="19"/>
    </row>
    <row r="83" customFormat="false" ht="15" hidden="false" customHeight="false" outlineLevel="0" collapsed="false">
      <c r="A83" s="1" t="s">
        <v>110</v>
      </c>
      <c r="B83" s="11"/>
      <c r="C83" s="12"/>
      <c r="D83" s="12"/>
      <c r="E83" s="26" t="n">
        <f aca="false">B83</f>
        <v>0</v>
      </c>
      <c r="M83" s="9"/>
      <c r="N83" s="25"/>
      <c r="O83" s="20"/>
      <c r="P83" s="9"/>
      <c r="Q83" s="19"/>
      <c r="R83" s="20"/>
      <c r="S83" s="9"/>
      <c r="T83" s="25"/>
      <c r="U83" s="20"/>
      <c r="V83" s="9"/>
      <c r="W83" s="25"/>
      <c r="X83" s="20"/>
      <c r="Y83" s="9"/>
      <c r="Z83" s="19"/>
      <c r="AA83" s="20"/>
      <c r="AB83" s="9"/>
      <c r="AE83" s="19"/>
    </row>
    <row r="84" customFormat="false" ht="15" hidden="false" customHeight="false" outlineLevel="0" collapsed="false">
      <c r="B84" s="12"/>
      <c r="C84" s="28"/>
      <c r="M84" s="9"/>
      <c r="N84" s="25"/>
      <c r="O84" s="20"/>
      <c r="P84" s="9"/>
      <c r="Q84" s="19"/>
      <c r="R84" s="20"/>
      <c r="S84" s="9"/>
      <c r="T84" s="25"/>
      <c r="U84" s="20"/>
      <c r="V84" s="9"/>
      <c r="W84" s="25"/>
      <c r="X84" s="20"/>
      <c r="Y84" s="9"/>
      <c r="Z84" s="19"/>
      <c r="AA84" s="20"/>
      <c r="AE84" s="19"/>
    </row>
    <row r="85" customFormat="false" ht="15" hidden="false" customHeight="false" outlineLevel="0" collapsed="false">
      <c r="A85" s="15" t="s">
        <v>111</v>
      </c>
      <c r="B85" s="29" t="s">
        <v>17</v>
      </c>
      <c r="C85" s="29" t="s">
        <v>92</v>
      </c>
      <c r="D85" s="30"/>
      <c r="E85" s="30"/>
      <c r="M85" s="9"/>
      <c r="N85" s="25"/>
      <c r="O85" s="20"/>
      <c r="P85" s="9"/>
      <c r="Q85" s="19"/>
      <c r="R85" s="20"/>
      <c r="S85" s="9"/>
      <c r="T85" s="25"/>
      <c r="U85" s="20"/>
      <c r="V85" s="9"/>
      <c r="W85" s="25"/>
      <c r="X85" s="20"/>
      <c r="Y85" s="9"/>
      <c r="Z85" s="19"/>
      <c r="AA85" s="20"/>
      <c r="AE85" s="19"/>
    </row>
    <row r="86" customFormat="false" ht="15" hidden="false" customHeight="false" outlineLevel="0" collapsed="false">
      <c r="A86" s="1" t="s">
        <v>112</v>
      </c>
      <c r="B86" s="12" t="n">
        <v>1</v>
      </c>
      <c r="C86" s="31" t="n">
        <f aca="false">'Obras exteriores '!E72</f>
        <v>1433.7</v>
      </c>
      <c r="D86" s="30"/>
      <c r="E86" s="30"/>
      <c r="M86" s="9"/>
      <c r="N86" s="25"/>
      <c r="O86" s="20"/>
      <c r="P86" s="9"/>
      <c r="Q86" s="19"/>
      <c r="R86" s="20"/>
      <c r="S86" s="9"/>
      <c r="T86" s="25"/>
      <c r="U86" s="20"/>
      <c r="V86" s="9"/>
      <c r="W86" s="25"/>
      <c r="X86" s="20"/>
      <c r="Y86" s="9"/>
      <c r="Z86" s="19"/>
      <c r="AA86" s="20"/>
      <c r="AE86" s="19"/>
    </row>
    <row r="87" customFormat="false" ht="15" hidden="false" customHeight="false" outlineLevel="0" collapsed="false">
      <c r="A87" s="1" t="s">
        <v>113</v>
      </c>
      <c r="B87" s="12" t="n">
        <v>1</v>
      </c>
      <c r="C87" s="31" t="n">
        <f aca="false">'Obras exteriores '!E73</f>
        <v>6500</v>
      </c>
      <c r="D87" s="30"/>
      <c r="E87" s="30"/>
      <c r="G87" s="30"/>
      <c r="H87" s="30"/>
      <c r="M87" s="9"/>
      <c r="N87" s="27"/>
      <c r="O87" s="20"/>
      <c r="P87" s="9"/>
      <c r="Q87" s="19"/>
      <c r="R87" s="20"/>
      <c r="S87" s="9"/>
      <c r="T87" s="27"/>
      <c r="U87" s="20"/>
      <c r="V87" s="9"/>
      <c r="W87" s="19"/>
      <c r="X87" s="20"/>
      <c r="Y87" s="9"/>
      <c r="Z87" s="19"/>
      <c r="AA87" s="20"/>
      <c r="AB87" s="19"/>
    </row>
    <row r="88" customFormat="false" ht="15" hidden="false" customHeight="false" outlineLevel="0" collapsed="false">
      <c r="A88" s="1" t="s">
        <v>114</v>
      </c>
      <c r="B88" s="12" t="n">
        <v>1</v>
      </c>
      <c r="C88" s="31" t="n">
        <f aca="false">'Obras exteriores '!E74</f>
        <v>3300</v>
      </c>
      <c r="D88" s="30"/>
      <c r="E88" s="30"/>
      <c r="M88" s="9"/>
      <c r="N88" s="25"/>
      <c r="O88" s="20"/>
      <c r="P88" s="9"/>
      <c r="Q88" s="19"/>
      <c r="R88" s="20"/>
      <c r="S88" s="9"/>
      <c r="T88" s="25"/>
      <c r="U88" s="20"/>
      <c r="V88" s="9"/>
      <c r="W88" s="25"/>
      <c r="X88" s="20"/>
      <c r="Y88" s="9"/>
      <c r="Z88" s="25"/>
      <c r="AA88" s="20"/>
      <c r="AB88" s="19"/>
    </row>
    <row r="89" customFormat="false" ht="15" hidden="false" customHeight="false" outlineLevel="0" collapsed="false">
      <c r="A89" s="30"/>
      <c r="B89" s="30"/>
      <c r="C89" s="30"/>
      <c r="D89" s="30"/>
      <c r="E89" s="30"/>
      <c r="M89" s="9"/>
    </row>
    <row r="90" customFormat="false" ht="15" hidden="false" customHeight="false" outlineLevel="0" collapsed="false">
      <c r="AA90" s="19"/>
    </row>
    <row r="91" customFormat="false" ht="15" hidden="false" customHeight="false" outlineLevel="0" collapsed="false">
      <c r="B91" s="12" t="s">
        <v>87</v>
      </c>
      <c r="C91" s="32" t="n">
        <f aca="false">IF(E3="SI",SUM('Obras provisionales'!J9:J28)+SUM('Obras provisionales'!J33:J111),SUM('Obras provisionales'!J9:J28)+SUM('Obras provisionales'!J33:J71))</f>
        <v>208137.376641396</v>
      </c>
      <c r="D91" s="33" t="n">
        <f aca="false">C91+0.25%*D98</f>
        <v>211078.930482853</v>
      </c>
      <c r="E91" s="12" t="s">
        <v>115</v>
      </c>
      <c r="F91" s="33" t="n">
        <f aca="false">SUM(D91:D97)</f>
        <v>1176621.53658285</v>
      </c>
      <c r="Q91" s="19"/>
      <c r="W91" s="25"/>
      <c r="AA91" s="19"/>
    </row>
    <row r="92" customFormat="false" ht="15" hidden="false" customHeight="false" outlineLevel="0" collapsed="false">
      <c r="B92" s="12" t="s">
        <v>116</v>
      </c>
      <c r="C92" s="33" t="n">
        <f aca="false">ESTRUCTURA!K3</f>
        <v>375611.9751</v>
      </c>
      <c r="D92" s="33" t="n">
        <f aca="false">C92</f>
        <v>375611.9751</v>
      </c>
      <c r="E92" s="12"/>
      <c r="F92" s="12"/>
      <c r="Q92" s="19"/>
      <c r="W92" s="25"/>
      <c r="AA92" s="19"/>
    </row>
    <row r="93" customFormat="false" ht="15" hidden="false" customHeight="false" outlineLevel="0" collapsed="false">
      <c r="B93" s="12" t="s">
        <v>117</v>
      </c>
      <c r="C93" s="33" t="n">
        <f aca="false">ARQUITECTURA!K3</f>
        <v>102883.921</v>
      </c>
      <c r="D93" s="33" t="n">
        <f aca="false">C93</f>
        <v>102883.921</v>
      </c>
      <c r="E93" s="12"/>
      <c r="F93" s="12"/>
      <c r="L93" s="14"/>
      <c r="M93" s="20"/>
      <c r="Q93" s="19"/>
      <c r="W93" s="25"/>
      <c r="AA93" s="19"/>
    </row>
    <row r="94" customFormat="false" ht="15" hidden="false" customHeight="false" outlineLevel="0" collapsed="false">
      <c r="B94" s="12" t="s">
        <v>118</v>
      </c>
      <c r="C94" s="33" t="n">
        <f aca="false">SANITARIAS!K3</f>
        <v>396101.85</v>
      </c>
      <c r="D94" s="33" t="n">
        <f aca="false">C94</f>
        <v>396101.85</v>
      </c>
      <c r="E94" s="12"/>
      <c r="F94" s="12"/>
      <c r="L94" s="14"/>
      <c r="M94" s="20"/>
      <c r="Q94" s="19"/>
      <c r="W94" s="25"/>
      <c r="AA94" s="19"/>
    </row>
    <row r="95" customFormat="false" ht="15" hidden="false" customHeight="false" outlineLevel="0" collapsed="false">
      <c r="B95" s="12" t="s">
        <v>119</v>
      </c>
      <c r="C95" s="33" t="n">
        <f aca="false">ELECTRICAS!K3</f>
        <v>14235.89</v>
      </c>
      <c r="D95" s="33" t="n">
        <f aca="false">C95</f>
        <v>14235.89</v>
      </c>
      <c r="E95" s="12"/>
      <c r="F95" s="12"/>
      <c r="L95" s="14"/>
      <c r="M95" s="20"/>
      <c r="Q95" s="19"/>
      <c r="W95" s="25"/>
      <c r="AA95" s="19"/>
    </row>
    <row r="96" customFormat="false" ht="15" hidden="false" customHeight="false" outlineLevel="0" collapsed="false">
      <c r="B96" s="12" t="s">
        <v>120</v>
      </c>
      <c r="C96" s="33" t="n">
        <f aca="false">COMUNICACIONES!K3</f>
        <v>76708.97</v>
      </c>
      <c r="D96" s="33" t="n">
        <f aca="false">C96</f>
        <v>76708.97</v>
      </c>
      <c r="E96" s="12"/>
      <c r="F96" s="12"/>
      <c r="L96" s="14"/>
      <c r="M96" s="20"/>
      <c r="Q96" s="19"/>
      <c r="W96" s="25"/>
      <c r="AB96" s="19"/>
    </row>
    <row r="97" customFormat="false" ht="15" hidden="false" customHeight="false" outlineLevel="0" collapsed="false">
      <c r="B97" s="12" t="s">
        <v>72</v>
      </c>
      <c r="C97" s="33"/>
      <c r="D97" s="34"/>
      <c r="E97" s="12"/>
      <c r="F97" s="12"/>
      <c r="L97" s="14"/>
      <c r="M97" s="20"/>
      <c r="Q97" s="9"/>
    </row>
    <row r="98" customFormat="false" ht="15" hidden="false" customHeight="false" outlineLevel="0" collapsed="false">
      <c r="B98" s="12"/>
      <c r="C98" s="33" t="n">
        <f aca="false">SUM(C91:C97)</f>
        <v>1173679.9827414</v>
      </c>
      <c r="D98" s="33" t="n">
        <f aca="false">C98+(C98*0.0025/0.9975)</f>
        <v>1176621.53658285</v>
      </c>
      <c r="E98" s="12"/>
      <c r="F98" s="12"/>
      <c r="L98" s="14"/>
      <c r="M98" s="20"/>
    </row>
    <row r="99" customFormat="false" ht="15" hidden="false" customHeight="false" outlineLevel="0" collapsed="false">
      <c r="AE99" s="6"/>
      <c r="AF99" s="6"/>
      <c r="AG99" s="6"/>
    </row>
    <row r="100" customFormat="false" ht="15" hidden="false" customHeight="false" outlineLevel="0" collapsed="false">
      <c r="N100" s="35"/>
      <c r="O100" s="35"/>
      <c r="P100" s="35"/>
      <c r="Q100" s="35"/>
      <c r="R100" s="35"/>
      <c r="AE100" s="6"/>
      <c r="AF100" s="6"/>
      <c r="AG100" s="6"/>
    </row>
    <row r="101" customFormat="false" ht="15" hidden="false" customHeight="false" outlineLevel="0" collapsed="false">
      <c r="D101" s="9"/>
      <c r="L101" s="36"/>
      <c r="M101" s="6"/>
      <c r="N101" s="6"/>
      <c r="O101" s="6"/>
      <c r="P101" s="6"/>
      <c r="Q101" s="6"/>
      <c r="R101" s="6"/>
      <c r="S101" s="6"/>
      <c r="AF101" s="6"/>
      <c r="AG101" s="6"/>
    </row>
    <row r="102" customFormat="false" ht="15" hidden="false" customHeight="false" outlineLevel="0" collapsed="false">
      <c r="L102" s="36"/>
      <c r="M102" s="6"/>
      <c r="N102" s="6"/>
      <c r="O102" s="6"/>
      <c r="P102" s="6"/>
      <c r="Q102" s="6"/>
      <c r="R102" s="6"/>
      <c r="S102" s="6"/>
      <c r="AF102" s="6"/>
      <c r="AG102" s="6"/>
    </row>
    <row r="103" customFormat="false" ht="15" hidden="false" customHeight="false" outlineLevel="0" collapsed="false">
      <c r="L103" s="36"/>
      <c r="M103" s="6"/>
      <c r="N103" s="6"/>
      <c r="O103" s="6"/>
      <c r="P103" s="6"/>
      <c r="Q103" s="6"/>
      <c r="R103" s="6"/>
      <c r="S103" s="6"/>
      <c r="AF103" s="6"/>
      <c r="AG103" s="6"/>
    </row>
    <row r="104" customFormat="false" ht="15" hidden="false" customHeight="false" outlineLevel="0" collapsed="false">
      <c r="L104" s="36"/>
      <c r="M104" s="6"/>
      <c r="N104" s="6"/>
      <c r="O104" s="6"/>
      <c r="P104" s="6"/>
      <c r="Q104" s="6"/>
      <c r="R104" s="6"/>
      <c r="S104" s="6"/>
      <c r="AF104" s="6"/>
      <c r="AG104" s="6"/>
    </row>
    <row r="105" customFormat="false" ht="15" hidden="false" customHeight="false" outlineLevel="0" collapsed="false">
      <c r="L105" s="36"/>
      <c r="M105" s="6"/>
      <c r="N105" s="6"/>
      <c r="O105" s="6"/>
      <c r="P105" s="6"/>
      <c r="Q105" s="6"/>
      <c r="R105" s="6"/>
      <c r="S105" s="6"/>
      <c r="AF105" s="6"/>
      <c r="AG105" s="6"/>
    </row>
    <row r="106" customFormat="false" ht="15" hidden="false" customHeight="false" outlineLevel="0" collapsed="false">
      <c r="L106" s="36"/>
      <c r="N106" s="6"/>
      <c r="O106" s="6"/>
      <c r="P106" s="6"/>
      <c r="Q106" s="6"/>
      <c r="R106" s="6"/>
      <c r="S106" s="6"/>
      <c r="AF106" s="6"/>
      <c r="AG106" s="6"/>
    </row>
    <row r="107" customFormat="false" ht="15" hidden="false" customHeight="false" outlineLevel="0" collapsed="false">
      <c r="L107" s="36"/>
      <c r="N107" s="6"/>
      <c r="O107" s="6"/>
      <c r="P107" s="6"/>
      <c r="Q107" s="6"/>
      <c r="R107" s="6"/>
      <c r="AF107" s="6"/>
      <c r="AG107" s="6"/>
    </row>
    <row r="108" customFormat="false" ht="15" hidden="false" customHeight="false" outlineLevel="0" collapsed="false">
      <c r="L108" s="36"/>
      <c r="N108" s="6"/>
      <c r="O108" s="6"/>
      <c r="P108" s="6"/>
      <c r="Q108" s="6"/>
      <c r="R108" s="6"/>
      <c r="S108" s="6"/>
      <c r="AF108" s="6"/>
      <c r="AG108" s="6"/>
    </row>
    <row r="109" customFormat="false" ht="15" hidden="false" customHeight="false" outlineLevel="0" collapsed="false">
      <c r="L109" s="36"/>
      <c r="N109" s="6"/>
      <c r="O109" s="6"/>
      <c r="P109" s="6"/>
      <c r="Q109" s="6"/>
      <c r="R109" s="6"/>
      <c r="AF109" s="6"/>
      <c r="AG109" s="6"/>
    </row>
    <row r="110" customFormat="false" ht="15" hidden="false" customHeight="false" outlineLevel="0" collapsed="false">
      <c r="L110" s="37"/>
      <c r="P110" s="9"/>
    </row>
  </sheetData>
  <mergeCells count="2">
    <mergeCell ref="L101:L105"/>
    <mergeCell ref="L106:L109"/>
  </mergeCells>
  <dataValidations count="2">
    <dataValidation allowBlank="true" errorStyle="stop" operator="between" showDropDown="false" showErrorMessage="true" showInputMessage="true" sqref="E3 D11" type="list">
      <formula1>"SI,NO"</formula1>
      <formula2>0</formula2>
    </dataValidation>
    <dataValidation allowBlank="true" errorStyle="stop" operator="between" showDropDown="false" showErrorMessage="true" showInputMessage="true" sqref="D5:D8" type="list">
      <formula1>"zapatas y vigas de cimentación,platea de cimentación"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O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0" activeCellId="0" sqref="I40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9.86"/>
    <col collapsed="false" customWidth="true" hidden="false" outlineLevel="0" max="10" min="10" style="1" width="11.57"/>
    <col collapsed="false" customWidth="true" hidden="false" outlineLevel="0" max="11" min="11" style="1" width="12.29"/>
    <col collapsed="false" customWidth="true" hidden="false" outlineLevel="0" max="12" min="12" style="1" width="9.3"/>
    <col collapsed="false" customWidth="true" hidden="false" outlineLevel="0" max="13" min="13" style="1" width="13.3"/>
    <col collapsed="false" customWidth="true" hidden="false" outlineLevel="0" max="15" min="15" style="1" width="10.7"/>
  </cols>
  <sheetData>
    <row r="2" customFormat="false" ht="15" hidden="false" customHeight="false" outlineLevel="0" collapsed="false">
      <c r="B2" s="15"/>
      <c r="G2" s="38" t="s">
        <v>121</v>
      </c>
      <c r="H2" s="38" t="s">
        <v>122</v>
      </c>
      <c r="I2" s="38" t="s">
        <v>123</v>
      </c>
      <c r="J2" s="38" t="s">
        <v>124</v>
      </c>
      <c r="K2" s="38" t="s">
        <v>125</v>
      </c>
    </row>
    <row r="3" customFormat="false" ht="15" hidden="false" customHeight="false" outlineLevel="0" collapsed="false">
      <c r="A3" s="1" t="n">
        <v>1</v>
      </c>
      <c r="B3" s="39" t="s">
        <v>126</v>
      </c>
      <c r="C3" s="15"/>
      <c r="D3" s="15"/>
      <c r="E3" s="15"/>
      <c r="F3" s="15"/>
      <c r="K3" s="40" t="n">
        <f aca="false">J4+J19+J29+J38+J66</f>
        <v>211081.8013</v>
      </c>
      <c r="O3" s="40"/>
    </row>
    <row r="4" customFormat="false" ht="15" hidden="false" customHeight="false" outlineLevel="0" collapsed="false">
      <c r="A4" s="1" t="n">
        <v>1.1</v>
      </c>
      <c r="B4" s="13" t="s">
        <v>127</v>
      </c>
      <c r="C4" s="41"/>
      <c r="J4" s="42" t="n">
        <f aca="false">J5+J14</f>
        <v>41830.88</v>
      </c>
      <c r="N4" s="42"/>
    </row>
    <row r="5" customFormat="false" ht="15" hidden="false" customHeight="false" outlineLevel="0" collapsed="false">
      <c r="A5" s="1" t="s">
        <v>128</v>
      </c>
      <c r="B5" s="43" t="s">
        <v>129</v>
      </c>
      <c r="C5" s="44"/>
      <c r="J5" s="45" t="n">
        <f aca="false">SUM(J6:J13)</f>
        <v>36141.52</v>
      </c>
      <c r="N5" s="45"/>
    </row>
    <row r="6" customFormat="false" ht="15" hidden="false" customHeight="false" outlineLevel="0" collapsed="false">
      <c r="A6" s="1" t="s">
        <v>130</v>
      </c>
      <c r="B6" s="1" t="s">
        <v>131</v>
      </c>
      <c r="G6" s="6" t="s">
        <v>132</v>
      </c>
      <c r="H6" s="9" t="n">
        <f aca="false">ROUND('Obras provisionales'!H9,2)</f>
        <v>50</v>
      </c>
      <c r="I6" s="30" t="n">
        <f aca="false">ROUND('APU PROVISIONALES'!J3,2)</f>
        <v>158.9</v>
      </c>
      <c r="J6" s="30" t="n">
        <f aca="false">H6*I6</f>
        <v>7945</v>
      </c>
      <c r="M6" s="30"/>
      <c r="N6" s="30"/>
    </row>
    <row r="7" customFormat="false" ht="15" hidden="false" customHeight="false" outlineLevel="0" collapsed="false">
      <c r="A7" s="1" t="s">
        <v>133</v>
      </c>
      <c r="B7" s="1" t="s">
        <v>134</v>
      </c>
      <c r="G7" s="6" t="s">
        <v>132</v>
      </c>
      <c r="H7" s="9" t="n">
        <f aca="false">ROUND('Obras provisionales'!H10,2)</f>
        <v>2</v>
      </c>
      <c r="I7" s="30" t="n">
        <f aca="false">ROUND('APU PROVISIONALES'!J28,2)</f>
        <v>144.65</v>
      </c>
      <c r="J7" s="30" t="n">
        <f aca="false">H7*I7</f>
        <v>289.3</v>
      </c>
      <c r="M7" s="30"/>
      <c r="N7" s="30"/>
    </row>
    <row r="8" customFormat="false" ht="15" hidden="false" customHeight="false" outlineLevel="0" collapsed="false">
      <c r="A8" s="1" t="s">
        <v>135</v>
      </c>
      <c r="B8" s="1" t="s">
        <v>136</v>
      </c>
      <c r="G8" s="6" t="s">
        <v>132</v>
      </c>
      <c r="H8" s="9" t="n">
        <f aca="false">ROUND('Obras provisionales'!H11,2)</f>
        <v>8</v>
      </c>
      <c r="I8" s="30" t="n">
        <f aca="false">ROUND('APU PROVISIONALES'!J52,2)</f>
        <v>148.04</v>
      </c>
      <c r="J8" s="30" t="n">
        <f aca="false">H8*I8</f>
        <v>1184.32</v>
      </c>
      <c r="M8" s="30"/>
      <c r="N8" s="30"/>
    </row>
    <row r="9" customFormat="false" ht="15" hidden="false" customHeight="false" outlineLevel="0" collapsed="false">
      <c r="A9" s="1" t="s">
        <v>137</v>
      </c>
      <c r="B9" s="1" t="s">
        <v>138</v>
      </c>
      <c r="G9" s="6" t="s">
        <v>132</v>
      </c>
      <c r="H9" s="9" t="n">
        <f aca="false">ROUND('Obras provisionales'!H12,2)</f>
        <v>50</v>
      </c>
      <c r="I9" s="30" t="n">
        <f aca="false">ROUND('APU PROVISIONALES'!J76,2)</f>
        <v>152.57</v>
      </c>
      <c r="J9" s="30" t="n">
        <f aca="false">H9*I9</f>
        <v>7628.5</v>
      </c>
      <c r="M9" s="30"/>
      <c r="N9" s="30"/>
    </row>
    <row r="10" customFormat="false" ht="15" hidden="false" customHeight="false" outlineLevel="0" collapsed="false">
      <c r="A10" s="1" t="s">
        <v>139</v>
      </c>
      <c r="B10" s="1" t="s">
        <v>140</v>
      </c>
      <c r="G10" s="6" t="s">
        <v>132</v>
      </c>
      <c r="H10" s="9" t="n">
        <f aca="false">ROUND('Obras provisionales'!H13,2)</f>
        <v>25</v>
      </c>
      <c r="I10" s="30" t="n">
        <f aca="false">ROUND('APU PROVISIONALES'!J100,2)</f>
        <v>206.19</v>
      </c>
      <c r="J10" s="30" t="n">
        <f aca="false">H10*I10</f>
        <v>5154.75</v>
      </c>
      <c r="M10" s="30"/>
      <c r="N10" s="30"/>
    </row>
    <row r="11" customFormat="false" ht="15" hidden="false" customHeight="false" outlineLevel="0" collapsed="false">
      <c r="A11" s="1" t="s">
        <v>141</v>
      </c>
      <c r="B11" s="1" t="s">
        <v>142</v>
      </c>
      <c r="G11" s="6" t="s">
        <v>143</v>
      </c>
      <c r="H11" s="9" t="n">
        <f aca="false">ROUND('Obras provisionales'!H14,2)</f>
        <v>126.49</v>
      </c>
      <c r="I11" s="30" t="n">
        <f aca="false">ROUND('APU PROVISIONALES'!J124,2)</f>
        <v>43.81</v>
      </c>
      <c r="J11" s="46" t="n">
        <f aca="false">ROUND(H11*I11,2)</f>
        <v>5541.53</v>
      </c>
      <c r="M11" s="30"/>
      <c r="N11" s="30"/>
    </row>
    <row r="12" customFormat="false" ht="15" hidden="false" customHeight="false" outlineLevel="0" collapsed="false">
      <c r="A12" s="1" t="s">
        <v>144</v>
      </c>
      <c r="B12" s="1" t="s">
        <v>145</v>
      </c>
      <c r="G12" s="6" t="s">
        <v>132</v>
      </c>
      <c r="H12" s="9" t="n">
        <f aca="false">ROUND('Obras provisionales'!H15,2)</f>
        <v>16</v>
      </c>
      <c r="I12" s="30" t="n">
        <f aca="false">ROUND('APU PROVISIONALES'!J140,2)</f>
        <v>343.16</v>
      </c>
      <c r="J12" s="30" t="n">
        <f aca="false">H12*I12</f>
        <v>5490.56</v>
      </c>
      <c r="M12" s="30"/>
      <c r="N12" s="30"/>
    </row>
    <row r="13" customFormat="false" ht="15" hidden="false" customHeight="false" outlineLevel="0" collapsed="false">
      <c r="A13" s="1" t="s">
        <v>146</v>
      </c>
      <c r="B13" s="1" t="s">
        <v>147</v>
      </c>
      <c r="G13" s="6" t="s">
        <v>148</v>
      </c>
      <c r="H13" s="9" t="n">
        <f aca="false">ROUND('Obras provisionales'!H16,2)</f>
        <v>2</v>
      </c>
      <c r="I13" s="30" t="n">
        <f aca="false">ROUND('APU PROVISIONALES'!J170,2)</f>
        <v>1453.78</v>
      </c>
      <c r="J13" s="30" t="n">
        <f aca="false">H13*I13</f>
        <v>2907.56</v>
      </c>
      <c r="M13" s="30"/>
      <c r="N13" s="30"/>
    </row>
    <row r="14" customFormat="false" ht="15" hidden="false" customHeight="false" outlineLevel="0" collapsed="false">
      <c r="A14" s="1" t="s">
        <v>149</v>
      </c>
      <c r="B14" s="43" t="s">
        <v>150</v>
      </c>
      <c r="G14" s="47"/>
      <c r="H14" s="9"/>
      <c r="I14" s="30"/>
      <c r="J14" s="45" t="n">
        <f aca="false">SUM(J15:J18)</f>
        <v>5689.36</v>
      </c>
      <c r="M14" s="30"/>
      <c r="N14" s="45"/>
    </row>
    <row r="15" customFormat="false" ht="15" hidden="false" customHeight="false" outlineLevel="0" collapsed="false">
      <c r="A15" s="1" t="s">
        <v>151</v>
      </c>
      <c r="B15" s="1" t="s">
        <v>152</v>
      </c>
      <c r="G15" s="6" t="s">
        <v>153</v>
      </c>
      <c r="H15" s="9" t="n">
        <f aca="false">ROUND('Obras provisionales'!H18,2)</f>
        <v>1</v>
      </c>
      <c r="I15" s="30" t="n">
        <f aca="false">ROUND('APU PROVISIONALES'!J193,2)</f>
        <v>251.61</v>
      </c>
      <c r="J15" s="30" t="n">
        <f aca="false">H15*I15</f>
        <v>251.61</v>
      </c>
      <c r="M15" s="30"/>
      <c r="N15" s="30"/>
    </row>
    <row r="16" customFormat="false" ht="15" hidden="false" customHeight="false" outlineLevel="0" collapsed="false">
      <c r="A16" s="1" t="s">
        <v>154</v>
      </c>
      <c r="B16" s="1" t="s">
        <v>155</v>
      </c>
      <c r="G16" s="6" t="s">
        <v>156</v>
      </c>
      <c r="H16" s="9" t="n">
        <f aca="false">ROUND('Obras provisionales'!H19,2)</f>
        <v>12</v>
      </c>
      <c r="I16" s="30" t="n">
        <f aca="false">ROUND('APU PROVISIONALES'!J200,2)</f>
        <v>185.89</v>
      </c>
      <c r="J16" s="30" t="n">
        <f aca="false">H16*I16</f>
        <v>2230.68</v>
      </c>
      <c r="M16" s="30"/>
      <c r="N16" s="30"/>
    </row>
    <row r="17" customFormat="false" ht="15" hidden="false" customHeight="false" outlineLevel="0" collapsed="false">
      <c r="A17" s="1" t="s">
        <v>157</v>
      </c>
      <c r="B17" s="1" t="s">
        <v>158</v>
      </c>
      <c r="G17" s="6" t="s">
        <v>153</v>
      </c>
      <c r="H17" s="9" t="n">
        <f aca="false">ROUND('Obras provisionales'!H20,2)</f>
        <v>1</v>
      </c>
      <c r="I17" s="30" t="n">
        <f aca="false">ROUND('APU PROVISIONALES'!J207,2)</f>
        <v>976.39</v>
      </c>
      <c r="J17" s="30" t="n">
        <f aca="false">H17*I17</f>
        <v>976.39</v>
      </c>
      <c r="M17" s="30"/>
      <c r="N17" s="30"/>
    </row>
    <row r="18" customFormat="false" ht="15" hidden="false" customHeight="false" outlineLevel="0" collapsed="false">
      <c r="A18" s="1" t="s">
        <v>159</v>
      </c>
      <c r="B18" s="1" t="s">
        <v>160</v>
      </c>
      <c r="G18" s="6" t="s">
        <v>156</v>
      </c>
      <c r="H18" s="9" t="n">
        <f aca="false">ROUND('Obras provisionales'!H21,2)</f>
        <v>12</v>
      </c>
      <c r="I18" s="30" t="n">
        <f aca="false">ROUND('APU PROVISIONALES'!J214,2)</f>
        <v>185.89</v>
      </c>
      <c r="J18" s="30" t="n">
        <f aca="false">H18*I18</f>
        <v>2230.68</v>
      </c>
      <c r="M18" s="30"/>
      <c r="N18" s="30"/>
    </row>
    <row r="19" customFormat="false" ht="15" hidden="false" customHeight="false" outlineLevel="0" collapsed="false">
      <c r="A19" s="1" t="n">
        <v>1.2</v>
      </c>
      <c r="B19" s="13" t="s">
        <v>161</v>
      </c>
      <c r="G19" s="48"/>
      <c r="H19" s="9"/>
      <c r="I19" s="30"/>
      <c r="J19" s="42" t="n">
        <f aca="false">J20+J23+J26</f>
        <v>13691.55</v>
      </c>
      <c r="M19" s="30"/>
      <c r="N19" s="42"/>
    </row>
    <row r="20" customFormat="false" ht="15" hidden="false" customHeight="false" outlineLevel="0" collapsed="false">
      <c r="A20" s="1" t="s">
        <v>162</v>
      </c>
      <c r="B20" s="43" t="s">
        <v>163</v>
      </c>
      <c r="G20" s="47"/>
      <c r="H20" s="9"/>
      <c r="I20" s="30"/>
      <c r="J20" s="45" t="n">
        <f aca="false">SUM(J21:J22)</f>
        <v>2500</v>
      </c>
      <c r="M20" s="30"/>
      <c r="N20" s="45"/>
    </row>
    <row r="21" customFormat="false" ht="15" hidden="false" customHeight="false" outlineLevel="0" collapsed="false">
      <c r="A21" s="1" t="s">
        <v>164</v>
      </c>
      <c r="B21" s="1" t="s">
        <v>165</v>
      </c>
      <c r="G21" s="6" t="s">
        <v>132</v>
      </c>
      <c r="H21" s="9" t="n">
        <f aca="false">ROUND('Obras provisionales'!H27,2)</f>
        <v>1000</v>
      </c>
      <c r="I21" s="30" t="n">
        <f aca="false">ROUND('APU PROVISIONALES'!J221,2)</f>
        <v>1.14</v>
      </c>
      <c r="J21" s="30" t="n">
        <f aca="false">H21*I21</f>
        <v>1140</v>
      </c>
      <c r="M21" s="30"/>
      <c r="N21" s="30"/>
    </row>
    <row r="22" customFormat="false" ht="15" hidden="false" customHeight="false" outlineLevel="0" collapsed="false">
      <c r="A22" s="1" t="s">
        <v>166</v>
      </c>
      <c r="B22" s="1" t="s">
        <v>167</v>
      </c>
      <c r="G22" s="6" t="s">
        <v>132</v>
      </c>
      <c r="H22" s="9" t="n">
        <f aca="false">ROUND('Obras provisionales'!H28,2)</f>
        <v>1000</v>
      </c>
      <c r="I22" s="30" t="n">
        <f aca="false">ROUND('APU PROVISIONALES'!J231,2)</f>
        <v>1.36</v>
      </c>
      <c r="J22" s="30" t="n">
        <f aca="false">H22*I22</f>
        <v>1360</v>
      </c>
      <c r="M22" s="30"/>
      <c r="N22" s="30"/>
    </row>
    <row r="23" customFormat="false" ht="15" hidden="false" customHeight="false" outlineLevel="0" collapsed="false">
      <c r="A23" s="1" t="s">
        <v>168</v>
      </c>
      <c r="B23" s="43" t="s">
        <v>169</v>
      </c>
      <c r="G23" s="47"/>
      <c r="H23" s="9"/>
      <c r="I23" s="30"/>
      <c r="J23" s="45" t="n">
        <f aca="false">SUM(J24:J25)</f>
        <v>2941.55</v>
      </c>
      <c r="M23" s="30"/>
      <c r="N23" s="45"/>
    </row>
    <row r="24" customFormat="false" ht="15" hidden="false" customHeight="false" outlineLevel="0" collapsed="false">
      <c r="A24" s="1" t="s">
        <v>170</v>
      </c>
      <c r="B24" s="1" t="s">
        <v>171</v>
      </c>
      <c r="G24" s="6" t="s">
        <v>153</v>
      </c>
      <c r="H24" s="9" t="n">
        <f aca="false">ROUND('Obras provisionales'!H30,2)</f>
        <v>1</v>
      </c>
      <c r="I24" s="30" t="n">
        <f aca="false">ROUND('APU PROVISIONALES'!J242,2)</f>
        <v>588.31</v>
      </c>
      <c r="J24" s="30" t="n">
        <f aca="false">H24*I24</f>
        <v>588.31</v>
      </c>
      <c r="M24" s="30"/>
      <c r="N24" s="30"/>
    </row>
    <row r="25" customFormat="false" ht="15" hidden="false" customHeight="false" outlineLevel="0" collapsed="false">
      <c r="A25" s="1" t="s">
        <v>172</v>
      </c>
      <c r="B25" s="1" t="s">
        <v>173</v>
      </c>
      <c r="G25" s="6" t="s">
        <v>153</v>
      </c>
      <c r="H25" s="9" t="n">
        <f aca="false">ROUND('Obras provisionales'!H31,2)</f>
        <v>1</v>
      </c>
      <c r="I25" s="30" t="n">
        <f aca="false">ROUND('APU PROVISIONALES'!J253,2)</f>
        <v>2353.24</v>
      </c>
      <c r="J25" s="30" t="n">
        <f aca="false">H25*I25</f>
        <v>2353.24</v>
      </c>
      <c r="M25" s="30"/>
      <c r="N25" s="30"/>
    </row>
    <row r="26" customFormat="false" ht="15" hidden="false" customHeight="false" outlineLevel="0" collapsed="false">
      <c r="A26" s="1" t="s">
        <v>174</v>
      </c>
      <c r="B26" s="43" t="s">
        <v>175</v>
      </c>
      <c r="G26" s="47"/>
      <c r="H26" s="9"/>
      <c r="I26" s="30"/>
      <c r="J26" s="45" t="n">
        <f aca="false">SUM(J27:J28)</f>
        <v>8250</v>
      </c>
      <c r="M26" s="30"/>
      <c r="N26" s="45"/>
    </row>
    <row r="27" customFormat="false" ht="15" hidden="false" customHeight="false" outlineLevel="0" collapsed="false">
      <c r="A27" s="1" t="s">
        <v>176</v>
      </c>
      <c r="B27" s="1" t="s">
        <v>177</v>
      </c>
      <c r="G27" s="6" t="s">
        <v>132</v>
      </c>
      <c r="H27" s="9" t="n">
        <f aca="false">ROUND('Obras provisionales'!H33,2)</f>
        <v>1000</v>
      </c>
      <c r="I27" s="30" t="n">
        <f aca="false">ROUND('APU PROVISIONALES'!J256,2)</f>
        <v>3.98</v>
      </c>
      <c r="J27" s="30" t="n">
        <f aca="false">H27*I27</f>
        <v>3980</v>
      </c>
      <c r="K27" s="9"/>
      <c r="M27" s="30"/>
      <c r="N27" s="30"/>
    </row>
    <row r="28" customFormat="false" ht="15" hidden="false" customHeight="false" outlineLevel="0" collapsed="false">
      <c r="A28" s="1" t="s">
        <v>178</v>
      </c>
      <c r="B28" s="1" t="s">
        <v>179</v>
      </c>
      <c r="G28" s="6" t="s">
        <v>132</v>
      </c>
      <c r="H28" s="9" t="n">
        <f aca="false">ROUND('Obras provisionales'!H34,2)</f>
        <v>1000</v>
      </c>
      <c r="I28" s="30" t="n">
        <f aca="false">ROUND('APU PROVISIONALES'!J276,2)</f>
        <v>4.27</v>
      </c>
      <c r="J28" s="30" t="n">
        <f aca="false">H28*I28</f>
        <v>4270</v>
      </c>
      <c r="M28" s="30"/>
      <c r="N28" s="30"/>
    </row>
    <row r="29" customFormat="false" ht="15" hidden="false" customHeight="false" outlineLevel="0" collapsed="false">
      <c r="A29" s="1" t="n">
        <v>1.3</v>
      </c>
      <c r="B29" s="13" t="s">
        <v>180</v>
      </c>
      <c r="G29" s="48"/>
      <c r="H29" s="9"/>
      <c r="I29" s="30"/>
      <c r="J29" s="42" t="n">
        <f aca="false">J30</f>
        <v>108478.24</v>
      </c>
      <c r="M29" s="30"/>
      <c r="N29" s="42"/>
    </row>
    <row r="30" customFormat="false" ht="15" hidden="false" customHeight="false" outlineLevel="0" collapsed="false">
      <c r="A30" s="1" t="s">
        <v>181</v>
      </c>
      <c r="B30" s="43" t="s">
        <v>182</v>
      </c>
      <c r="G30" s="47"/>
      <c r="H30" s="9"/>
      <c r="I30" s="30"/>
      <c r="J30" s="45" t="n">
        <f aca="false">SUM(J31:J37)</f>
        <v>108478.24</v>
      </c>
      <c r="M30" s="30"/>
      <c r="N30" s="45"/>
    </row>
    <row r="31" customFormat="false" ht="15" hidden="false" customHeight="false" outlineLevel="0" collapsed="false">
      <c r="A31" s="1" t="s">
        <v>183</v>
      </c>
      <c r="B31" s="1" t="s">
        <v>184</v>
      </c>
      <c r="G31" s="6" t="s">
        <v>153</v>
      </c>
      <c r="H31" s="9" t="n">
        <f aca="false">ROUND('Obras provisionales'!H37,2)</f>
        <v>1</v>
      </c>
      <c r="I31" s="30" t="n">
        <f aca="false">ROUND('APU PROVISIONALES'!J295,2)</f>
        <v>41043.35</v>
      </c>
      <c r="J31" s="30" t="n">
        <f aca="false">H31*I31</f>
        <v>41043.35</v>
      </c>
      <c r="M31" s="30"/>
      <c r="N31" s="30"/>
    </row>
    <row r="32" customFormat="false" ht="15" hidden="false" customHeight="false" outlineLevel="0" collapsed="false">
      <c r="A32" s="1" t="s">
        <v>185</v>
      </c>
      <c r="B32" s="1" t="s">
        <v>186</v>
      </c>
      <c r="G32" s="6" t="s">
        <v>153</v>
      </c>
      <c r="H32" s="9" t="n">
        <f aca="false">ROUND('Obras provisionales'!H38,2)</f>
        <v>1</v>
      </c>
      <c r="I32" s="30" t="n">
        <f aca="false">ROUND('APU PROVISIONALES'!J321,2)</f>
        <v>3824.87</v>
      </c>
      <c r="J32" s="30" t="n">
        <f aca="false">H32*I32</f>
        <v>3824.87</v>
      </c>
      <c r="M32" s="30"/>
      <c r="N32" s="30"/>
    </row>
    <row r="33" customFormat="false" ht="15" hidden="false" customHeight="false" outlineLevel="0" collapsed="false">
      <c r="A33" s="1" t="s">
        <v>187</v>
      </c>
      <c r="B33" s="1" t="s">
        <v>188</v>
      </c>
      <c r="G33" s="6" t="s">
        <v>153</v>
      </c>
      <c r="H33" s="9" t="n">
        <f aca="false">ROUND('Obras provisionales'!H39,2)</f>
        <v>1</v>
      </c>
      <c r="I33" s="30" t="n">
        <f aca="false">ROUND('APU PROVISIONALES'!J333,2)</f>
        <v>6076.5</v>
      </c>
      <c r="J33" s="30" t="n">
        <f aca="false">H33*I33</f>
        <v>6076.5</v>
      </c>
      <c r="M33" s="30"/>
      <c r="N33" s="30"/>
    </row>
    <row r="34" customFormat="false" ht="15" hidden="false" customHeight="false" outlineLevel="0" collapsed="false">
      <c r="A34" s="1" t="s">
        <v>189</v>
      </c>
      <c r="B34" s="49" t="s">
        <v>190</v>
      </c>
      <c r="G34" s="6" t="s">
        <v>153</v>
      </c>
      <c r="H34" s="9" t="n">
        <f aca="false">ROUND('Obras provisionales'!H40,2)</f>
        <v>1</v>
      </c>
      <c r="I34" s="30" t="n">
        <f aca="false">ROUND('APU PROVISIONALES'!J347,2)</f>
        <v>18386.64</v>
      </c>
      <c r="J34" s="30" t="n">
        <f aca="false">H34*I34</f>
        <v>18386.64</v>
      </c>
      <c r="M34" s="30"/>
      <c r="N34" s="30"/>
    </row>
    <row r="35" customFormat="false" ht="15" hidden="false" customHeight="false" outlineLevel="0" collapsed="false">
      <c r="A35" s="1" t="s">
        <v>191</v>
      </c>
      <c r="B35" s="1" t="s">
        <v>192</v>
      </c>
      <c r="G35" s="6" t="s">
        <v>153</v>
      </c>
      <c r="H35" s="9" t="n">
        <f aca="false">ROUND('Obras provisionales'!H41,2)</f>
        <v>1</v>
      </c>
      <c r="I35" s="30" t="n">
        <f aca="false">ROUND('APU PROVISIONALES'!J356,2)</f>
        <v>1478.8</v>
      </c>
      <c r="J35" s="30" t="n">
        <f aca="false">H35*I35</f>
        <v>1478.8</v>
      </c>
      <c r="M35" s="30"/>
      <c r="N35" s="30"/>
    </row>
    <row r="36" customFormat="false" ht="15" hidden="false" customHeight="false" outlineLevel="0" collapsed="false">
      <c r="A36" s="1" t="s">
        <v>193</v>
      </c>
      <c r="B36" s="1" t="s">
        <v>194</v>
      </c>
      <c r="G36" s="6" t="s">
        <v>148</v>
      </c>
      <c r="H36" s="9" t="n">
        <f aca="false">ROUND('Obras provisionales'!H42,2)</f>
        <v>1</v>
      </c>
      <c r="I36" s="30" t="n">
        <f aca="false">ROUND('APU PROVISIONALES'!J368,2)</f>
        <v>8515.8</v>
      </c>
      <c r="J36" s="30" t="n">
        <f aca="false">H36*I36</f>
        <v>8515.8</v>
      </c>
      <c r="M36" s="30"/>
      <c r="N36" s="30"/>
    </row>
    <row r="37" customFormat="false" ht="15" hidden="false" customHeight="false" outlineLevel="0" collapsed="false">
      <c r="A37" s="1" t="s">
        <v>195</v>
      </c>
      <c r="B37" s="1" t="s">
        <v>196</v>
      </c>
      <c r="G37" s="6" t="s">
        <v>148</v>
      </c>
      <c r="H37" s="9" t="n">
        <f aca="false">ROUND('Obras provisionales'!H43,2)</f>
        <v>1</v>
      </c>
      <c r="I37" s="30" t="n">
        <f aca="false">ROUND('APU PROVISIONALES'!J376,2)</f>
        <v>29152.28</v>
      </c>
      <c r="J37" s="30" t="n">
        <f aca="false">H37*I37</f>
        <v>29152.28</v>
      </c>
      <c r="M37" s="30"/>
      <c r="N37" s="30"/>
    </row>
    <row r="38" customFormat="false" ht="15" hidden="false" customHeight="false" outlineLevel="0" collapsed="false">
      <c r="A38" s="1" t="n">
        <v>1.4</v>
      </c>
      <c r="B38" s="13" t="s">
        <v>197</v>
      </c>
      <c r="G38" s="48"/>
      <c r="H38" s="9"/>
      <c r="I38" s="30"/>
      <c r="J38" s="42" t="n">
        <f aca="false">J39+J42+J44+J46+J59+J61</f>
        <v>45871.83</v>
      </c>
      <c r="M38" s="30"/>
      <c r="N38" s="42"/>
    </row>
    <row r="39" customFormat="false" ht="15" hidden="false" customHeight="false" outlineLevel="0" collapsed="false">
      <c r="A39" s="1" t="s">
        <v>198</v>
      </c>
      <c r="B39" s="43" t="s">
        <v>199</v>
      </c>
      <c r="G39" s="47"/>
      <c r="H39" s="9"/>
      <c r="I39" s="30"/>
      <c r="J39" s="45" t="n">
        <f aca="false">SUM(J40:J41)</f>
        <v>21696.256</v>
      </c>
      <c r="M39" s="30"/>
      <c r="N39" s="45"/>
    </row>
    <row r="40" customFormat="false" ht="15" hidden="false" customHeight="false" outlineLevel="0" collapsed="false">
      <c r="A40" s="1" t="s">
        <v>200</v>
      </c>
      <c r="B40" s="1" t="s">
        <v>201</v>
      </c>
      <c r="G40" s="6" t="s">
        <v>202</v>
      </c>
      <c r="H40" s="9" t="n">
        <f aca="false">ROUND('Obras provisionales'!H46,2)</f>
        <v>609.6</v>
      </c>
      <c r="I40" s="30" t="n">
        <f aca="false">ROUND('APU PROVISIONALES'!J384,2)</f>
        <v>32.56</v>
      </c>
      <c r="J40" s="30" t="n">
        <f aca="false">H40*I40</f>
        <v>19848.576</v>
      </c>
      <c r="M40" s="30"/>
      <c r="N40" s="30"/>
    </row>
    <row r="41" customFormat="false" ht="15" hidden="false" customHeight="false" outlineLevel="0" collapsed="false">
      <c r="A41" s="1" t="s">
        <v>203</v>
      </c>
      <c r="B41" s="1" t="s">
        <v>204</v>
      </c>
      <c r="G41" s="6" t="s">
        <v>148</v>
      </c>
      <c r="H41" s="9" t="n">
        <f aca="false">ROUND('Obras provisionales'!H47,2)</f>
        <v>16</v>
      </c>
      <c r="I41" s="30" t="n">
        <f aca="false">ROUND('APU PROVISIONALES'!J397,2)</f>
        <v>115.48</v>
      </c>
      <c r="J41" s="30" t="n">
        <f aca="false">H41*I41</f>
        <v>1847.68</v>
      </c>
      <c r="M41" s="30"/>
      <c r="N41" s="30"/>
    </row>
    <row r="42" customFormat="false" ht="15" hidden="false" customHeight="false" outlineLevel="0" collapsed="false">
      <c r="A42" s="1" t="s">
        <v>205</v>
      </c>
      <c r="B42" s="43" t="s">
        <v>206</v>
      </c>
      <c r="G42" s="47"/>
      <c r="H42" s="9"/>
      <c r="I42" s="30"/>
      <c r="J42" s="45" t="n">
        <f aca="false">SUM(J43)</f>
        <v>1631.52</v>
      </c>
      <c r="M42" s="30"/>
      <c r="N42" s="45"/>
    </row>
    <row r="43" customFormat="false" ht="15" hidden="false" customHeight="false" outlineLevel="0" collapsed="false">
      <c r="A43" s="1" t="s">
        <v>207</v>
      </c>
      <c r="B43" s="1" t="s">
        <v>208</v>
      </c>
      <c r="G43" s="6" t="s">
        <v>153</v>
      </c>
      <c r="H43" s="9" t="n">
        <f aca="false">ROUND('Obras provisionales'!H49,2)</f>
        <v>12</v>
      </c>
      <c r="I43" s="30" t="n">
        <f aca="false">ROUND('APU PROVISIONALES'!J414,2)</f>
        <v>135.96</v>
      </c>
      <c r="J43" s="30" t="n">
        <f aca="false">H43*I43</f>
        <v>1631.52</v>
      </c>
      <c r="M43" s="30"/>
      <c r="N43" s="30"/>
    </row>
    <row r="44" customFormat="false" ht="15" hidden="false" customHeight="false" outlineLevel="0" collapsed="false">
      <c r="A44" s="1" t="s">
        <v>209</v>
      </c>
      <c r="B44" s="43" t="s">
        <v>210</v>
      </c>
      <c r="G44" s="47"/>
      <c r="H44" s="9"/>
      <c r="I44" s="30"/>
      <c r="J44" s="45" t="n">
        <f aca="false">SUM(J45)</f>
        <v>11491.5</v>
      </c>
      <c r="M44" s="30"/>
      <c r="N44" s="45"/>
    </row>
    <row r="45" customFormat="false" ht="15" hidden="false" customHeight="false" outlineLevel="0" collapsed="false">
      <c r="A45" s="1" t="s">
        <v>211</v>
      </c>
      <c r="B45" s="1" t="s">
        <v>212</v>
      </c>
      <c r="G45" s="6" t="s">
        <v>213</v>
      </c>
      <c r="H45" s="9" t="n">
        <f aca="false">ROUND('Obras provisionales'!H51,2)</f>
        <v>6</v>
      </c>
      <c r="I45" s="30" t="n">
        <f aca="false">ROUND('APU PROVISIONALES'!J423,2)</f>
        <v>1915.25</v>
      </c>
      <c r="J45" s="30" t="n">
        <f aca="false">H45*I45</f>
        <v>11491.5</v>
      </c>
      <c r="M45" s="30"/>
      <c r="N45" s="30"/>
    </row>
    <row r="46" customFormat="false" ht="15" hidden="false" customHeight="false" outlineLevel="0" collapsed="false">
      <c r="A46" s="1" t="s">
        <v>214</v>
      </c>
      <c r="B46" s="43" t="s">
        <v>215</v>
      </c>
      <c r="G46" s="47"/>
      <c r="H46" s="9"/>
      <c r="I46" s="30"/>
      <c r="J46" s="45" t="n">
        <f aca="false">J47+J51+J56</f>
        <v>10420.194</v>
      </c>
      <c r="M46" s="30"/>
      <c r="N46" s="45"/>
    </row>
    <row r="47" customFormat="false" ht="15" hidden="false" customHeight="false" outlineLevel="0" collapsed="false">
      <c r="A47" s="1" t="s">
        <v>216</v>
      </c>
      <c r="B47" s="50" t="s">
        <v>217</v>
      </c>
      <c r="G47" s="51"/>
      <c r="H47" s="9"/>
      <c r="I47" s="30"/>
      <c r="J47" s="52" t="n">
        <f aca="false">SUM(J48:J50)</f>
        <v>5630.85</v>
      </c>
      <c r="M47" s="30"/>
      <c r="N47" s="52"/>
    </row>
    <row r="48" customFormat="false" ht="15" hidden="false" customHeight="false" outlineLevel="0" collapsed="false">
      <c r="A48" s="1" t="s">
        <v>218</v>
      </c>
      <c r="B48" s="1" t="s">
        <v>219</v>
      </c>
      <c r="G48" s="6" t="s">
        <v>148</v>
      </c>
      <c r="H48" s="9" t="n">
        <f aca="false">ROUND('Obras provisionales'!H54,2)</f>
        <v>3</v>
      </c>
      <c r="I48" s="30" t="n">
        <f aca="false">ROUND('APU PROVISIONALES'!J430,2)</f>
        <v>167.04</v>
      </c>
      <c r="J48" s="30" t="n">
        <f aca="false">H48*I48</f>
        <v>501.12</v>
      </c>
      <c r="M48" s="30"/>
      <c r="N48" s="30"/>
    </row>
    <row r="49" customFormat="false" ht="15" hidden="false" customHeight="false" outlineLevel="0" collapsed="false">
      <c r="A49" s="1" t="s">
        <v>220</v>
      </c>
      <c r="B49" s="1" t="s">
        <v>221</v>
      </c>
      <c r="G49" s="6" t="s">
        <v>202</v>
      </c>
      <c r="H49" s="9" t="n">
        <f aca="false">ROUND('Obras provisionales'!H55,2)</f>
        <v>9</v>
      </c>
      <c r="I49" s="30" t="n">
        <f aca="false">ROUND('APU PROVISIONALES'!J443,2)</f>
        <v>163.19</v>
      </c>
      <c r="J49" s="30" t="n">
        <f aca="false">H49*I49</f>
        <v>1468.71</v>
      </c>
      <c r="M49" s="30"/>
      <c r="N49" s="30"/>
    </row>
    <row r="50" customFormat="false" ht="15" hidden="false" customHeight="false" outlineLevel="0" collapsed="false">
      <c r="A50" s="1" t="s">
        <v>222</v>
      </c>
      <c r="B50" s="1" t="s">
        <v>223</v>
      </c>
      <c r="G50" s="6" t="s">
        <v>202</v>
      </c>
      <c r="H50" s="9" t="n">
        <f aca="false">ROUND('Obras provisionales'!H56,2)</f>
        <v>9</v>
      </c>
      <c r="I50" s="30" t="n">
        <f aca="false">ROUND('APU PROVISIONALES'!J461,2)</f>
        <v>406.78</v>
      </c>
      <c r="J50" s="30" t="n">
        <f aca="false">H50*I50</f>
        <v>3661.02</v>
      </c>
      <c r="M50" s="30"/>
      <c r="N50" s="30"/>
    </row>
    <row r="51" customFormat="false" ht="15" hidden="false" customHeight="false" outlineLevel="0" collapsed="false">
      <c r="A51" s="1" t="s">
        <v>224</v>
      </c>
      <c r="B51" s="50" t="s">
        <v>225</v>
      </c>
      <c r="G51" s="51"/>
      <c r="H51" s="9"/>
      <c r="I51" s="30"/>
      <c r="J51" s="52" t="n">
        <f aca="false">SUM(J52:J55)</f>
        <v>3837.72</v>
      </c>
      <c r="M51" s="30"/>
      <c r="N51" s="52"/>
    </row>
    <row r="52" customFormat="false" ht="15" hidden="false" customHeight="false" outlineLevel="0" collapsed="false">
      <c r="A52" s="1" t="s">
        <v>226</v>
      </c>
      <c r="B52" s="1" t="s">
        <v>227</v>
      </c>
      <c r="G52" s="6" t="s">
        <v>132</v>
      </c>
      <c r="H52" s="9" t="n">
        <f aca="false">ROUND('Obras provisionales'!H58,2)</f>
        <v>1</v>
      </c>
      <c r="I52" s="30" t="n">
        <f aca="false">ROUND('APU PROVISIONALES'!J468,2)</f>
        <v>80.19</v>
      </c>
      <c r="J52" s="30" t="n">
        <f aca="false">H52*I52</f>
        <v>80.19</v>
      </c>
      <c r="M52" s="30"/>
      <c r="N52" s="30"/>
    </row>
    <row r="53" customFormat="false" ht="15" hidden="false" customHeight="false" outlineLevel="0" collapsed="false">
      <c r="A53" s="1" t="s">
        <v>228</v>
      </c>
      <c r="B53" s="1" t="s">
        <v>229</v>
      </c>
      <c r="G53" s="6" t="s">
        <v>148</v>
      </c>
      <c r="H53" s="9" t="n">
        <f aca="false">ROUND('Obras provisionales'!H59,2)</f>
        <v>15</v>
      </c>
      <c r="I53" s="30" t="n">
        <f aca="false">ROUND('APU PROVISIONALES'!J488,2)</f>
        <v>148.27</v>
      </c>
      <c r="J53" s="30" t="n">
        <f aca="false">H53*I53</f>
        <v>2224.05</v>
      </c>
      <c r="M53" s="30"/>
      <c r="N53" s="30"/>
    </row>
    <row r="54" customFormat="false" ht="15" hidden="false" customHeight="false" outlineLevel="0" collapsed="false">
      <c r="A54" s="1" t="s">
        <v>230</v>
      </c>
      <c r="B54" s="1" t="s">
        <v>231</v>
      </c>
      <c r="G54" s="6" t="s">
        <v>202</v>
      </c>
      <c r="H54" s="9" t="n">
        <f aca="false">ROUND('Obras provisionales'!H60,2)</f>
        <v>24</v>
      </c>
      <c r="I54" s="30" t="n">
        <f aca="false">ROUND('APU PROVISIONALES'!J501,2)</f>
        <v>43.21</v>
      </c>
      <c r="J54" s="30" t="n">
        <f aca="false">H54*I54</f>
        <v>1037.04</v>
      </c>
      <c r="M54" s="30"/>
      <c r="N54" s="30"/>
    </row>
    <row r="55" customFormat="false" ht="15" hidden="false" customHeight="false" outlineLevel="0" collapsed="false">
      <c r="A55" s="1" t="s">
        <v>232</v>
      </c>
      <c r="B55" s="1" t="s">
        <v>233</v>
      </c>
      <c r="G55" s="6" t="s">
        <v>202</v>
      </c>
      <c r="H55" s="9" t="n">
        <f aca="false">ROUND('Obras provisionales'!H61,2)</f>
        <v>36</v>
      </c>
      <c r="I55" s="30" t="n">
        <f aca="false">ROUND('APU PROVISIONALES'!J519,2)</f>
        <v>13.79</v>
      </c>
      <c r="J55" s="30" t="n">
        <f aca="false">H55*I55</f>
        <v>496.44</v>
      </c>
      <c r="M55" s="30"/>
      <c r="N55" s="30"/>
    </row>
    <row r="56" customFormat="false" ht="15" hidden="false" customHeight="false" outlineLevel="0" collapsed="false">
      <c r="A56" s="1" t="s">
        <v>234</v>
      </c>
      <c r="B56" s="50" t="s">
        <v>235</v>
      </c>
      <c r="G56" s="51"/>
      <c r="H56" s="9"/>
      <c r="I56" s="30"/>
      <c r="J56" s="52" t="n">
        <f aca="false">SUM(J57:J58)</f>
        <v>951.624</v>
      </c>
      <c r="M56" s="30"/>
      <c r="N56" s="52"/>
    </row>
    <row r="57" customFormat="false" ht="15" hidden="false" customHeight="false" outlineLevel="0" collapsed="false">
      <c r="A57" s="1" t="s">
        <v>236</v>
      </c>
      <c r="B57" s="1" t="s">
        <v>237</v>
      </c>
      <c r="G57" s="6" t="s">
        <v>156</v>
      </c>
      <c r="H57" s="9" t="n">
        <f aca="false">ROUND('Obras provisionales'!H63,2)</f>
        <v>12</v>
      </c>
      <c r="I57" s="30" t="n">
        <f aca="false">ROUND('APU PROVISIONALES'!J534,2)</f>
        <v>68.27</v>
      </c>
      <c r="J57" s="30" t="n">
        <f aca="false">H57*I57</f>
        <v>819.24</v>
      </c>
      <c r="M57" s="30"/>
      <c r="N57" s="30"/>
    </row>
    <row r="58" customFormat="false" ht="15" hidden="false" customHeight="false" outlineLevel="0" collapsed="false">
      <c r="A58" s="1" t="s">
        <v>238</v>
      </c>
      <c r="B58" s="1" t="s">
        <v>239</v>
      </c>
      <c r="G58" s="6" t="s">
        <v>202</v>
      </c>
      <c r="H58" s="9" t="n">
        <f aca="false">ROUND('Obras provisionales'!H64,2)</f>
        <v>9.6</v>
      </c>
      <c r="I58" s="30" t="n">
        <f aca="false">ROUND('APU PROVISIONALES'!J548,2)</f>
        <v>13.79</v>
      </c>
      <c r="J58" s="30" t="n">
        <f aca="false">H58*I58</f>
        <v>132.384</v>
      </c>
      <c r="M58" s="30"/>
      <c r="N58" s="30"/>
    </row>
    <row r="59" customFormat="false" ht="15" hidden="false" customHeight="false" outlineLevel="0" collapsed="false">
      <c r="A59" s="1" t="s">
        <v>240</v>
      </c>
      <c r="B59" s="43" t="s">
        <v>241</v>
      </c>
      <c r="G59" s="47"/>
      <c r="H59" s="9"/>
      <c r="I59" s="30"/>
      <c r="J59" s="45" t="n">
        <f aca="false">SUM(J60)</f>
        <v>402.01</v>
      </c>
      <c r="M59" s="30"/>
      <c r="N59" s="45"/>
    </row>
    <row r="60" customFormat="false" ht="15" hidden="false" customHeight="false" outlineLevel="0" collapsed="false">
      <c r="A60" s="1" t="s">
        <v>242</v>
      </c>
      <c r="B60" s="1" t="s">
        <v>243</v>
      </c>
      <c r="G60" s="6" t="s">
        <v>148</v>
      </c>
      <c r="H60" s="9" t="n">
        <f aca="false">ROUND('Obras provisionales'!H66,2)</f>
        <v>1</v>
      </c>
      <c r="I60" s="30" t="n">
        <f aca="false">ROUND('APU PROVISIONALES'!J563,2)</f>
        <v>402.01</v>
      </c>
      <c r="J60" s="30" t="n">
        <f aca="false">H60*I60</f>
        <v>402.01</v>
      </c>
      <c r="M60" s="30"/>
      <c r="N60" s="30"/>
    </row>
    <row r="61" customFormat="false" ht="15" hidden="false" customHeight="false" outlineLevel="0" collapsed="false">
      <c r="A61" s="1" t="s">
        <v>244</v>
      </c>
      <c r="B61" s="43" t="s">
        <v>245</v>
      </c>
      <c r="G61" s="47"/>
      <c r="H61" s="9"/>
      <c r="I61" s="30"/>
      <c r="J61" s="45" t="n">
        <f aca="false">SUM(J62:J65)</f>
        <v>230.35</v>
      </c>
      <c r="M61" s="30"/>
      <c r="N61" s="45"/>
    </row>
    <row r="62" customFormat="false" ht="15" hidden="false" customHeight="false" outlineLevel="0" collapsed="false">
      <c r="A62" s="1" t="s">
        <v>246</v>
      </c>
      <c r="B62" s="1" t="s">
        <v>247</v>
      </c>
      <c r="G62" s="6" t="s">
        <v>132</v>
      </c>
      <c r="H62" s="9" t="n">
        <f aca="false">ROUND('Obras provisionales'!H68,2)</f>
        <v>20</v>
      </c>
      <c r="I62" s="30" t="n">
        <f aca="false">ROUND('APU PROVISIONALES'!J579,2)</f>
        <v>6.95</v>
      </c>
      <c r="J62" s="30" t="n">
        <f aca="false">H62*I62</f>
        <v>139</v>
      </c>
      <c r="M62" s="30"/>
      <c r="N62" s="30"/>
    </row>
    <row r="63" customFormat="false" ht="15" hidden="false" customHeight="false" outlineLevel="0" collapsed="false">
      <c r="A63" s="1" t="s">
        <v>248</v>
      </c>
      <c r="B63" s="1" t="s">
        <v>249</v>
      </c>
      <c r="G63" s="6" t="s">
        <v>202</v>
      </c>
      <c r="H63" s="9" t="n">
        <f aca="false">ROUND('Obras provisionales'!H69,2)</f>
        <v>1.5</v>
      </c>
      <c r="I63" s="30" t="n">
        <f aca="false">ROUND('APU PROVISIONALES'!J591,2)</f>
        <v>24.08</v>
      </c>
      <c r="J63" s="30" t="n">
        <f aca="false">H63*I63</f>
        <v>36.12</v>
      </c>
      <c r="M63" s="30"/>
      <c r="N63" s="30"/>
    </row>
    <row r="64" customFormat="false" ht="15" hidden="false" customHeight="false" outlineLevel="0" collapsed="false">
      <c r="A64" s="1" t="s">
        <v>250</v>
      </c>
      <c r="B64" s="1" t="s">
        <v>251</v>
      </c>
      <c r="G64" s="6" t="s">
        <v>132</v>
      </c>
      <c r="H64" s="9" t="n">
        <f aca="false">ROUND('Obras provisionales'!H70,2)</f>
        <v>3</v>
      </c>
      <c r="I64" s="30" t="n">
        <f aca="false">ROUND('APU PROVISIONALES'!J607,2)</f>
        <v>7.69</v>
      </c>
      <c r="J64" s="30" t="n">
        <f aca="false">H64*I64</f>
        <v>23.07</v>
      </c>
      <c r="M64" s="30"/>
      <c r="N64" s="30"/>
    </row>
    <row r="65" customFormat="false" ht="15" hidden="false" customHeight="false" outlineLevel="0" collapsed="false">
      <c r="A65" s="1" t="s">
        <v>252</v>
      </c>
      <c r="B65" s="1" t="s">
        <v>253</v>
      </c>
      <c r="G65" s="6" t="s">
        <v>132</v>
      </c>
      <c r="H65" s="9" t="n">
        <f aca="false">ROUND('Obras provisionales'!H71,2)</f>
        <v>4</v>
      </c>
      <c r="I65" s="30" t="n">
        <f aca="false">ROUND('APU PROVISIONALES'!J621,2)</f>
        <v>8.04</v>
      </c>
      <c r="J65" s="30" t="n">
        <f aca="false">H65*I65</f>
        <v>32.16</v>
      </c>
      <c r="M65" s="30"/>
      <c r="N65" s="30"/>
    </row>
    <row r="66" customFormat="false" ht="15" hidden="false" customHeight="false" outlineLevel="0" collapsed="false">
      <c r="A66" s="1" t="n">
        <v>1.5</v>
      </c>
      <c r="B66" s="13" t="s">
        <v>254</v>
      </c>
      <c r="G66" s="48"/>
      <c r="H66" s="9"/>
      <c r="I66" s="30"/>
      <c r="J66" s="42" t="n">
        <f aca="false">J67+J75</f>
        <v>1209.3013</v>
      </c>
      <c r="M66" s="30"/>
      <c r="N66" s="42"/>
    </row>
    <row r="67" customFormat="false" ht="15" hidden="false" customHeight="false" outlineLevel="0" collapsed="false">
      <c r="A67" s="1" t="s">
        <v>255</v>
      </c>
      <c r="B67" s="43" t="s">
        <v>256</v>
      </c>
      <c r="C67" s="53"/>
      <c r="G67" s="6"/>
      <c r="H67" s="9"/>
      <c r="I67" s="30"/>
      <c r="J67" s="45" t="n">
        <f aca="false">SUM(J68:J74)</f>
        <v>513.2893</v>
      </c>
      <c r="M67" s="30"/>
      <c r="N67" s="45"/>
    </row>
    <row r="68" customFormat="false" ht="15" hidden="false" customHeight="false" outlineLevel="0" collapsed="false">
      <c r="A68" s="1" t="s">
        <v>257</v>
      </c>
      <c r="B68" s="1" t="s">
        <v>258</v>
      </c>
      <c r="G68" s="6" t="s">
        <v>132</v>
      </c>
      <c r="H68" s="9" t="n">
        <f aca="false">IF('Datos iniciales '!$E$3="SI",ROUND('Obras provisionales'!H74,2),0)</f>
        <v>5.1</v>
      </c>
      <c r="I68" s="30" t="n">
        <f aca="false">ROUND('APU PROVISIONALES'!J636,2)</f>
        <v>16.07</v>
      </c>
      <c r="J68" s="30" t="n">
        <f aca="false">H68*I68</f>
        <v>81.957</v>
      </c>
      <c r="M68" s="30"/>
      <c r="N68" s="30"/>
    </row>
    <row r="69" customFormat="false" ht="15" hidden="false" customHeight="false" outlineLevel="0" collapsed="false">
      <c r="A69" s="1" t="s">
        <v>259</v>
      </c>
      <c r="B69" s="1" t="s">
        <v>260</v>
      </c>
      <c r="G69" s="6" t="s">
        <v>132</v>
      </c>
      <c r="H69" s="9" t="n">
        <f aca="false">IF('Datos iniciales '!$E$3="SI",ROUND('Obras provisionales'!H75,2),0)</f>
        <v>7.8</v>
      </c>
      <c r="I69" s="30" t="n">
        <f aca="false">ROUND('APU PROVISIONALES'!J643,2)</f>
        <v>20.09</v>
      </c>
      <c r="J69" s="30" t="n">
        <f aca="false">H69*I69</f>
        <v>156.702</v>
      </c>
      <c r="M69" s="30"/>
      <c r="N69" s="30"/>
    </row>
    <row r="70" customFormat="false" ht="15" hidden="false" customHeight="false" outlineLevel="0" collapsed="false">
      <c r="A70" s="1" t="s">
        <v>261</v>
      </c>
      <c r="B70" s="1" t="s">
        <v>262</v>
      </c>
      <c r="G70" s="6" t="s">
        <v>132</v>
      </c>
      <c r="H70" s="9" t="n">
        <f aca="false">IF('Datos iniciales '!$E$3="SI",ROUND('Obras provisionales'!H76,2),0)</f>
        <v>7.05</v>
      </c>
      <c r="I70" s="30" t="n">
        <f aca="false">ROUND('APU PROVISIONALES'!J650,2)</f>
        <v>20.09</v>
      </c>
      <c r="J70" s="30" t="n">
        <f aca="false">H70*I70</f>
        <v>141.6345</v>
      </c>
      <c r="M70" s="30"/>
      <c r="N70" s="30"/>
    </row>
    <row r="71" customFormat="false" ht="15" hidden="false" customHeight="false" outlineLevel="0" collapsed="false">
      <c r="A71" s="1" t="s">
        <v>263</v>
      </c>
      <c r="B71" s="1" t="s">
        <v>264</v>
      </c>
      <c r="G71" s="6" t="s">
        <v>132</v>
      </c>
      <c r="H71" s="9" t="n">
        <f aca="false">IF('Datos iniciales '!$E$3="SI",ROUND('Obras provisionales'!H77,2),0)</f>
        <v>0.15</v>
      </c>
      <c r="I71" s="30" t="n">
        <f aca="false">ROUND('APU PROVISIONALES'!J657,2)</f>
        <v>20.09</v>
      </c>
      <c r="J71" s="30" t="n">
        <f aca="false">H71*I71</f>
        <v>3.0135</v>
      </c>
      <c r="M71" s="30"/>
      <c r="N71" s="30"/>
    </row>
    <row r="72" customFormat="false" ht="15" hidden="false" customHeight="false" outlineLevel="0" collapsed="false">
      <c r="A72" s="1" t="s">
        <v>265</v>
      </c>
      <c r="B72" s="1" t="s">
        <v>266</v>
      </c>
      <c r="G72" s="6" t="s">
        <v>132</v>
      </c>
      <c r="H72" s="9" t="n">
        <f aca="false">IF('Datos iniciales '!$E$3="SI",ROUND('Obras provisionales'!H78,2),0)</f>
        <v>0.35</v>
      </c>
      <c r="I72" s="30" t="n">
        <f aca="false">ROUND('APU PROVISIONALES'!J664,2)</f>
        <v>20.09</v>
      </c>
      <c r="J72" s="30" t="n">
        <f aca="false">H72*I72</f>
        <v>7.0315</v>
      </c>
      <c r="M72" s="30"/>
      <c r="N72" s="30"/>
    </row>
    <row r="73" customFormat="false" ht="15" hidden="false" customHeight="false" outlineLevel="0" collapsed="false">
      <c r="A73" s="1" t="s">
        <v>267</v>
      </c>
      <c r="B73" s="1" t="s">
        <v>268</v>
      </c>
      <c r="G73" s="6" t="s">
        <v>132</v>
      </c>
      <c r="H73" s="9" t="n">
        <f aca="false">IF('Datos iniciales '!$E$3="SI",ROUND('Obras provisionales'!H79,2),0)</f>
        <v>0.57</v>
      </c>
      <c r="I73" s="30" t="n">
        <f aca="false">ROUND('APU PROVISIONALES'!J671,2)</f>
        <v>20.09</v>
      </c>
      <c r="J73" s="30" t="n">
        <f aca="false">H73*I73</f>
        <v>11.4513</v>
      </c>
      <c r="M73" s="30"/>
      <c r="N73" s="30"/>
    </row>
    <row r="74" customFormat="false" ht="15" hidden="false" customHeight="false" outlineLevel="0" collapsed="false">
      <c r="A74" s="1" t="s">
        <v>269</v>
      </c>
      <c r="B74" s="1" t="s">
        <v>270</v>
      </c>
      <c r="G74" s="6" t="s">
        <v>132</v>
      </c>
      <c r="H74" s="9" t="n">
        <f aca="false">IF('Datos iniciales '!$E$3="SI",ROUND('Obras provisionales'!H80,2),0)</f>
        <v>5.55</v>
      </c>
      <c r="I74" s="30" t="n">
        <f aca="false">ROUND('APU PROVISIONALES'!J678,2)</f>
        <v>20.09</v>
      </c>
      <c r="J74" s="30" t="n">
        <f aca="false">H74*I74</f>
        <v>111.4995</v>
      </c>
      <c r="M74" s="30"/>
      <c r="N74" s="30"/>
    </row>
    <row r="75" customFormat="false" ht="15" hidden="false" customHeight="false" outlineLevel="0" collapsed="false">
      <c r="A75" s="1" t="s">
        <v>271</v>
      </c>
      <c r="B75" s="43" t="s">
        <v>254</v>
      </c>
      <c r="G75" s="6"/>
      <c r="H75" s="9"/>
      <c r="I75" s="30"/>
      <c r="J75" s="45" t="n">
        <f aca="false">SUM(J76:J77)</f>
        <v>696.012</v>
      </c>
      <c r="M75" s="30"/>
      <c r="N75" s="45"/>
    </row>
    <row r="76" customFormat="false" ht="15" hidden="false" customHeight="false" outlineLevel="0" collapsed="false">
      <c r="A76" s="1" t="s">
        <v>272</v>
      </c>
      <c r="B76" s="1" t="s">
        <v>273</v>
      </c>
      <c r="G76" s="6" t="s">
        <v>132</v>
      </c>
      <c r="H76" s="9" t="n">
        <f aca="false">IF('Datos iniciales '!$E$3="SI",ROUND('Obras provisionales'!H82,2),0)</f>
        <v>7.95</v>
      </c>
      <c r="I76" s="30" t="n">
        <f aca="false">ROUND('APU PROVISIONALES'!J685,2)</f>
        <v>54.2</v>
      </c>
      <c r="J76" s="30" t="n">
        <f aca="false">H76*I76</f>
        <v>430.89</v>
      </c>
      <c r="M76" s="30"/>
      <c r="N76" s="30"/>
    </row>
    <row r="77" customFormat="false" ht="15" hidden="false" customHeight="false" outlineLevel="0" collapsed="false">
      <c r="A77" s="1" t="s">
        <v>274</v>
      </c>
      <c r="B77" s="1" t="s">
        <v>275</v>
      </c>
      <c r="G77" s="6" t="s">
        <v>202</v>
      </c>
      <c r="H77" s="9" t="n">
        <f aca="false">IF('Datos iniciales '!$E$3="SI",ROUND('Obras provisionales'!H83,2),0)</f>
        <v>6.6</v>
      </c>
      <c r="I77" s="30" t="n">
        <f aca="false">ROUND('APU PROVISIONALES'!J692,2)</f>
        <v>40.17</v>
      </c>
      <c r="J77" s="30" t="n">
        <f aca="false">H77*I77</f>
        <v>265.122</v>
      </c>
      <c r="M77" s="30"/>
      <c r="N77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S696"/>
  <sheetViews>
    <sheetView showFormulas="false" showGridLines="true" showRowColHeaders="true" showZeros="true" rightToLeft="false" tabSelected="false" showOutlineSymbols="true" defaultGridColor="true" view="normal" topLeftCell="A254" colorId="64" zoomScale="100" zoomScaleNormal="100" zoomScalePageLayoutView="100" workbookViewId="0">
      <selection pane="topLeft" activeCell="K401" activeCellId="0" sqref="K401"/>
    </sheetView>
  </sheetViews>
  <sheetFormatPr defaultColWidth="8.59765625" defaultRowHeight="15" zeroHeight="false" outlineLevelRow="0" outlineLevelCol="0"/>
  <sheetData>
    <row r="2" customFormat="false" ht="15" hidden="false" customHeight="false" outlineLevel="0" collapsed="false">
      <c r="A2" s="14" t="s">
        <v>276</v>
      </c>
      <c r="B2" s="14" t="str">
        <f aca="false">PROVISIONALES!A6</f>
        <v>1.1.1.1</v>
      </c>
      <c r="C2" s="14" t="s">
        <v>131</v>
      </c>
      <c r="D2" s="14"/>
      <c r="E2" s="14"/>
      <c r="F2" s="14"/>
      <c r="G2" s="14"/>
      <c r="H2" s="14"/>
      <c r="I2" s="14"/>
    </row>
    <row r="3" customFormat="false" ht="15" hidden="false" customHeight="false" outlineLevel="0" collapsed="false">
      <c r="A3" s="14" t="s">
        <v>277</v>
      </c>
      <c r="B3" s="14" t="s">
        <v>278</v>
      </c>
      <c r="C3" s="38" t="s">
        <v>279</v>
      </c>
      <c r="D3" s="54" t="n">
        <v>25</v>
      </c>
      <c r="E3" s="38" t="s">
        <v>280</v>
      </c>
      <c r="F3" s="54" t="n">
        <f aca="false">D3</f>
        <v>25</v>
      </c>
      <c r="G3" s="14" t="s">
        <v>281</v>
      </c>
      <c r="I3" s="38" t="s">
        <v>148</v>
      </c>
      <c r="J3" s="55" t="n">
        <f aca="false">J10++J22+J25</f>
        <v>158.9</v>
      </c>
    </row>
    <row r="4" customFormat="false" ht="15" hidden="false" customHeight="false" outlineLevel="0" collapsed="false">
      <c r="A4" s="14" t="s">
        <v>282</v>
      </c>
      <c r="B4" s="14" t="s">
        <v>283</v>
      </c>
      <c r="F4" s="38" t="s">
        <v>121</v>
      </c>
      <c r="G4" s="38" t="s">
        <v>284</v>
      </c>
      <c r="H4" s="38" t="s">
        <v>285</v>
      </c>
      <c r="I4" s="38" t="s">
        <v>286</v>
      </c>
      <c r="J4" s="38" t="s">
        <v>287</v>
      </c>
    </row>
    <row r="5" customFormat="false" ht="15" hidden="false" customHeight="false" outlineLevel="0" collapsed="false">
      <c r="B5" s="56" t="s">
        <v>288</v>
      </c>
      <c r="N5" s="30"/>
      <c r="Q5" s="57"/>
      <c r="R5" s="58"/>
      <c r="S5" s="59"/>
    </row>
    <row r="6" customFormat="false" ht="15" hidden="false" customHeight="false" outlineLevel="0" collapsed="false">
      <c r="F6" s="57"/>
      <c r="G6" s="58"/>
      <c r="H6" s="59"/>
      <c r="I6" s="30"/>
      <c r="J6" s="30"/>
      <c r="N6" s="30"/>
      <c r="Q6" s="57"/>
      <c r="R6" s="58"/>
      <c r="S6" s="59"/>
    </row>
    <row r="7" customFormat="false" ht="15" hidden="false" customHeight="false" outlineLevel="0" collapsed="false">
      <c r="B7" s="1" t="s">
        <v>289</v>
      </c>
      <c r="F7" s="57" t="s">
        <v>290</v>
      </c>
      <c r="G7" s="58" t="n">
        <v>1</v>
      </c>
      <c r="H7" s="59" t="n">
        <f aca="false">G7*8/$D$3</f>
        <v>0.32</v>
      </c>
      <c r="I7" s="30" t="n">
        <v>28.94</v>
      </c>
      <c r="J7" s="30" t="n">
        <f aca="false">H7*I7</f>
        <v>9.2608</v>
      </c>
      <c r="K7" s="1" t="n">
        <v>47</v>
      </c>
      <c r="N7" s="30"/>
      <c r="Q7" s="57"/>
      <c r="R7" s="58"/>
      <c r="S7" s="59"/>
    </row>
    <row r="8" customFormat="false" ht="15" hidden="false" customHeight="false" outlineLevel="0" collapsed="false">
      <c r="B8" s="1" t="s">
        <v>291</v>
      </c>
      <c r="F8" s="57" t="s">
        <v>290</v>
      </c>
      <c r="G8" s="58" t="n">
        <v>1</v>
      </c>
      <c r="H8" s="59" t="n">
        <f aca="false">G8*8/$D$3</f>
        <v>0.32</v>
      </c>
      <c r="I8" s="30" t="n">
        <v>22.66</v>
      </c>
      <c r="J8" s="30" t="n">
        <f aca="false">H8*I8</f>
        <v>7.2512</v>
      </c>
      <c r="K8" s="1" t="n">
        <v>47</v>
      </c>
    </row>
    <row r="9" customFormat="false" ht="15" hidden="false" customHeight="false" outlineLevel="0" collapsed="false">
      <c r="B9" s="1" t="s">
        <v>292</v>
      </c>
      <c r="F9" s="57" t="s">
        <v>290</v>
      </c>
      <c r="G9" s="58" t="n">
        <v>3</v>
      </c>
      <c r="H9" s="59" t="n">
        <f aca="false">G9*8/$D$3</f>
        <v>0.96</v>
      </c>
      <c r="I9" s="30" t="n">
        <v>20.51</v>
      </c>
      <c r="J9" s="30" t="n">
        <f aca="false">H9*I9</f>
        <v>19.6896</v>
      </c>
      <c r="K9" s="1" t="n">
        <v>47</v>
      </c>
    </row>
    <row r="10" customFormat="false" ht="15" hidden="false" customHeight="false" outlineLevel="0" collapsed="false">
      <c r="J10" s="55" t="n">
        <f aca="false">ROUND(SUM(J6:J9),2)</f>
        <v>36.2</v>
      </c>
    </row>
    <row r="11" customFormat="false" ht="15" hidden="false" customHeight="false" outlineLevel="0" collapsed="false">
      <c r="B11" s="56" t="s">
        <v>293</v>
      </c>
    </row>
    <row r="12" customFormat="false" ht="15" hidden="false" customHeight="false" outlineLevel="0" collapsed="false">
      <c r="B12" s="1" t="s">
        <v>294</v>
      </c>
      <c r="F12" s="57" t="s">
        <v>295</v>
      </c>
      <c r="G12" s="58"/>
      <c r="H12" s="59" t="n">
        <v>1.25</v>
      </c>
      <c r="I12" s="30" t="n">
        <v>2.64</v>
      </c>
      <c r="J12" s="30" t="n">
        <f aca="false">H12*I12</f>
        <v>3.3</v>
      </c>
      <c r="K12" s="1" t="n">
        <v>2</v>
      </c>
    </row>
    <row r="13" customFormat="false" ht="15" hidden="false" customHeight="false" outlineLevel="0" collapsed="false">
      <c r="B13" s="1" t="s">
        <v>296</v>
      </c>
      <c r="F13" s="57" t="s">
        <v>297</v>
      </c>
      <c r="G13" s="58"/>
      <c r="H13" s="59" t="n">
        <v>1.8</v>
      </c>
      <c r="I13" s="1" t="n">
        <v>14.15</v>
      </c>
      <c r="J13" s="30" t="n">
        <f aca="false">H13*I13</f>
        <v>25.47</v>
      </c>
      <c r="K13" s="1" t="n">
        <v>56</v>
      </c>
    </row>
    <row r="14" customFormat="false" ht="15" hidden="false" customHeight="false" outlineLevel="0" collapsed="false">
      <c r="B14" s="1" t="s">
        <v>298</v>
      </c>
      <c r="F14" s="57" t="s">
        <v>148</v>
      </c>
      <c r="G14" s="58"/>
      <c r="H14" s="59" t="n">
        <v>0.2</v>
      </c>
      <c r="I14" s="1" t="n">
        <v>55</v>
      </c>
      <c r="J14" s="30" t="n">
        <f aca="false">H14*I14</f>
        <v>11</v>
      </c>
      <c r="K14" s="1" t="n">
        <v>26</v>
      </c>
    </row>
    <row r="15" customFormat="false" ht="15" hidden="false" customHeight="false" outlineLevel="0" collapsed="false">
      <c r="B15" s="1" t="s">
        <v>299</v>
      </c>
      <c r="F15" s="57" t="s">
        <v>295</v>
      </c>
      <c r="H15" s="59" t="n">
        <v>0.06</v>
      </c>
      <c r="I15" s="1" t="n">
        <v>10.93</v>
      </c>
      <c r="J15" s="30" t="n">
        <f aca="false">H15*I15</f>
        <v>0.6558</v>
      </c>
      <c r="K15" s="1" t="n">
        <v>2</v>
      </c>
    </row>
    <row r="16" customFormat="false" ht="15" hidden="false" customHeight="false" outlineLevel="0" collapsed="false">
      <c r="B16" s="1" t="s">
        <v>300</v>
      </c>
      <c r="F16" s="57" t="s">
        <v>295</v>
      </c>
      <c r="H16" s="59" t="n">
        <v>0.071</v>
      </c>
      <c r="I16" s="30" t="n">
        <v>5.51</v>
      </c>
      <c r="J16" s="30" t="n">
        <f aca="false">H16*I16</f>
        <v>0.39121</v>
      </c>
      <c r="K16" s="1" t="n">
        <v>2</v>
      </c>
    </row>
    <row r="17" customFormat="false" ht="15" hidden="false" customHeight="false" outlineLevel="0" collapsed="false">
      <c r="B17" s="1" t="s">
        <v>301</v>
      </c>
      <c r="F17" s="57" t="s">
        <v>202</v>
      </c>
      <c r="H17" s="59" t="n">
        <v>0.19</v>
      </c>
      <c r="I17" s="30" t="n">
        <v>70.92</v>
      </c>
      <c r="J17" s="30" t="n">
        <f aca="false">H17*I17</f>
        <v>13.4748</v>
      </c>
      <c r="K17" s="1" t="n">
        <v>38</v>
      </c>
    </row>
    <row r="18" customFormat="false" ht="15" hidden="false" customHeight="false" outlineLevel="0" collapsed="false">
      <c r="B18" s="1" t="s">
        <v>302</v>
      </c>
      <c r="F18" s="57" t="s">
        <v>297</v>
      </c>
      <c r="H18" s="59" t="n">
        <v>0.53</v>
      </c>
      <c r="I18" s="1" t="n">
        <v>27.88</v>
      </c>
      <c r="J18" s="30" t="n">
        <f aca="false">H18*I18</f>
        <v>14.7764</v>
      </c>
      <c r="K18" s="1" t="n">
        <v>44</v>
      </c>
    </row>
    <row r="19" customFormat="false" ht="15" hidden="false" customHeight="false" outlineLevel="0" collapsed="false">
      <c r="B19" s="1" t="s">
        <v>303</v>
      </c>
      <c r="F19" s="57" t="s">
        <v>304</v>
      </c>
      <c r="H19" s="59" t="n">
        <v>0.2374</v>
      </c>
      <c r="I19" s="1" t="n">
        <v>32.2</v>
      </c>
      <c r="J19" s="30" t="n">
        <f aca="false">H19*I19</f>
        <v>7.64428</v>
      </c>
      <c r="K19" s="1" t="n">
        <v>30</v>
      </c>
    </row>
    <row r="20" customFormat="false" ht="15" hidden="false" customHeight="false" outlineLevel="0" collapsed="false">
      <c r="B20" s="1" t="s">
        <v>305</v>
      </c>
      <c r="F20" s="57" t="s">
        <v>306</v>
      </c>
      <c r="H20" s="59" t="n">
        <v>1.092</v>
      </c>
      <c r="I20" s="30" t="n">
        <v>24.52</v>
      </c>
      <c r="J20" s="30" t="n">
        <f aca="false">H20*I20</f>
        <v>26.77584</v>
      </c>
      <c r="K20" s="1" t="n">
        <v>21</v>
      </c>
    </row>
    <row r="21" customFormat="false" ht="15" hidden="false" customHeight="false" outlineLevel="0" collapsed="false">
      <c r="B21" s="1" t="s">
        <v>307</v>
      </c>
      <c r="F21" s="57" t="s">
        <v>304</v>
      </c>
      <c r="H21" s="59" t="n">
        <v>3</v>
      </c>
      <c r="I21" s="30" t="n">
        <v>5.8</v>
      </c>
      <c r="J21" s="30" t="n">
        <f aca="false">H21*I21</f>
        <v>17.4</v>
      </c>
      <c r="K21" s="1" t="n">
        <v>43</v>
      </c>
    </row>
    <row r="22" customFormat="false" ht="15" hidden="false" customHeight="false" outlineLevel="0" collapsed="false">
      <c r="F22" s="57"/>
      <c r="H22" s="59"/>
      <c r="I22" s="30"/>
      <c r="J22" s="55" t="n">
        <f aca="false">ROUND(SUM(J12:J21),2)</f>
        <v>120.89</v>
      </c>
    </row>
    <row r="23" customFormat="false" ht="15" hidden="false" customHeight="false" outlineLevel="0" collapsed="false">
      <c r="B23" s="56" t="s">
        <v>308</v>
      </c>
    </row>
    <row r="24" customFormat="false" ht="15" hidden="false" customHeight="false" outlineLevel="0" collapsed="false">
      <c r="B24" s="1" t="s">
        <v>309</v>
      </c>
      <c r="F24" s="57" t="s">
        <v>310</v>
      </c>
      <c r="H24" s="59" t="n">
        <v>5</v>
      </c>
      <c r="I24" s="30" t="n">
        <f aca="false">J10</f>
        <v>36.2</v>
      </c>
      <c r="J24" s="30" t="n">
        <f aca="false">H24%*I24</f>
        <v>1.81</v>
      </c>
      <c r="K24" s="1" t="n">
        <v>37</v>
      </c>
    </row>
    <row r="25" customFormat="false" ht="15" hidden="false" customHeight="false" outlineLevel="0" collapsed="false">
      <c r="J25" s="55" t="n">
        <f aca="false">ROUND(SUM(J24),2)</f>
        <v>1.81</v>
      </c>
    </row>
    <row r="26" customFormat="false" ht="15" hidden="false" customHeight="false" outlineLevel="0" collapsed="false">
      <c r="A26" s="60"/>
      <c r="B26" s="60"/>
      <c r="C26" s="60"/>
      <c r="D26" s="60"/>
      <c r="E26" s="60"/>
      <c r="F26" s="60"/>
      <c r="G26" s="60"/>
      <c r="H26" s="61"/>
      <c r="I26" s="61"/>
      <c r="J26" s="60"/>
    </row>
    <row r="27" customFormat="false" ht="15" hidden="false" customHeight="false" outlineLevel="0" collapsed="false">
      <c r="A27" s="14" t="s">
        <v>276</v>
      </c>
      <c r="B27" s="14" t="str">
        <f aca="false">PROVISIONALES!A7</f>
        <v>1.1.1.2</v>
      </c>
      <c r="C27" s="14" t="s">
        <v>134</v>
      </c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4" t="s">
        <v>277</v>
      </c>
      <c r="B28" s="14" t="s">
        <v>278</v>
      </c>
      <c r="C28" s="38" t="s">
        <v>279</v>
      </c>
      <c r="D28" s="54" t="n">
        <v>40</v>
      </c>
      <c r="E28" s="38" t="s">
        <v>280</v>
      </c>
      <c r="F28" s="54" t="n">
        <f aca="false">D28</f>
        <v>40</v>
      </c>
      <c r="G28" s="14" t="s">
        <v>281</v>
      </c>
      <c r="I28" s="38" t="s">
        <v>148</v>
      </c>
      <c r="J28" s="55" t="n">
        <f aca="false">J34++J46+J49</f>
        <v>144.65</v>
      </c>
    </row>
    <row r="29" customFormat="false" ht="15" hidden="false" customHeight="false" outlineLevel="0" collapsed="false">
      <c r="A29" s="14" t="s">
        <v>282</v>
      </c>
      <c r="B29" s="14" t="s">
        <v>283</v>
      </c>
      <c r="F29" s="38" t="s">
        <v>121</v>
      </c>
      <c r="G29" s="38" t="s">
        <v>284</v>
      </c>
      <c r="H29" s="38" t="s">
        <v>285</v>
      </c>
      <c r="I29" s="38" t="s">
        <v>286</v>
      </c>
      <c r="J29" s="38" t="s">
        <v>287</v>
      </c>
    </row>
    <row r="30" customFormat="false" ht="15" hidden="false" customHeight="false" outlineLevel="0" collapsed="false">
      <c r="B30" s="56" t="s">
        <v>288</v>
      </c>
    </row>
    <row r="31" customFormat="false" ht="15" hidden="false" customHeight="false" outlineLevel="0" collapsed="false">
      <c r="B31" s="1" t="s">
        <v>289</v>
      </c>
      <c r="F31" s="57" t="s">
        <v>290</v>
      </c>
      <c r="G31" s="58" t="n">
        <v>1</v>
      </c>
      <c r="H31" s="59" t="n">
        <f aca="false">G31*8/$D$28</f>
        <v>0.2</v>
      </c>
      <c r="I31" s="30" t="n">
        <v>28.94</v>
      </c>
      <c r="J31" s="30" t="n">
        <f aca="false">H31*I31</f>
        <v>5.788</v>
      </c>
      <c r="K31" s="1" t="n">
        <v>47</v>
      </c>
    </row>
    <row r="32" customFormat="false" ht="15" hidden="false" customHeight="false" outlineLevel="0" collapsed="false">
      <c r="B32" s="1" t="s">
        <v>291</v>
      </c>
      <c r="F32" s="57" t="s">
        <v>290</v>
      </c>
      <c r="G32" s="58" t="n">
        <v>1</v>
      </c>
      <c r="H32" s="59" t="n">
        <f aca="false">G32*8/$D$28</f>
        <v>0.2</v>
      </c>
      <c r="I32" s="30" t="n">
        <v>22.66</v>
      </c>
      <c r="J32" s="30" t="n">
        <f aca="false">H32*I32</f>
        <v>4.532</v>
      </c>
      <c r="K32" s="1" t="n">
        <v>47</v>
      </c>
    </row>
    <row r="33" customFormat="false" ht="15" hidden="false" customHeight="false" outlineLevel="0" collapsed="false">
      <c r="B33" s="1" t="s">
        <v>292</v>
      </c>
      <c r="F33" s="57" t="s">
        <v>290</v>
      </c>
      <c r="G33" s="58" t="n">
        <v>3</v>
      </c>
      <c r="H33" s="59" t="n">
        <f aca="false">G33*8/$D$28</f>
        <v>0.6</v>
      </c>
      <c r="I33" s="30" t="n">
        <v>20.51</v>
      </c>
      <c r="J33" s="30" t="n">
        <f aca="false">H33*I33</f>
        <v>12.306</v>
      </c>
      <c r="K33" s="1" t="n">
        <v>47</v>
      </c>
    </row>
    <row r="34" customFormat="false" ht="15" hidden="false" customHeight="false" outlineLevel="0" collapsed="false">
      <c r="J34" s="55" t="n">
        <f aca="false">ROUND(SUM(J31:J33),2)</f>
        <v>22.63</v>
      </c>
    </row>
    <row r="35" customFormat="false" ht="15" hidden="false" customHeight="false" outlineLevel="0" collapsed="false">
      <c r="B35" s="56" t="s">
        <v>293</v>
      </c>
    </row>
    <row r="36" customFormat="false" ht="15" hidden="false" customHeight="false" outlineLevel="0" collapsed="false">
      <c r="B36" s="1" t="s">
        <v>294</v>
      </c>
      <c r="F36" s="57" t="s">
        <v>295</v>
      </c>
      <c r="G36" s="58"/>
      <c r="H36" s="59" t="n">
        <v>1.25</v>
      </c>
      <c r="I36" s="30" t="n">
        <v>2.64</v>
      </c>
      <c r="J36" s="30" t="n">
        <f aca="false">H36*I36</f>
        <v>3.3</v>
      </c>
      <c r="K36" s="1" t="n">
        <v>2</v>
      </c>
    </row>
    <row r="37" customFormat="false" ht="15" hidden="false" customHeight="false" outlineLevel="0" collapsed="false">
      <c r="B37" s="1" t="s">
        <v>296</v>
      </c>
      <c r="F37" s="57" t="s">
        <v>297</v>
      </c>
      <c r="G37" s="58"/>
      <c r="H37" s="59" t="n">
        <v>1.8</v>
      </c>
      <c r="I37" s="1" t="n">
        <v>14.15</v>
      </c>
      <c r="J37" s="30" t="n">
        <f aca="false">H37*I37</f>
        <v>25.47</v>
      </c>
      <c r="K37" s="1" t="n">
        <v>56</v>
      </c>
    </row>
    <row r="38" customFormat="false" ht="15" hidden="false" customHeight="false" outlineLevel="0" collapsed="false">
      <c r="B38" s="1" t="s">
        <v>298</v>
      </c>
      <c r="F38" s="57" t="s">
        <v>148</v>
      </c>
      <c r="G38" s="58"/>
      <c r="H38" s="59" t="n">
        <v>0.2</v>
      </c>
      <c r="I38" s="1" t="n">
        <v>55</v>
      </c>
      <c r="J38" s="30" t="n">
        <f aca="false">H38*I38</f>
        <v>11</v>
      </c>
      <c r="K38" s="1" t="n">
        <v>26</v>
      </c>
    </row>
    <row r="39" customFormat="false" ht="15" hidden="false" customHeight="false" outlineLevel="0" collapsed="false">
      <c r="B39" s="1" t="s">
        <v>299</v>
      </c>
      <c r="F39" s="57" t="s">
        <v>295</v>
      </c>
      <c r="H39" s="59" t="n">
        <v>0.06</v>
      </c>
      <c r="I39" s="1" t="n">
        <v>10.93</v>
      </c>
      <c r="J39" s="30" t="n">
        <f aca="false">H39*I39</f>
        <v>0.6558</v>
      </c>
      <c r="K39" s="1" t="n">
        <v>2</v>
      </c>
    </row>
    <row r="40" customFormat="false" ht="15" hidden="false" customHeight="false" outlineLevel="0" collapsed="false">
      <c r="B40" s="1" t="s">
        <v>300</v>
      </c>
      <c r="F40" s="57" t="s">
        <v>295</v>
      </c>
      <c r="H40" s="59" t="n">
        <v>0.071</v>
      </c>
      <c r="I40" s="30" t="n">
        <v>5.51</v>
      </c>
      <c r="J40" s="30" t="n">
        <f aca="false">H40*I40</f>
        <v>0.39121</v>
      </c>
      <c r="K40" s="1" t="n">
        <v>2</v>
      </c>
    </row>
    <row r="41" customFormat="false" ht="15" hidden="false" customHeight="false" outlineLevel="0" collapsed="false">
      <c r="B41" s="1" t="s">
        <v>311</v>
      </c>
      <c r="F41" s="57" t="s">
        <v>202</v>
      </c>
      <c r="H41" s="59" t="n">
        <v>0.19</v>
      </c>
      <c r="I41" s="30" t="n">
        <v>70.92</v>
      </c>
      <c r="J41" s="30" t="n">
        <f aca="false">H41*I41</f>
        <v>13.4748</v>
      </c>
      <c r="K41" s="1" t="n">
        <v>38</v>
      </c>
    </row>
    <row r="42" customFormat="false" ht="15" hidden="false" customHeight="false" outlineLevel="0" collapsed="false">
      <c r="B42" s="1" t="s">
        <v>302</v>
      </c>
      <c r="F42" s="57" t="s">
        <v>297</v>
      </c>
      <c r="H42" s="59" t="n">
        <v>0.53</v>
      </c>
      <c r="I42" s="1" t="n">
        <v>27.88</v>
      </c>
      <c r="J42" s="30" t="n">
        <f aca="false">H42*I42</f>
        <v>14.7764</v>
      </c>
      <c r="K42" s="1" t="n">
        <v>44</v>
      </c>
    </row>
    <row r="43" customFormat="false" ht="15" hidden="false" customHeight="false" outlineLevel="0" collapsed="false">
      <c r="B43" s="1" t="s">
        <v>303</v>
      </c>
      <c r="F43" s="57" t="s">
        <v>304</v>
      </c>
      <c r="H43" s="59" t="n">
        <v>0.2374</v>
      </c>
      <c r="I43" s="1" t="n">
        <v>32.2</v>
      </c>
      <c r="J43" s="30" t="n">
        <f aca="false">H43*I43</f>
        <v>7.64428</v>
      </c>
      <c r="K43" s="1" t="n">
        <v>30</v>
      </c>
    </row>
    <row r="44" customFormat="false" ht="15" hidden="false" customHeight="false" outlineLevel="0" collapsed="false">
      <c r="B44" s="1" t="s">
        <v>305</v>
      </c>
      <c r="F44" s="57" t="s">
        <v>306</v>
      </c>
      <c r="H44" s="59" t="n">
        <v>1.092</v>
      </c>
      <c r="I44" s="30" t="n">
        <v>24.52</v>
      </c>
      <c r="J44" s="30" t="n">
        <f aca="false">H44*I44</f>
        <v>26.77584</v>
      </c>
      <c r="K44" s="1" t="n">
        <v>21</v>
      </c>
    </row>
    <row r="45" customFormat="false" ht="15" hidden="false" customHeight="false" outlineLevel="0" collapsed="false">
      <c r="B45" s="1" t="s">
        <v>307</v>
      </c>
      <c r="F45" s="57" t="s">
        <v>304</v>
      </c>
      <c r="H45" s="59" t="n">
        <v>3</v>
      </c>
      <c r="I45" s="30" t="n">
        <v>5.8</v>
      </c>
      <c r="J45" s="30" t="n">
        <f aca="false">H45*I45</f>
        <v>17.4</v>
      </c>
      <c r="K45" s="1" t="n">
        <v>43</v>
      </c>
    </row>
    <row r="46" customFormat="false" ht="15" hidden="false" customHeight="false" outlineLevel="0" collapsed="false">
      <c r="F46" s="57"/>
      <c r="H46" s="59"/>
      <c r="I46" s="30"/>
      <c r="J46" s="55" t="n">
        <f aca="false">ROUND(SUM(J36:J45),2)</f>
        <v>120.89</v>
      </c>
    </row>
    <row r="47" customFormat="false" ht="15" hidden="false" customHeight="false" outlineLevel="0" collapsed="false">
      <c r="B47" s="56" t="s">
        <v>308</v>
      </c>
    </row>
    <row r="48" customFormat="false" ht="15" hidden="false" customHeight="false" outlineLevel="0" collapsed="false">
      <c r="B48" s="1" t="s">
        <v>309</v>
      </c>
      <c r="F48" s="57" t="s">
        <v>310</v>
      </c>
      <c r="H48" s="59" t="n">
        <v>5</v>
      </c>
      <c r="I48" s="30" t="n">
        <f aca="false">J34</f>
        <v>22.63</v>
      </c>
      <c r="J48" s="30" t="n">
        <f aca="false">H48%*I48</f>
        <v>1.1315</v>
      </c>
      <c r="K48" s="1" t="n">
        <v>37</v>
      </c>
    </row>
    <row r="49" customFormat="false" ht="15" hidden="false" customHeight="false" outlineLevel="0" collapsed="false">
      <c r="A49" s="62"/>
      <c r="B49" s="62"/>
      <c r="C49" s="62"/>
      <c r="D49" s="62"/>
      <c r="E49" s="62"/>
      <c r="F49" s="62"/>
      <c r="G49" s="62"/>
      <c r="H49" s="62"/>
      <c r="I49" s="62"/>
      <c r="J49" s="63" t="n">
        <f aca="false">ROUND(SUM(J48),2)</f>
        <v>1.13</v>
      </c>
    </row>
    <row r="51" customFormat="false" ht="15" hidden="false" customHeight="false" outlineLevel="0" collapsed="false">
      <c r="A51" s="14" t="s">
        <v>276</v>
      </c>
      <c r="B51" s="14" t="str">
        <f aca="false">PROVISIONALES!A8</f>
        <v>1.1.1.3</v>
      </c>
      <c r="C51" s="14" t="s">
        <v>136</v>
      </c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4" t="s">
        <v>277</v>
      </c>
      <c r="B52" s="14" t="s">
        <v>278</v>
      </c>
      <c r="C52" s="38" t="s">
        <v>279</v>
      </c>
      <c r="D52" s="54" t="n">
        <v>35</v>
      </c>
      <c r="E52" s="38" t="s">
        <v>280</v>
      </c>
      <c r="F52" s="54" t="n">
        <f aca="false">D52</f>
        <v>35</v>
      </c>
      <c r="G52" s="14" t="s">
        <v>281</v>
      </c>
      <c r="I52" s="38" t="s">
        <v>148</v>
      </c>
      <c r="J52" s="55" t="n">
        <f aca="false">J58++J70+J73</f>
        <v>148.04</v>
      </c>
    </row>
    <row r="53" customFormat="false" ht="15" hidden="false" customHeight="false" outlineLevel="0" collapsed="false">
      <c r="A53" s="14" t="s">
        <v>282</v>
      </c>
      <c r="B53" s="14" t="s">
        <v>283</v>
      </c>
      <c r="F53" s="38" t="s">
        <v>121</v>
      </c>
      <c r="G53" s="38" t="s">
        <v>284</v>
      </c>
      <c r="H53" s="38" t="s">
        <v>285</v>
      </c>
      <c r="I53" s="38" t="s">
        <v>286</v>
      </c>
      <c r="J53" s="38" t="s">
        <v>287</v>
      </c>
    </row>
    <row r="54" customFormat="false" ht="15" hidden="false" customHeight="false" outlineLevel="0" collapsed="false">
      <c r="B54" s="56" t="s">
        <v>288</v>
      </c>
    </row>
    <row r="55" customFormat="false" ht="15" hidden="false" customHeight="false" outlineLevel="0" collapsed="false">
      <c r="B55" s="1" t="s">
        <v>289</v>
      </c>
      <c r="F55" s="57" t="s">
        <v>290</v>
      </c>
      <c r="G55" s="58" t="n">
        <v>1</v>
      </c>
      <c r="H55" s="59" t="n">
        <f aca="false">G55*8/$D$52</f>
        <v>0.228571428571429</v>
      </c>
      <c r="I55" s="30" t="n">
        <v>28.94</v>
      </c>
      <c r="J55" s="30" t="n">
        <f aca="false">H55*I55</f>
        <v>6.61485714285714</v>
      </c>
      <c r="K55" s="1" t="n">
        <v>47</v>
      </c>
    </row>
    <row r="56" customFormat="false" ht="15" hidden="false" customHeight="false" outlineLevel="0" collapsed="false">
      <c r="B56" s="1" t="s">
        <v>291</v>
      </c>
      <c r="F56" s="57" t="s">
        <v>290</v>
      </c>
      <c r="G56" s="58" t="n">
        <v>1</v>
      </c>
      <c r="H56" s="59" t="n">
        <f aca="false">G56*8/$D$52</f>
        <v>0.228571428571429</v>
      </c>
      <c r="I56" s="30" t="n">
        <v>22.66</v>
      </c>
      <c r="J56" s="30" t="n">
        <f aca="false">H56*I56</f>
        <v>5.17942857142857</v>
      </c>
      <c r="K56" s="1" t="n">
        <v>47</v>
      </c>
    </row>
    <row r="57" customFormat="false" ht="15" hidden="false" customHeight="false" outlineLevel="0" collapsed="false">
      <c r="B57" s="1" t="s">
        <v>292</v>
      </c>
      <c r="F57" s="57" t="s">
        <v>290</v>
      </c>
      <c r="G57" s="58" t="n">
        <v>3</v>
      </c>
      <c r="H57" s="59" t="n">
        <f aca="false">G57*8/$D$52</f>
        <v>0.685714285714286</v>
      </c>
      <c r="I57" s="30" t="n">
        <v>20.51</v>
      </c>
      <c r="J57" s="30" t="n">
        <f aca="false">H57*I57</f>
        <v>14.064</v>
      </c>
      <c r="K57" s="1" t="n">
        <v>47</v>
      </c>
    </row>
    <row r="58" customFormat="false" ht="15" hidden="false" customHeight="false" outlineLevel="0" collapsed="false">
      <c r="J58" s="55" t="n">
        <f aca="false">ROUND(SUM(J55:J57),2)</f>
        <v>25.86</v>
      </c>
    </row>
    <row r="59" customFormat="false" ht="15" hidden="false" customHeight="false" outlineLevel="0" collapsed="false">
      <c r="B59" s="56" t="s">
        <v>293</v>
      </c>
    </row>
    <row r="60" customFormat="false" ht="15" hidden="false" customHeight="false" outlineLevel="0" collapsed="false">
      <c r="B60" s="1" t="s">
        <v>294</v>
      </c>
      <c r="F60" s="57" t="s">
        <v>295</v>
      </c>
      <c r="G60" s="58"/>
      <c r="H60" s="59" t="n">
        <v>1.25</v>
      </c>
      <c r="I60" s="30" t="n">
        <v>2.64</v>
      </c>
      <c r="J60" s="30" t="n">
        <f aca="false">H60*I60</f>
        <v>3.3</v>
      </c>
      <c r="K60" s="1" t="n">
        <v>2</v>
      </c>
    </row>
    <row r="61" customFormat="false" ht="15" hidden="false" customHeight="false" outlineLevel="0" collapsed="false">
      <c r="B61" s="1" t="s">
        <v>296</v>
      </c>
      <c r="F61" s="57" t="s">
        <v>297</v>
      </c>
      <c r="G61" s="58"/>
      <c r="H61" s="59" t="n">
        <v>1.8</v>
      </c>
      <c r="I61" s="1" t="n">
        <v>14.15</v>
      </c>
      <c r="J61" s="30" t="n">
        <f aca="false">H61*I61</f>
        <v>25.47</v>
      </c>
      <c r="K61" s="1" t="n">
        <v>56</v>
      </c>
    </row>
    <row r="62" customFormat="false" ht="15" hidden="false" customHeight="false" outlineLevel="0" collapsed="false">
      <c r="B62" s="1" t="s">
        <v>298</v>
      </c>
      <c r="F62" s="57" t="s">
        <v>148</v>
      </c>
      <c r="G62" s="58"/>
      <c r="H62" s="59" t="n">
        <v>0.2</v>
      </c>
      <c r="I62" s="1" t="n">
        <v>55</v>
      </c>
      <c r="J62" s="30" t="n">
        <f aca="false">H62*I62</f>
        <v>11</v>
      </c>
      <c r="K62" s="1" t="n">
        <v>26</v>
      </c>
    </row>
    <row r="63" customFormat="false" ht="15" hidden="false" customHeight="false" outlineLevel="0" collapsed="false">
      <c r="B63" s="1" t="s">
        <v>299</v>
      </c>
      <c r="F63" s="57" t="s">
        <v>295</v>
      </c>
      <c r="H63" s="59" t="n">
        <v>0.06</v>
      </c>
      <c r="I63" s="1" t="n">
        <v>10.93</v>
      </c>
      <c r="J63" s="30" t="n">
        <f aca="false">H63*I63</f>
        <v>0.6558</v>
      </c>
      <c r="K63" s="1" t="n">
        <v>2</v>
      </c>
    </row>
    <row r="64" customFormat="false" ht="15" hidden="false" customHeight="false" outlineLevel="0" collapsed="false">
      <c r="B64" s="1" t="s">
        <v>300</v>
      </c>
      <c r="F64" s="57" t="s">
        <v>295</v>
      </c>
      <c r="H64" s="59" t="n">
        <v>0.071</v>
      </c>
      <c r="I64" s="30" t="n">
        <v>5.51</v>
      </c>
      <c r="J64" s="30" t="n">
        <f aca="false">H64*I64</f>
        <v>0.39121</v>
      </c>
      <c r="K64" s="1" t="n">
        <v>2</v>
      </c>
    </row>
    <row r="65" customFormat="false" ht="15" hidden="false" customHeight="false" outlineLevel="0" collapsed="false">
      <c r="B65" s="1" t="s">
        <v>311</v>
      </c>
      <c r="F65" s="57" t="s">
        <v>202</v>
      </c>
      <c r="H65" s="59" t="n">
        <v>0.19</v>
      </c>
      <c r="I65" s="30" t="n">
        <v>70.92</v>
      </c>
      <c r="J65" s="30" t="n">
        <f aca="false">H65*I65</f>
        <v>13.4748</v>
      </c>
      <c r="K65" s="1" t="n">
        <v>38</v>
      </c>
    </row>
    <row r="66" customFormat="false" ht="15" hidden="false" customHeight="false" outlineLevel="0" collapsed="false">
      <c r="B66" s="1" t="s">
        <v>302</v>
      </c>
      <c r="F66" s="57" t="s">
        <v>297</v>
      </c>
      <c r="H66" s="59" t="n">
        <v>0.53</v>
      </c>
      <c r="I66" s="1" t="n">
        <v>27.88</v>
      </c>
      <c r="J66" s="30" t="n">
        <f aca="false">H66*I66</f>
        <v>14.7764</v>
      </c>
      <c r="K66" s="1" t="n">
        <v>44</v>
      </c>
    </row>
    <row r="67" customFormat="false" ht="15" hidden="false" customHeight="false" outlineLevel="0" collapsed="false">
      <c r="B67" s="1" t="s">
        <v>303</v>
      </c>
      <c r="F67" s="57" t="s">
        <v>304</v>
      </c>
      <c r="H67" s="59" t="n">
        <v>0.2374</v>
      </c>
      <c r="I67" s="1" t="n">
        <v>32.2</v>
      </c>
      <c r="J67" s="30" t="n">
        <f aca="false">H67*I67</f>
        <v>7.64428</v>
      </c>
      <c r="K67" s="1" t="n">
        <v>30</v>
      </c>
    </row>
    <row r="68" customFormat="false" ht="15" hidden="false" customHeight="false" outlineLevel="0" collapsed="false">
      <c r="B68" s="1" t="s">
        <v>305</v>
      </c>
      <c r="F68" s="57" t="s">
        <v>306</v>
      </c>
      <c r="H68" s="59" t="n">
        <v>1.092</v>
      </c>
      <c r="I68" s="30" t="n">
        <v>24.52</v>
      </c>
      <c r="J68" s="30" t="n">
        <f aca="false">H68*I68</f>
        <v>26.77584</v>
      </c>
      <c r="K68" s="1" t="n">
        <v>21</v>
      </c>
    </row>
    <row r="69" customFormat="false" ht="15" hidden="false" customHeight="false" outlineLevel="0" collapsed="false">
      <c r="B69" s="1" t="s">
        <v>307</v>
      </c>
      <c r="F69" s="57" t="s">
        <v>304</v>
      </c>
      <c r="H69" s="59" t="n">
        <v>3</v>
      </c>
      <c r="I69" s="30" t="n">
        <v>5.8</v>
      </c>
      <c r="J69" s="30" t="n">
        <f aca="false">H69*I69</f>
        <v>17.4</v>
      </c>
      <c r="K69" s="1" t="n">
        <v>43</v>
      </c>
    </row>
    <row r="70" customFormat="false" ht="15" hidden="false" customHeight="false" outlineLevel="0" collapsed="false">
      <c r="F70" s="57"/>
      <c r="H70" s="59"/>
      <c r="I70" s="30"/>
      <c r="J70" s="55" t="n">
        <f aca="false">ROUND(SUM(J60:J69),2)</f>
        <v>120.89</v>
      </c>
    </row>
    <row r="71" customFormat="false" ht="15" hidden="false" customHeight="false" outlineLevel="0" collapsed="false">
      <c r="B71" s="56" t="s">
        <v>308</v>
      </c>
    </row>
    <row r="72" customFormat="false" ht="15" hidden="false" customHeight="false" outlineLevel="0" collapsed="false">
      <c r="B72" s="1" t="s">
        <v>309</v>
      </c>
      <c r="F72" s="57" t="s">
        <v>310</v>
      </c>
      <c r="H72" s="59" t="n">
        <v>5</v>
      </c>
      <c r="I72" s="30" t="n">
        <f aca="false">J58</f>
        <v>25.86</v>
      </c>
      <c r="J72" s="30" t="n">
        <f aca="false">H72%*I72</f>
        <v>1.293</v>
      </c>
      <c r="K72" s="1" t="n">
        <v>37</v>
      </c>
    </row>
    <row r="73" customFormat="false" ht="15" hidden="false" customHeight="false" outlineLevel="0" collapsed="false">
      <c r="A73" s="62"/>
      <c r="B73" s="62"/>
      <c r="C73" s="62"/>
      <c r="D73" s="62"/>
      <c r="E73" s="62"/>
      <c r="F73" s="62"/>
      <c r="G73" s="62"/>
      <c r="H73" s="62"/>
      <c r="I73" s="62"/>
      <c r="J73" s="63" t="n">
        <f aca="false">ROUND(SUM(J72),2)</f>
        <v>1.29</v>
      </c>
    </row>
    <row r="74" customFormat="false" ht="15" hidden="false" customHeight="false" outlineLevel="0" collapsed="false">
      <c r="J74" s="55"/>
    </row>
    <row r="75" customFormat="false" ht="15" hidden="false" customHeight="false" outlineLevel="0" collapsed="false">
      <c r="A75" s="14" t="s">
        <v>276</v>
      </c>
      <c r="B75" s="14" t="str">
        <f aca="false">PROVISIONALES!A9</f>
        <v>1.1.1.4</v>
      </c>
      <c r="C75" s="14" t="s">
        <v>138</v>
      </c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4" t="s">
        <v>277</v>
      </c>
      <c r="B76" s="14" t="s">
        <v>278</v>
      </c>
      <c r="C76" s="38" t="s">
        <v>279</v>
      </c>
      <c r="D76" s="54" t="n">
        <v>30</v>
      </c>
      <c r="E76" s="38" t="s">
        <v>280</v>
      </c>
      <c r="F76" s="54" t="n">
        <f aca="false">D76</f>
        <v>30</v>
      </c>
      <c r="G76" s="14" t="s">
        <v>281</v>
      </c>
      <c r="I76" s="38" t="s">
        <v>148</v>
      </c>
      <c r="J76" s="55" t="n">
        <f aca="false">J82+J94+J97</f>
        <v>152.57</v>
      </c>
    </row>
    <row r="77" customFormat="false" ht="15" hidden="false" customHeight="false" outlineLevel="0" collapsed="false">
      <c r="A77" s="14" t="s">
        <v>282</v>
      </c>
      <c r="B77" s="14" t="s">
        <v>283</v>
      </c>
      <c r="F77" s="38" t="s">
        <v>121</v>
      </c>
      <c r="G77" s="38" t="s">
        <v>284</v>
      </c>
      <c r="H77" s="38" t="s">
        <v>285</v>
      </c>
      <c r="I77" s="38" t="s">
        <v>286</v>
      </c>
      <c r="J77" s="38" t="s">
        <v>287</v>
      </c>
    </row>
    <row r="78" customFormat="false" ht="15" hidden="false" customHeight="false" outlineLevel="0" collapsed="false">
      <c r="B78" s="56" t="s">
        <v>288</v>
      </c>
    </row>
    <row r="79" customFormat="false" ht="15" hidden="false" customHeight="false" outlineLevel="0" collapsed="false">
      <c r="B79" s="1" t="s">
        <v>289</v>
      </c>
      <c r="F79" s="57" t="s">
        <v>290</v>
      </c>
      <c r="G79" s="58" t="n">
        <v>1</v>
      </c>
      <c r="H79" s="59" t="n">
        <f aca="false">G79*8/$D$76</f>
        <v>0.266666666666667</v>
      </c>
      <c r="I79" s="30" t="n">
        <v>28.94</v>
      </c>
      <c r="J79" s="30" t="n">
        <f aca="false">H79*I79</f>
        <v>7.71733333333333</v>
      </c>
      <c r="K79" s="1" t="n">
        <v>47</v>
      </c>
    </row>
    <row r="80" customFormat="false" ht="15" hidden="false" customHeight="false" outlineLevel="0" collapsed="false">
      <c r="B80" s="1" t="s">
        <v>291</v>
      </c>
      <c r="F80" s="57" t="s">
        <v>290</v>
      </c>
      <c r="G80" s="58" t="n">
        <v>1</v>
      </c>
      <c r="H80" s="59" t="n">
        <f aca="false">G80*8/$D$76</f>
        <v>0.266666666666667</v>
      </c>
      <c r="I80" s="30" t="n">
        <v>22.66</v>
      </c>
      <c r="J80" s="30" t="n">
        <f aca="false">H80*I80</f>
        <v>6.04266666666667</v>
      </c>
      <c r="K80" s="1" t="n">
        <v>47</v>
      </c>
    </row>
    <row r="81" customFormat="false" ht="15" hidden="false" customHeight="false" outlineLevel="0" collapsed="false">
      <c r="B81" s="1" t="s">
        <v>292</v>
      </c>
      <c r="F81" s="57" t="s">
        <v>290</v>
      </c>
      <c r="G81" s="58" t="n">
        <v>3</v>
      </c>
      <c r="H81" s="59" t="n">
        <f aca="false">G81*8/$D$76</f>
        <v>0.8</v>
      </c>
      <c r="I81" s="30" t="n">
        <v>20.51</v>
      </c>
      <c r="J81" s="30" t="n">
        <f aca="false">H81*I81</f>
        <v>16.408</v>
      </c>
      <c r="K81" s="1" t="n">
        <v>47</v>
      </c>
    </row>
    <row r="82" customFormat="false" ht="15" hidden="false" customHeight="false" outlineLevel="0" collapsed="false">
      <c r="J82" s="55" t="n">
        <f aca="false">ROUND(SUM(J79:J81),2)</f>
        <v>30.17</v>
      </c>
    </row>
    <row r="83" customFormat="false" ht="15" hidden="false" customHeight="false" outlineLevel="0" collapsed="false">
      <c r="B83" s="56" t="s">
        <v>293</v>
      </c>
    </row>
    <row r="84" customFormat="false" ht="15" hidden="false" customHeight="false" outlineLevel="0" collapsed="false">
      <c r="B84" s="1" t="s">
        <v>294</v>
      </c>
      <c r="F84" s="57" t="s">
        <v>295</v>
      </c>
      <c r="G84" s="58"/>
      <c r="H84" s="59" t="n">
        <v>1.25</v>
      </c>
      <c r="I84" s="30" t="n">
        <v>2.64</v>
      </c>
      <c r="J84" s="30" t="n">
        <f aca="false">H84*I84</f>
        <v>3.3</v>
      </c>
      <c r="K84" s="1" t="n">
        <v>2</v>
      </c>
    </row>
    <row r="85" customFormat="false" ht="15" hidden="false" customHeight="false" outlineLevel="0" collapsed="false">
      <c r="B85" s="1" t="s">
        <v>296</v>
      </c>
      <c r="F85" s="57" t="s">
        <v>297</v>
      </c>
      <c r="G85" s="58"/>
      <c r="H85" s="59" t="n">
        <v>1.8</v>
      </c>
      <c r="I85" s="1" t="n">
        <v>14.15</v>
      </c>
      <c r="J85" s="30" t="n">
        <f aca="false">H85*I85</f>
        <v>25.47</v>
      </c>
      <c r="K85" s="1" t="n">
        <v>56</v>
      </c>
    </row>
    <row r="86" customFormat="false" ht="15" hidden="false" customHeight="false" outlineLevel="0" collapsed="false">
      <c r="B86" s="1" t="s">
        <v>298</v>
      </c>
      <c r="F86" s="57" t="s">
        <v>148</v>
      </c>
      <c r="G86" s="58"/>
      <c r="H86" s="59" t="n">
        <v>0.2</v>
      </c>
      <c r="I86" s="1" t="n">
        <v>55</v>
      </c>
      <c r="J86" s="30" t="n">
        <f aca="false">H86*I86</f>
        <v>11</v>
      </c>
      <c r="K86" s="1" t="n">
        <v>26</v>
      </c>
    </row>
    <row r="87" customFormat="false" ht="15" hidden="false" customHeight="false" outlineLevel="0" collapsed="false">
      <c r="B87" s="1" t="s">
        <v>299</v>
      </c>
      <c r="F87" s="57" t="s">
        <v>295</v>
      </c>
      <c r="H87" s="59" t="n">
        <v>0.06</v>
      </c>
      <c r="I87" s="1" t="n">
        <v>10.93</v>
      </c>
      <c r="J87" s="30" t="n">
        <f aca="false">H87*I87</f>
        <v>0.6558</v>
      </c>
      <c r="K87" s="1" t="n">
        <v>2</v>
      </c>
    </row>
    <row r="88" customFormat="false" ht="15" hidden="false" customHeight="false" outlineLevel="0" collapsed="false">
      <c r="B88" s="1" t="s">
        <v>300</v>
      </c>
      <c r="F88" s="57" t="s">
        <v>295</v>
      </c>
      <c r="H88" s="59" t="n">
        <v>0.071</v>
      </c>
      <c r="I88" s="30" t="n">
        <v>5.51</v>
      </c>
      <c r="J88" s="30" t="n">
        <f aca="false">H88*I88</f>
        <v>0.39121</v>
      </c>
      <c r="K88" s="1" t="n">
        <v>2</v>
      </c>
    </row>
    <row r="89" customFormat="false" ht="15" hidden="false" customHeight="false" outlineLevel="0" collapsed="false">
      <c r="B89" s="1" t="s">
        <v>311</v>
      </c>
      <c r="F89" s="57" t="s">
        <v>202</v>
      </c>
      <c r="H89" s="59" t="n">
        <v>0.19</v>
      </c>
      <c r="I89" s="30" t="n">
        <v>70.92</v>
      </c>
      <c r="J89" s="30" t="n">
        <f aca="false">H89*I89</f>
        <v>13.4748</v>
      </c>
      <c r="K89" s="1" t="n">
        <v>38</v>
      </c>
    </row>
    <row r="90" customFormat="false" ht="15" hidden="false" customHeight="false" outlineLevel="0" collapsed="false">
      <c r="B90" s="1" t="s">
        <v>302</v>
      </c>
      <c r="F90" s="57" t="s">
        <v>297</v>
      </c>
      <c r="H90" s="59" t="n">
        <v>0.53</v>
      </c>
      <c r="I90" s="1" t="n">
        <v>27.88</v>
      </c>
      <c r="J90" s="30" t="n">
        <f aca="false">H90*I90</f>
        <v>14.7764</v>
      </c>
      <c r="K90" s="1" t="n">
        <v>44</v>
      </c>
    </row>
    <row r="91" customFormat="false" ht="15" hidden="false" customHeight="false" outlineLevel="0" collapsed="false">
      <c r="B91" s="1" t="s">
        <v>303</v>
      </c>
      <c r="F91" s="57" t="s">
        <v>304</v>
      </c>
      <c r="H91" s="59" t="n">
        <v>0.2374</v>
      </c>
      <c r="I91" s="1" t="n">
        <v>32.2</v>
      </c>
      <c r="J91" s="30" t="n">
        <f aca="false">H91*I91</f>
        <v>7.64428</v>
      </c>
      <c r="K91" s="1" t="n">
        <v>30</v>
      </c>
    </row>
    <row r="92" customFormat="false" ht="15" hidden="false" customHeight="false" outlineLevel="0" collapsed="false">
      <c r="B92" s="1" t="s">
        <v>305</v>
      </c>
      <c r="F92" s="57" t="s">
        <v>306</v>
      </c>
      <c r="H92" s="59" t="n">
        <v>1.092</v>
      </c>
      <c r="I92" s="30" t="n">
        <v>24.52</v>
      </c>
      <c r="J92" s="30" t="n">
        <f aca="false">H92*I92</f>
        <v>26.77584</v>
      </c>
      <c r="K92" s="1" t="n">
        <v>21</v>
      </c>
    </row>
    <row r="93" customFormat="false" ht="15" hidden="false" customHeight="false" outlineLevel="0" collapsed="false">
      <c r="B93" s="1" t="s">
        <v>307</v>
      </c>
      <c r="F93" s="57" t="s">
        <v>304</v>
      </c>
      <c r="H93" s="59" t="n">
        <v>3</v>
      </c>
      <c r="I93" s="30" t="n">
        <v>5.8</v>
      </c>
      <c r="J93" s="30" t="n">
        <f aca="false">H93*I93</f>
        <v>17.4</v>
      </c>
      <c r="K93" s="1" t="n">
        <v>43</v>
      </c>
    </row>
    <row r="94" customFormat="false" ht="15" hidden="false" customHeight="false" outlineLevel="0" collapsed="false">
      <c r="F94" s="57"/>
      <c r="H94" s="59"/>
      <c r="I94" s="30"/>
      <c r="J94" s="55" t="n">
        <f aca="false">ROUND(SUM(J84:J93),2)</f>
        <v>120.89</v>
      </c>
    </row>
    <row r="95" customFormat="false" ht="15" hidden="false" customHeight="false" outlineLevel="0" collapsed="false">
      <c r="B95" s="56" t="s">
        <v>308</v>
      </c>
    </row>
    <row r="96" customFormat="false" ht="15" hidden="false" customHeight="false" outlineLevel="0" collapsed="false">
      <c r="B96" s="1" t="s">
        <v>309</v>
      </c>
      <c r="F96" s="57" t="s">
        <v>310</v>
      </c>
      <c r="H96" s="59" t="n">
        <v>5</v>
      </c>
      <c r="I96" s="30" t="n">
        <f aca="false">J82</f>
        <v>30.17</v>
      </c>
      <c r="J96" s="30" t="n">
        <f aca="false">H96%*I96</f>
        <v>1.5085</v>
      </c>
      <c r="K96" s="1" t="n">
        <v>37</v>
      </c>
    </row>
    <row r="97" customFormat="false" ht="15" hidden="false" customHeight="false" outlineLevel="0" collapsed="false">
      <c r="A97" s="62"/>
      <c r="B97" s="62"/>
      <c r="C97" s="62"/>
      <c r="D97" s="62"/>
      <c r="E97" s="62"/>
      <c r="F97" s="62"/>
      <c r="G97" s="62"/>
      <c r="H97" s="62"/>
      <c r="I97" s="62"/>
      <c r="J97" s="63" t="n">
        <f aca="false">ROUND(SUM(J96),2)</f>
        <v>1.51</v>
      </c>
    </row>
    <row r="99" customFormat="false" ht="15" hidden="false" customHeight="false" outlineLevel="0" collapsed="false">
      <c r="A99" s="14" t="s">
        <v>276</v>
      </c>
      <c r="B99" s="14" t="str">
        <f aca="false">PROVISIONALES!A10</f>
        <v>1.1.1.5</v>
      </c>
      <c r="C99" s="14" t="s">
        <v>140</v>
      </c>
      <c r="D99" s="14"/>
      <c r="E99" s="14"/>
      <c r="F99" s="14"/>
      <c r="G99" s="14"/>
      <c r="H99" s="14"/>
      <c r="I99" s="14"/>
    </row>
    <row r="100" customFormat="false" ht="15" hidden="false" customHeight="false" outlineLevel="0" collapsed="false">
      <c r="A100" s="14" t="s">
        <v>277</v>
      </c>
      <c r="B100" s="14" t="s">
        <v>278</v>
      </c>
      <c r="C100" s="38" t="s">
        <v>279</v>
      </c>
      <c r="D100" s="54" t="n">
        <v>32</v>
      </c>
      <c r="E100" s="38" t="s">
        <v>280</v>
      </c>
      <c r="F100" s="54" t="n">
        <f aca="false">D100</f>
        <v>32</v>
      </c>
      <c r="G100" s="14" t="s">
        <v>281</v>
      </c>
      <c r="I100" s="38" t="s">
        <v>148</v>
      </c>
      <c r="J100" s="55" t="n">
        <f aca="false">J106++J118+J121</f>
        <v>206.19</v>
      </c>
    </row>
    <row r="101" customFormat="false" ht="15" hidden="false" customHeight="false" outlineLevel="0" collapsed="false">
      <c r="A101" s="14" t="s">
        <v>282</v>
      </c>
      <c r="B101" s="14" t="s">
        <v>283</v>
      </c>
      <c r="F101" s="38" t="s">
        <v>121</v>
      </c>
      <c r="G101" s="38" t="s">
        <v>284</v>
      </c>
      <c r="H101" s="38" t="s">
        <v>285</v>
      </c>
      <c r="I101" s="38" t="s">
        <v>286</v>
      </c>
      <c r="J101" s="38" t="s">
        <v>287</v>
      </c>
    </row>
    <row r="102" customFormat="false" ht="15" hidden="false" customHeight="false" outlineLevel="0" collapsed="false">
      <c r="B102" s="56" t="s">
        <v>288</v>
      </c>
    </row>
    <row r="103" customFormat="false" ht="15" hidden="false" customHeight="false" outlineLevel="0" collapsed="false">
      <c r="B103" s="1" t="s">
        <v>289</v>
      </c>
      <c r="F103" s="57" t="s">
        <v>290</v>
      </c>
      <c r="G103" s="58" t="n">
        <v>1</v>
      </c>
      <c r="H103" s="59" t="n">
        <f aca="false">G103*8/$D$100</f>
        <v>0.25</v>
      </c>
      <c r="I103" s="30" t="n">
        <v>28.94</v>
      </c>
      <c r="J103" s="30" t="n">
        <f aca="false">H103*I103</f>
        <v>7.235</v>
      </c>
      <c r="K103" s="1" t="n">
        <v>47</v>
      </c>
    </row>
    <row r="104" customFormat="false" ht="15" hidden="false" customHeight="false" outlineLevel="0" collapsed="false">
      <c r="B104" s="1" t="s">
        <v>291</v>
      </c>
      <c r="F104" s="57" t="s">
        <v>290</v>
      </c>
      <c r="G104" s="58" t="n">
        <v>1</v>
      </c>
      <c r="H104" s="59" t="n">
        <f aca="false">G104*8/$D$100</f>
        <v>0.25</v>
      </c>
      <c r="I104" s="30" t="n">
        <v>22.66</v>
      </c>
      <c r="J104" s="30" t="n">
        <f aca="false">H104*I104</f>
        <v>5.665</v>
      </c>
      <c r="K104" s="1" t="n">
        <v>47</v>
      </c>
    </row>
    <row r="105" customFormat="false" ht="15" hidden="false" customHeight="false" outlineLevel="0" collapsed="false">
      <c r="B105" s="1" t="s">
        <v>292</v>
      </c>
      <c r="F105" s="57" t="s">
        <v>290</v>
      </c>
      <c r="G105" s="58" t="n">
        <v>3</v>
      </c>
      <c r="H105" s="59" t="n">
        <f aca="false">G105*8/$D$100</f>
        <v>0.75</v>
      </c>
      <c r="I105" s="30" t="n">
        <v>20.51</v>
      </c>
      <c r="J105" s="30" t="n">
        <f aca="false">H105*I105</f>
        <v>15.3825</v>
      </c>
      <c r="K105" s="1" t="n">
        <v>47</v>
      </c>
    </row>
    <row r="106" customFormat="false" ht="15" hidden="false" customHeight="false" outlineLevel="0" collapsed="false">
      <c r="J106" s="55" t="n">
        <f aca="false">ROUND(SUM(J103:J105),2)</f>
        <v>28.28</v>
      </c>
    </row>
    <row r="107" customFormat="false" ht="15" hidden="false" customHeight="false" outlineLevel="0" collapsed="false">
      <c r="B107" s="56" t="s">
        <v>293</v>
      </c>
    </row>
    <row r="108" customFormat="false" ht="15" hidden="false" customHeight="false" outlineLevel="0" collapsed="false">
      <c r="B108" s="1" t="s">
        <v>294</v>
      </c>
      <c r="F108" s="57" t="s">
        <v>295</v>
      </c>
      <c r="G108" s="58"/>
      <c r="H108" s="59" t="n">
        <v>1.25</v>
      </c>
      <c r="I108" s="30" t="n">
        <v>2.64</v>
      </c>
      <c r="J108" s="30" t="n">
        <f aca="false">H108*I108</f>
        <v>3.3</v>
      </c>
      <c r="K108" s="1" t="n">
        <v>2</v>
      </c>
    </row>
    <row r="109" customFormat="false" ht="15" hidden="false" customHeight="false" outlineLevel="0" collapsed="false">
      <c r="B109" s="1" t="s">
        <v>296</v>
      </c>
      <c r="F109" s="57" t="s">
        <v>297</v>
      </c>
      <c r="G109" s="58"/>
      <c r="H109" s="59" t="n">
        <v>1.8</v>
      </c>
      <c r="I109" s="1" t="n">
        <v>14.15</v>
      </c>
      <c r="J109" s="30" t="n">
        <f aca="false">H109*I109</f>
        <v>25.47</v>
      </c>
      <c r="K109" s="1" t="n">
        <v>56</v>
      </c>
    </row>
    <row r="110" customFormat="false" ht="15" hidden="false" customHeight="false" outlineLevel="0" collapsed="false">
      <c r="B110" s="1" t="s">
        <v>298</v>
      </c>
      <c r="F110" s="57" t="s">
        <v>148</v>
      </c>
      <c r="G110" s="58"/>
      <c r="H110" s="59" t="n">
        <v>0.2</v>
      </c>
      <c r="I110" s="1" t="n">
        <v>55</v>
      </c>
      <c r="J110" s="30" t="n">
        <f aca="false">H110*I110</f>
        <v>11</v>
      </c>
      <c r="K110" s="1" t="n">
        <v>26</v>
      </c>
    </row>
    <row r="111" customFormat="false" ht="15" hidden="false" customHeight="false" outlineLevel="0" collapsed="false">
      <c r="B111" s="1" t="s">
        <v>299</v>
      </c>
      <c r="F111" s="57" t="s">
        <v>295</v>
      </c>
      <c r="H111" s="59" t="n">
        <v>0.12</v>
      </c>
      <c r="I111" s="1" t="n">
        <v>10.93</v>
      </c>
      <c r="J111" s="30" t="n">
        <f aca="false">H111*I111</f>
        <v>1.3116</v>
      </c>
      <c r="K111" s="1" t="n">
        <v>2</v>
      </c>
    </row>
    <row r="112" customFormat="false" ht="15" hidden="false" customHeight="false" outlineLevel="0" collapsed="false">
      <c r="B112" s="1" t="s">
        <v>300</v>
      </c>
      <c r="F112" s="57" t="s">
        <v>295</v>
      </c>
      <c r="H112" s="59" t="n">
        <v>0.05</v>
      </c>
      <c r="I112" s="30" t="n">
        <v>5.51</v>
      </c>
      <c r="J112" s="30" t="n">
        <f aca="false">H112*I112</f>
        <v>0.2755</v>
      </c>
      <c r="K112" s="1" t="n">
        <v>2</v>
      </c>
    </row>
    <row r="113" customFormat="false" ht="15" hidden="false" customHeight="false" outlineLevel="0" collapsed="false">
      <c r="B113" s="1" t="s">
        <v>312</v>
      </c>
      <c r="F113" s="57" t="s">
        <v>148</v>
      </c>
      <c r="H113" s="1" t="n">
        <v>0.04</v>
      </c>
      <c r="I113" s="1" t="n">
        <v>1567.8</v>
      </c>
      <c r="J113" s="30" t="n">
        <f aca="false">H113*I113</f>
        <v>62.712</v>
      </c>
      <c r="K113" s="1" t="n">
        <v>30</v>
      </c>
    </row>
    <row r="114" customFormat="false" ht="15" hidden="false" customHeight="false" outlineLevel="0" collapsed="false">
      <c r="B114" s="1" t="s">
        <v>311</v>
      </c>
      <c r="F114" s="57" t="s">
        <v>202</v>
      </c>
      <c r="H114" s="59" t="n">
        <v>0.19</v>
      </c>
      <c r="I114" s="30" t="n">
        <v>70.92</v>
      </c>
      <c r="J114" s="30" t="n">
        <f aca="false">H114*I114</f>
        <v>13.4748</v>
      </c>
      <c r="K114" s="1" t="n">
        <v>38</v>
      </c>
    </row>
    <row r="115" customFormat="false" ht="15" hidden="false" customHeight="false" outlineLevel="0" collapsed="false">
      <c r="B115" s="1" t="s">
        <v>302</v>
      </c>
      <c r="F115" s="57" t="s">
        <v>297</v>
      </c>
      <c r="H115" s="59" t="n">
        <v>0.53</v>
      </c>
      <c r="I115" s="1" t="n">
        <v>27.88</v>
      </c>
      <c r="J115" s="30" t="n">
        <f aca="false">H115*I115</f>
        <v>14.7764</v>
      </c>
      <c r="K115" s="1" t="n">
        <v>44</v>
      </c>
    </row>
    <row r="116" customFormat="false" ht="15" hidden="false" customHeight="false" outlineLevel="0" collapsed="false">
      <c r="B116" s="1" t="s">
        <v>305</v>
      </c>
      <c r="F116" s="57" t="s">
        <v>306</v>
      </c>
      <c r="H116" s="59" t="n">
        <v>1.092</v>
      </c>
      <c r="I116" s="30" t="n">
        <v>24.52</v>
      </c>
      <c r="J116" s="30" t="n">
        <f aca="false">H116*I116</f>
        <v>26.77584</v>
      </c>
      <c r="K116" s="1" t="n">
        <v>21</v>
      </c>
    </row>
    <row r="117" customFormat="false" ht="15" hidden="false" customHeight="false" outlineLevel="0" collapsed="false">
      <c r="B117" s="1" t="s">
        <v>307</v>
      </c>
      <c r="F117" s="57" t="s">
        <v>304</v>
      </c>
      <c r="H117" s="59" t="n">
        <v>3</v>
      </c>
      <c r="I117" s="30" t="n">
        <v>5.8</v>
      </c>
      <c r="J117" s="30" t="n">
        <f aca="false">H117*I117</f>
        <v>17.4</v>
      </c>
      <c r="K117" s="1" t="n">
        <v>43</v>
      </c>
    </row>
    <row r="118" customFormat="false" ht="15" hidden="false" customHeight="false" outlineLevel="0" collapsed="false">
      <c r="F118" s="57"/>
      <c r="H118" s="59"/>
      <c r="I118" s="30"/>
      <c r="J118" s="55" t="n">
        <f aca="false">ROUND(SUM(J108:J117),2)</f>
        <v>176.5</v>
      </c>
    </row>
    <row r="119" customFormat="false" ht="15" hidden="false" customHeight="false" outlineLevel="0" collapsed="false">
      <c r="B119" s="56" t="s">
        <v>308</v>
      </c>
    </row>
    <row r="120" customFormat="false" ht="15" hidden="false" customHeight="false" outlineLevel="0" collapsed="false">
      <c r="B120" s="1" t="s">
        <v>309</v>
      </c>
      <c r="F120" s="57" t="s">
        <v>310</v>
      </c>
      <c r="H120" s="59" t="n">
        <v>5</v>
      </c>
      <c r="I120" s="30" t="n">
        <f aca="false">J106</f>
        <v>28.28</v>
      </c>
      <c r="J120" s="30" t="n">
        <f aca="false">H120%*I120</f>
        <v>1.414</v>
      </c>
      <c r="K120" s="1" t="n">
        <v>37</v>
      </c>
    </row>
    <row r="121" customFormat="false" ht="15" hidden="false" customHeight="false" outlineLevel="0" collapsed="false">
      <c r="A121" s="62"/>
      <c r="B121" s="62"/>
      <c r="C121" s="62"/>
      <c r="D121" s="62"/>
      <c r="E121" s="62"/>
      <c r="F121" s="62"/>
      <c r="G121" s="62"/>
      <c r="H121" s="62"/>
      <c r="I121" s="62"/>
      <c r="J121" s="63" t="n">
        <f aca="false">ROUND(SUM(J120),2)</f>
        <v>1.41</v>
      </c>
    </row>
    <row r="123" customFormat="false" ht="15" hidden="false" customHeight="false" outlineLevel="0" collapsed="false">
      <c r="A123" s="14" t="s">
        <v>276</v>
      </c>
      <c r="B123" s="14" t="str">
        <f aca="false">PROVISIONALES!A11</f>
        <v>1.1.1.6</v>
      </c>
      <c r="C123" s="14" t="s">
        <v>142</v>
      </c>
      <c r="D123" s="14"/>
      <c r="E123" s="14"/>
      <c r="F123" s="14"/>
      <c r="G123" s="14"/>
      <c r="H123" s="14"/>
      <c r="I123" s="14"/>
    </row>
    <row r="124" customFormat="false" ht="15" hidden="false" customHeight="false" outlineLevel="0" collapsed="false">
      <c r="A124" s="14" t="s">
        <v>277</v>
      </c>
      <c r="B124" s="14" t="s">
        <v>313</v>
      </c>
      <c r="C124" s="38" t="s">
        <v>279</v>
      </c>
      <c r="D124" s="54" t="n">
        <v>30</v>
      </c>
      <c r="E124" s="38" t="s">
        <v>280</v>
      </c>
      <c r="F124" s="54" t="n">
        <f aca="false">D124</f>
        <v>30</v>
      </c>
      <c r="G124" s="14" t="s">
        <v>281</v>
      </c>
      <c r="I124" s="38" t="s">
        <v>143</v>
      </c>
      <c r="J124" s="64" t="n">
        <f aca="false">J129+J134+J137</f>
        <v>43.81</v>
      </c>
    </row>
    <row r="125" customFormat="false" ht="15" hidden="false" customHeight="false" outlineLevel="0" collapsed="false">
      <c r="A125" s="14" t="s">
        <v>282</v>
      </c>
      <c r="B125" s="14" t="s">
        <v>283</v>
      </c>
      <c r="F125" s="38" t="s">
        <v>121</v>
      </c>
      <c r="G125" s="38" t="s">
        <v>284</v>
      </c>
      <c r="H125" s="38" t="s">
        <v>285</v>
      </c>
      <c r="I125" s="38" t="s">
        <v>286</v>
      </c>
      <c r="J125" s="38" t="s">
        <v>287</v>
      </c>
    </row>
    <row r="126" customFormat="false" ht="15" hidden="false" customHeight="false" outlineLevel="0" collapsed="false">
      <c r="B126" s="56" t="s">
        <v>288</v>
      </c>
    </row>
    <row r="127" customFormat="false" ht="15" hidden="false" customHeight="false" outlineLevel="0" collapsed="false">
      <c r="B127" s="1" t="s">
        <v>291</v>
      </c>
      <c r="F127" s="57" t="s">
        <v>290</v>
      </c>
      <c r="G127" s="58" t="n">
        <v>1</v>
      </c>
      <c r="H127" s="59" t="n">
        <f aca="false">G127*8/$D$124</f>
        <v>0.266666666666667</v>
      </c>
      <c r="I127" s="65" t="n">
        <v>22.66</v>
      </c>
      <c r="J127" s="30" t="n">
        <f aca="false">H127*I127</f>
        <v>6.04266666666667</v>
      </c>
      <c r="K127" s="1" t="n">
        <v>47</v>
      </c>
    </row>
    <row r="128" customFormat="false" ht="15" hidden="false" customHeight="false" outlineLevel="0" collapsed="false">
      <c r="B128" s="1" t="s">
        <v>292</v>
      </c>
      <c r="F128" s="57" t="s">
        <v>290</v>
      </c>
      <c r="G128" s="58" t="n">
        <v>1</v>
      </c>
      <c r="H128" s="59" t="n">
        <f aca="false">G128*8/$D$124</f>
        <v>0.266666666666667</v>
      </c>
      <c r="I128" s="30" t="n">
        <v>20.51</v>
      </c>
      <c r="J128" s="30" t="n">
        <f aca="false">H128*I128</f>
        <v>5.46933333333333</v>
      </c>
      <c r="K128" s="1" t="n">
        <v>47</v>
      </c>
    </row>
    <row r="129" customFormat="false" ht="15" hidden="false" customHeight="false" outlineLevel="0" collapsed="false">
      <c r="J129" s="55" t="n">
        <f aca="false">ROUND(SUM(J127:J128),2)</f>
        <v>11.51</v>
      </c>
    </row>
    <row r="130" customFormat="false" ht="15" hidden="false" customHeight="false" outlineLevel="0" collapsed="false">
      <c r="B130" s="56" t="s">
        <v>293</v>
      </c>
    </row>
    <row r="131" customFormat="false" ht="15" hidden="false" customHeight="false" outlineLevel="0" collapsed="false">
      <c r="B131" s="1" t="s">
        <v>314</v>
      </c>
      <c r="F131" s="57" t="s">
        <v>315</v>
      </c>
      <c r="G131" s="58"/>
      <c r="H131" s="59" t="n">
        <v>1</v>
      </c>
      <c r="I131" s="30" t="n">
        <v>8.5</v>
      </c>
      <c r="J131" s="30" t="n">
        <f aca="false">H131*I131</f>
        <v>8.5</v>
      </c>
      <c r="K131" s="1" t="n">
        <v>39</v>
      </c>
    </row>
    <row r="132" customFormat="false" ht="15" hidden="false" customHeight="false" outlineLevel="0" collapsed="false">
      <c r="B132" s="1" t="s">
        <v>316</v>
      </c>
      <c r="F132" s="57" t="s">
        <v>295</v>
      </c>
      <c r="G132" s="58"/>
      <c r="H132" s="59" t="n">
        <v>0.05</v>
      </c>
      <c r="I132" s="30" t="n">
        <v>5.08</v>
      </c>
      <c r="J132" s="30" t="n">
        <f aca="false">H132*I132</f>
        <v>0.254</v>
      </c>
      <c r="K132" s="1" t="n">
        <v>2</v>
      </c>
    </row>
    <row r="133" customFormat="false" ht="15" hidden="false" customHeight="false" outlineLevel="0" collapsed="false">
      <c r="B133" s="1" t="s">
        <v>307</v>
      </c>
      <c r="F133" s="57" t="s">
        <v>304</v>
      </c>
      <c r="H133" s="59" t="n">
        <v>4</v>
      </c>
      <c r="I133" s="30" t="n">
        <v>5.8</v>
      </c>
      <c r="J133" s="30" t="n">
        <f aca="false">H133*I133</f>
        <v>23.2</v>
      </c>
      <c r="K133" s="1" t="n">
        <v>43</v>
      </c>
    </row>
    <row r="134" customFormat="false" ht="15" hidden="false" customHeight="false" outlineLevel="0" collapsed="false">
      <c r="J134" s="55" t="n">
        <f aca="false">ROUND(SUM(J131:J133),2)</f>
        <v>31.95</v>
      </c>
    </row>
    <row r="135" customFormat="false" ht="15" hidden="false" customHeight="false" outlineLevel="0" collapsed="false">
      <c r="B135" s="56" t="s">
        <v>317</v>
      </c>
    </row>
    <row r="136" customFormat="false" ht="15" hidden="false" customHeight="false" outlineLevel="0" collapsed="false">
      <c r="B136" s="1" t="s">
        <v>309</v>
      </c>
      <c r="F136" s="57" t="s">
        <v>310</v>
      </c>
      <c r="H136" s="59" t="n">
        <v>3</v>
      </c>
      <c r="I136" s="30" t="n">
        <f aca="false">J129</f>
        <v>11.51</v>
      </c>
      <c r="J136" s="30" t="n">
        <f aca="false">H136%*I136</f>
        <v>0.3453</v>
      </c>
      <c r="K136" s="1" t="n">
        <v>37</v>
      </c>
    </row>
    <row r="137" customFormat="false" ht="15" hidden="false" customHeight="false" outlineLevel="0" collapsed="false">
      <c r="A137" s="62"/>
      <c r="B137" s="62"/>
      <c r="C137" s="62"/>
      <c r="D137" s="62"/>
      <c r="E137" s="62"/>
      <c r="F137" s="66"/>
      <c r="G137" s="67"/>
      <c r="H137" s="68"/>
      <c r="I137" s="69"/>
      <c r="J137" s="63" t="n">
        <f aca="false">ROUND(SUM(J136),2)</f>
        <v>0.35</v>
      </c>
    </row>
    <row r="139" customFormat="false" ht="15" hidden="false" customHeight="false" outlineLevel="0" collapsed="false">
      <c r="A139" s="14" t="s">
        <v>276</v>
      </c>
      <c r="B139" s="14" t="str">
        <f aca="false">PROVISIONALES!A12</f>
        <v>1.1.1.7</v>
      </c>
      <c r="C139" s="14" t="s">
        <v>145</v>
      </c>
      <c r="D139" s="14"/>
      <c r="E139" s="14"/>
      <c r="F139" s="14"/>
      <c r="G139" s="14"/>
      <c r="H139" s="14"/>
      <c r="I139" s="14"/>
    </row>
    <row r="140" customFormat="false" ht="15" hidden="false" customHeight="false" outlineLevel="0" collapsed="false">
      <c r="A140" s="14" t="s">
        <v>277</v>
      </c>
      <c r="B140" s="14" t="s">
        <v>278</v>
      </c>
      <c r="C140" s="38" t="s">
        <v>279</v>
      </c>
      <c r="D140" s="54" t="n">
        <v>20</v>
      </c>
      <c r="E140" s="38" t="s">
        <v>280</v>
      </c>
      <c r="F140" s="54" t="n">
        <f aca="false">D140</f>
        <v>20</v>
      </c>
      <c r="G140" s="14" t="s">
        <v>281</v>
      </c>
      <c r="I140" s="38" t="s">
        <v>148</v>
      </c>
      <c r="J140" s="55" t="n">
        <f aca="false">J145+J164+J167</f>
        <v>343.16</v>
      </c>
    </row>
    <row r="141" customFormat="false" ht="15" hidden="false" customHeight="false" outlineLevel="0" collapsed="false">
      <c r="A141" s="14" t="s">
        <v>282</v>
      </c>
      <c r="B141" s="14" t="s">
        <v>283</v>
      </c>
      <c r="F141" s="38" t="s">
        <v>121</v>
      </c>
      <c r="G141" s="38" t="s">
        <v>284</v>
      </c>
      <c r="H141" s="38" t="s">
        <v>285</v>
      </c>
      <c r="I141" s="38" t="s">
        <v>286</v>
      </c>
      <c r="J141" s="38" t="s">
        <v>287</v>
      </c>
    </row>
    <row r="142" customFormat="false" ht="15" hidden="false" customHeight="false" outlineLevel="0" collapsed="false">
      <c r="B142" s="56" t="s">
        <v>288</v>
      </c>
    </row>
    <row r="143" customFormat="false" ht="15" hidden="false" customHeight="false" outlineLevel="0" collapsed="false">
      <c r="B143" s="1" t="s">
        <v>289</v>
      </c>
      <c r="F143" s="57" t="s">
        <v>290</v>
      </c>
      <c r="G143" s="58" t="n">
        <v>1</v>
      </c>
      <c r="H143" s="59" t="n">
        <f aca="false">G143*8/$D$140</f>
        <v>0.4</v>
      </c>
      <c r="I143" s="30" t="n">
        <v>28.94</v>
      </c>
      <c r="J143" s="30" t="n">
        <f aca="false">H143*I143</f>
        <v>11.576</v>
      </c>
      <c r="K143" s="1" t="n">
        <v>47</v>
      </c>
    </row>
    <row r="144" customFormat="false" ht="15" hidden="false" customHeight="false" outlineLevel="0" collapsed="false">
      <c r="B144" s="1" t="s">
        <v>292</v>
      </c>
      <c r="F144" s="57" t="s">
        <v>290</v>
      </c>
      <c r="G144" s="58" t="n">
        <v>2</v>
      </c>
      <c r="H144" s="59" t="n">
        <f aca="false">G144*8/$D$140</f>
        <v>0.8</v>
      </c>
      <c r="I144" s="30" t="n">
        <v>20.51</v>
      </c>
      <c r="J144" s="30" t="n">
        <f aca="false">H144*I144</f>
        <v>16.408</v>
      </c>
      <c r="K144" s="1" t="n">
        <v>47</v>
      </c>
    </row>
    <row r="145" customFormat="false" ht="15" hidden="false" customHeight="false" outlineLevel="0" collapsed="false">
      <c r="J145" s="55" t="n">
        <f aca="false">ROUND(SUM(J143:J144),2)</f>
        <v>27.98</v>
      </c>
    </row>
    <row r="146" customFormat="false" ht="15" hidden="false" customHeight="false" outlineLevel="0" collapsed="false">
      <c r="B146" s="56" t="s">
        <v>293</v>
      </c>
    </row>
    <row r="147" customFormat="false" ht="15" hidden="false" customHeight="false" outlineLevel="0" collapsed="false">
      <c r="B147" s="1" t="s">
        <v>294</v>
      </c>
      <c r="F147" s="57" t="s">
        <v>295</v>
      </c>
      <c r="G147" s="58"/>
      <c r="H147" s="59" t="n">
        <v>1.25</v>
      </c>
      <c r="I147" s="30" t="n">
        <v>2.64</v>
      </c>
      <c r="J147" s="30" t="n">
        <f aca="false">H147*I147</f>
        <v>3.3</v>
      </c>
      <c r="K147" s="1" t="n">
        <v>2</v>
      </c>
    </row>
    <row r="148" customFormat="false" ht="15" hidden="false" customHeight="false" outlineLevel="0" collapsed="false">
      <c r="B148" s="1" t="s">
        <v>296</v>
      </c>
      <c r="F148" s="57" t="s">
        <v>297</v>
      </c>
      <c r="G148" s="58"/>
      <c r="H148" s="59" t="n">
        <v>0.85</v>
      </c>
      <c r="I148" s="1" t="n">
        <v>14.15</v>
      </c>
      <c r="J148" s="30" t="n">
        <f aca="false">H148*I148</f>
        <v>12.0275</v>
      </c>
      <c r="K148" s="1" t="n">
        <v>56</v>
      </c>
    </row>
    <row r="149" customFormat="false" ht="15" hidden="false" customHeight="false" outlineLevel="0" collapsed="false">
      <c r="B149" s="1" t="s">
        <v>298</v>
      </c>
      <c r="F149" s="57" t="s">
        <v>148</v>
      </c>
      <c r="G149" s="58"/>
      <c r="H149" s="59" t="n">
        <v>0.2</v>
      </c>
      <c r="I149" s="1" t="n">
        <v>55</v>
      </c>
      <c r="J149" s="30" t="n">
        <f aca="false">H149*I149</f>
        <v>11</v>
      </c>
      <c r="K149" s="1" t="n">
        <v>26</v>
      </c>
    </row>
    <row r="150" customFormat="false" ht="15" hidden="false" customHeight="false" outlineLevel="0" collapsed="false">
      <c r="B150" s="1" t="s">
        <v>299</v>
      </c>
      <c r="F150" s="57" t="s">
        <v>295</v>
      </c>
      <c r="H150" s="59" t="n">
        <v>0.04</v>
      </c>
      <c r="I150" s="1" t="n">
        <v>10.93</v>
      </c>
      <c r="J150" s="30" t="n">
        <f aca="false">H150*I150</f>
        <v>0.4372</v>
      </c>
      <c r="K150" s="1" t="n">
        <v>2</v>
      </c>
    </row>
    <row r="151" customFormat="false" ht="15" hidden="false" customHeight="false" outlineLevel="0" collapsed="false">
      <c r="B151" s="1" t="s">
        <v>300</v>
      </c>
      <c r="F151" s="57" t="s">
        <v>295</v>
      </c>
      <c r="H151" s="59" t="n">
        <v>0.071</v>
      </c>
      <c r="I151" s="30" t="n">
        <v>5.51</v>
      </c>
      <c r="J151" s="30" t="n">
        <f aca="false">H151*I151</f>
        <v>0.39121</v>
      </c>
      <c r="K151" s="1" t="n">
        <v>2</v>
      </c>
    </row>
    <row r="152" customFormat="false" ht="15" hidden="false" customHeight="false" outlineLevel="0" collapsed="false">
      <c r="B152" s="1" t="s">
        <v>311</v>
      </c>
      <c r="F152" s="57" t="s">
        <v>202</v>
      </c>
      <c r="H152" s="59" t="n">
        <v>0.19</v>
      </c>
      <c r="I152" s="30" t="n">
        <v>70.92</v>
      </c>
      <c r="J152" s="30" t="n">
        <f aca="false">H152*I152</f>
        <v>13.4748</v>
      </c>
      <c r="K152" s="1" t="n">
        <v>38</v>
      </c>
    </row>
    <row r="153" customFormat="false" ht="15" hidden="false" customHeight="false" outlineLevel="0" collapsed="false">
      <c r="B153" s="1" t="s">
        <v>302</v>
      </c>
      <c r="F153" s="57" t="s">
        <v>297</v>
      </c>
      <c r="H153" s="59" t="n">
        <v>0.53</v>
      </c>
      <c r="I153" s="1" t="n">
        <v>27.88</v>
      </c>
      <c r="J153" s="30" t="n">
        <f aca="false">H153*I153</f>
        <v>14.7764</v>
      </c>
      <c r="K153" s="1" t="n">
        <v>44</v>
      </c>
    </row>
    <row r="154" customFormat="false" ht="15" hidden="false" customHeight="false" outlineLevel="0" collapsed="false">
      <c r="B154" s="1" t="s">
        <v>303</v>
      </c>
      <c r="F154" s="57" t="s">
        <v>304</v>
      </c>
      <c r="H154" s="59" t="n">
        <v>0.2374</v>
      </c>
      <c r="I154" s="1" t="n">
        <v>32.2</v>
      </c>
      <c r="J154" s="30" t="n">
        <f aca="false">H154*I154</f>
        <v>7.64428</v>
      </c>
      <c r="K154" s="1" t="n">
        <v>30</v>
      </c>
    </row>
    <row r="155" customFormat="false" ht="15" hidden="false" customHeight="false" outlineLevel="0" collapsed="false">
      <c r="B155" s="1" t="s">
        <v>305</v>
      </c>
      <c r="F155" s="57" t="s">
        <v>306</v>
      </c>
      <c r="H155" s="59" t="n">
        <v>0.5</v>
      </c>
      <c r="I155" s="30" t="n">
        <v>24.52</v>
      </c>
      <c r="J155" s="30" t="n">
        <f aca="false">H155*I155</f>
        <v>12.26</v>
      </c>
      <c r="K155" s="1" t="n">
        <v>21</v>
      </c>
    </row>
    <row r="156" customFormat="false" ht="15" hidden="false" customHeight="false" outlineLevel="0" collapsed="false">
      <c r="B156" s="1" t="s">
        <v>307</v>
      </c>
      <c r="F156" s="57" t="s">
        <v>304</v>
      </c>
      <c r="H156" s="59" t="n">
        <v>3</v>
      </c>
      <c r="I156" s="30" t="n">
        <v>5.8</v>
      </c>
      <c r="J156" s="30" t="n">
        <f aca="false">H156*I156</f>
        <v>17.4</v>
      </c>
      <c r="K156" s="1" t="n">
        <v>43</v>
      </c>
    </row>
    <row r="157" customFormat="false" ht="15" hidden="false" customHeight="false" outlineLevel="0" collapsed="false">
      <c r="B157" s="1" t="s">
        <v>318</v>
      </c>
      <c r="F157" s="57" t="s">
        <v>148</v>
      </c>
      <c r="H157" s="59" t="n">
        <v>0.694</v>
      </c>
      <c r="I157" s="30" t="n">
        <v>120</v>
      </c>
      <c r="J157" s="30" t="n">
        <f aca="false">H157*I157</f>
        <v>83.28</v>
      </c>
      <c r="K157" s="1" t="n">
        <v>10</v>
      </c>
    </row>
    <row r="158" customFormat="false" ht="15" hidden="false" customHeight="false" outlineLevel="0" collapsed="false">
      <c r="B158" s="1" t="s">
        <v>319</v>
      </c>
      <c r="F158" s="57" t="s">
        <v>143</v>
      </c>
      <c r="H158" s="59" t="n">
        <v>1.042</v>
      </c>
      <c r="I158" s="30" t="n">
        <v>25</v>
      </c>
      <c r="J158" s="30" t="n">
        <f aca="false">H158*I158</f>
        <v>26.05</v>
      </c>
      <c r="K158" s="1" t="n">
        <v>72</v>
      </c>
    </row>
    <row r="159" customFormat="false" ht="15" hidden="false" customHeight="false" outlineLevel="0" collapsed="false">
      <c r="B159" s="1" t="s">
        <v>320</v>
      </c>
      <c r="F159" s="57" t="s">
        <v>148</v>
      </c>
      <c r="H159" s="59" t="n">
        <v>0.694</v>
      </c>
      <c r="I159" s="30" t="n">
        <v>18</v>
      </c>
      <c r="J159" s="30" t="n">
        <f aca="false">H159*I159</f>
        <v>12.492</v>
      </c>
      <c r="K159" s="1" t="n">
        <v>72</v>
      </c>
    </row>
    <row r="160" customFormat="false" ht="15" hidden="false" customHeight="false" outlineLevel="0" collapsed="false">
      <c r="B160" s="1" t="s">
        <v>321</v>
      </c>
      <c r="F160" s="57" t="s">
        <v>148</v>
      </c>
      <c r="H160" s="59" t="n">
        <v>0.139</v>
      </c>
      <c r="I160" s="30" t="n">
        <v>15</v>
      </c>
      <c r="J160" s="30" t="n">
        <f aca="false">H160*I160</f>
        <v>2.085</v>
      </c>
      <c r="K160" s="1" t="n">
        <v>39</v>
      </c>
    </row>
    <row r="161" customFormat="false" ht="15" hidden="false" customHeight="false" outlineLevel="0" collapsed="false">
      <c r="B161" s="1" t="s">
        <v>322</v>
      </c>
      <c r="F161" s="57" t="s">
        <v>148</v>
      </c>
      <c r="H161" s="59" t="n">
        <v>0.694</v>
      </c>
      <c r="I161" s="30" t="n">
        <v>80</v>
      </c>
      <c r="J161" s="30" t="n">
        <f aca="false">H161*I161</f>
        <v>55.52</v>
      </c>
      <c r="K161" s="1" t="n">
        <v>10</v>
      </c>
    </row>
    <row r="162" customFormat="false" ht="15" hidden="false" customHeight="false" outlineLevel="0" collapsed="false">
      <c r="B162" s="1" t="s">
        <v>323</v>
      </c>
      <c r="F162" s="57" t="s">
        <v>148</v>
      </c>
      <c r="H162" s="59" t="n">
        <v>0.694</v>
      </c>
      <c r="I162" s="30" t="n">
        <v>40</v>
      </c>
      <c r="J162" s="30" t="n">
        <f aca="false">H162*I162</f>
        <v>27.76</v>
      </c>
      <c r="K162" s="1" t="n">
        <v>39</v>
      </c>
    </row>
    <row r="163" customFormat="false" ht="15" hidden="false" customHeight="false" outlineLevel="0" collapsed="false">
      <c r="B163" s="1" t="s">
        <v>324</v>
      </c>
      <c r="F163" s="57" t="s">
        <v>148</v>
      </c>
      <c r="H163" s="59" t="n">
        <v>0.694</v>
      </c>
      <c r="I163" s="30" t="n">
        <v>20</v>
      </c>
      <c r="J163" s="30" t="n">
        <f aca="false">H163*I163</f>
        <v>13.88</v>
      </c>
      <c r="K163" s="1" t="n">
        <v>39</v>
      </c>
    </row>
    <row r="164" customFormat="false" ht="15" hidden="false" customHeight="false" outlineLevel="0" collapsed="false">
      <c r="J164" s="55" t="n">
        <f aca="false">ROUND(SUM(J147:J163),2)</f>
        <v>313.78</v>
      </c>
    </row>
    <row r="165" customFormat="false" ht="15" hidden="false" customHeight="false" outlineLevel="0" collapsed="false">
      <c r="B165" s="56" t="s">
        <v>308</v>
      </c>
    </row>
    <row r="166" customFormat="false" ht="15" hidden="false" customHeight="false" outlineLevel="0" collapsed="false">
      <c r="B166" s="1" t="s">
        <v>309</v>
      </c>
      <c r="F166" s="57" t="s">
        <v>310</v>
      </c>
      <c r="H166" s="59" t="n">
        <v>5</v>
      </c>
      <c r="I166" s="30" t="n">
        <f aca="false">J145</f>
        <v>27.98</v>
      </c>
      <c r="J166" s="30" t="n">
        <f aca="false">H166%*I166</f>
        <v>1.399</v>
      </c>
      <c r="K166" s="1" t="n">
        <v>37</v>
      </c>
    </row>
    <row r="167" customFormat="false" ht="15" hidden="false" customHeight="false" outlineLevel="0" collapsed="false">
      <c r="A167" s="62"/>
      <c r="B167" s="62"/>
      <c r="C167" s="62"/>
      <c r="D167" s="62"/>
      <c r="E167" s="62"/>
      <c r="F167" s="62"/>
      <c r="G167" s="62"/>
      <c r="H167" s="62"/>
      <c r="I167" s="62"/>
      <c r="J167" s="63" t="n">
        <f aca="false">ROUND(SUM(J166),2)</f>
        <v>1.4</v>
      </c>
    </row>
    <row r="169" customFormat="false" ht="15" hidden="false" customHeight="false" outlineLevel="0" collapsed="false">
      <c r="A169" s="14" t="s">
        <v>276</v>
      </c>
      <c r="B169" s="14" t="str">
        <f aca="false">PROVISIONALES!A13</f>
        <v>1.1.1.8</v>
      </c>
      <c r="C169" s="14" t="s">
        <v>147</v>
      </c>
      <c r="D169" s="14"/>
      <c r="E169" s="14"/>
      <c r="F169" s="14"/>
      <c r="G169" s="14"/>
      <c r="H169" s="14"/>
      <c r="I169" s="14"/>
    </row>
    <row r="170" customFormat="false" ht="15" hidden="false" customHeight="false" outlineLevel="0" collapsed="false">
      <c r="A170" s="14" t="s">
        <v>277</v>
      </c>
      <c r="B170" s="14" t="s">
        <v>325</v>
      </c>
      <c r="C170" s="38" t="s">
        <v>279</v>
      </c>
      <c r="D170" s="54" t="n">
        <v>1</v>
      </c>
      <c r="E170" s="38" t="s">
        <v>280</v>
      </c>
      <c r="F170" s="54" t="n">
        <f aca="false">D170</f>
        <v>1</v>
      </c>
      <c r="G170" s="14" t="s">
        <v>281</v>
      </c>
      <c r="I170" s="38" t="s">
        <v>148</v>
      </c>
      <c r="J170" s="55" t="n">
        <f aca="false">J176++J187+J190</f>
        <v>1453.78</v>
      </c>
    </row>
    <row r="171" customFormat="false" ht="15" hidden="false" customHeight="false" outlineLevel="0" collapsed="false">
      <c r="A171" s="14" t="s">
        <v>282</v>
      </c>
      <c r="B171" s="14" t="s">
        <v>283</v>
      </c>
      <c r="F171" s="38" t="s">
        <v>121</v>
      </c>
      <c r="G171" s="38" t="s">
        <v>284</v>
      </c>
      <c r="H171" s="38" t="s">
        <v>285</v>
      </c>
      <c r="I171" s="38" t="s">
        <v>286</v>
      </c>
      <c r="J171" s="38" t="s">
        <v>287</v>
      </c>
    </row>
    <row r="172" customFormat="false" ht="15" hidden="false" customHeight="false" outlineLevel="0" collapsed="false">
      <c r="B172" s="56" t="s">
        <v>288</v>
      </c>
    </row>
    <row r="173" customFormat="false" ht="15" hidden="false" customHeight="false" outlineLevel="0" collapsed="false">
      <c r="B173" s="1" t="s">
        <v>289</v>
      </c>
      <c r="F173" s="57" t="s">
        <v>290</v>
      </c>
      <c r="G173" s="58" t="n">
        <v>1</v>
      </c>
      <c r="H173" s="59" t="n">
        <f aca="false">G173*8/$D$170</f>
        <v>8</v>
      </c>
      <c r="I173" s="30" t="n">
        <v>28.94</v>
      </c>
      <c r="J173" s="30" t="n">
        <f aca="false">H173*I173</f>
        <v>231.52</v>
      </c>
      <c r="K173" s="1" t="n">
        <v>47</v>
      </c>
    </row>
    <row r="174" customFormat="false" ht="15" hidden="false" customHeight="false" outlineLevel="0" collapsed="false">
      <c r="B174" s="1" t="s">
        <v>291</v>
      </c>
      <c r="F174" s="57" t="s">
        <v>290</v>
      </c>
      <c r="G174" s="58" t="n">
        <v>0.5</v>
      </c>
      <c r="H174" s="59" t="n">
        <f aca="false">G174*8/$D$170</f>
        <v>4</v>
      </c>
      <c r="I174" s="30" t="n">
        <v>22.66</v>
      </c>
      <c r="J174" s="30" t="n">
        <f aca="false">H174*I174</f>
        <v>90.64</v>
      </c>
      <c r="K174" s="1" t="n">
        <v>47</v>
      </c>
    </row>
    <row r="175" customFormat="false" ht="15" hidden="false" customHeight="false" outlineLevel="0" collapsed="false">
      <c r="B175" s="1" t="s">
        <v>292</v>
      </c>
      <c r="F175" s="57" t="s">
        <v>290</v>
      </c>
      <c r="G175" s="58" t="n">
        <v>1</v>
      </c>
      <c r="H175" s="59" t="n">
        <f aca="false">G175*8/$D$170</f>
        <v>8</v>
      </c>
      <c r="I175" s="30" t="n">
        <v>20.51</v>
      </c>
      <c r="J175" s="30" t="n">
        <f aca="false">H175*I175</f>
        <v>164.08</v>
      </c>
      <c r="K175" s="1" t="n">
        <v>47</v>
      </c>
    </row>
    <row r="176" customFormat="false" ht="15" hidden="false" customHeight="false" outlineLevel="0" collapsed="false">
      <c r="J176" s="55" t="n">
        <f aca="false">ROUND(SUM(J173:J175),2)</f>
        <v>486.24</v>
      </c>
    </row>
    <row r="177" customFormat="false" ht="15" hidden="false" customHeight="false" outlineLevel="0" collapsed="false">
      <c r="B177" s="56" t="s">
        <v>293</v>
      </c>
    </row>
    <row r="178" customFormat="false" ht="15" hidden="false" customHeight="false" outlineLevel="0" collapsed="false">
      <c r="B178" s="1" t="s">
        <v>326</v>
      </c>
      <c r="F178" s="57" t="s">
        <v>148</v>
      </c>
      <c r="G178" s="58"/>
      <c r="H178" s="59" t="n">
        <v>1</v>
      </c>
      <c r="I178" s="30" t="n">
        <v>355.93</v>
      </c>
      <c r="J178" s="30" t="n">
        <f aca="false">H178*I178</f>
        <v>355.93</v>
      </c>
      <c r="K178" s="1" t="n">
        <v>49</v>
      </c>
    </row>
    <row r="179" customFormat="false" ht="15" hidden="false" customHeight="false" outlineLevel="0" collapsed="false">
      <c r="B179" s="1" t="s">
        <v>300</v>
      </c>
      <c r="F179" s="57" t="s">
        <v>295</v>
      </c>
      <c r="H179" s="59" t="n">
        <v>1.4</v>
      </c>
      <c r="I179" s="30" t="n">
        <v>5.51</v>
      </c>
      <c r="J179" s="30" t="n">
        <f aca="false">H179*I179</f>
        <v>7.714</v>
      </c>
      <c r="K179" s="1" t="n">
        <v>2</v>
      </c>
    </row>
    <row r="180" customFormat="false" ht="15" hidden="false" customHeight="false" outlineLevel="0" collapsed="false">
      <c r="B180" s="1" t="s">
        <v>311</v>
      </c>
      <c r="F180" s="57" t="s">
        <v>202</v>
      </c>
      <c r="H180" s="59" t="n">
        <v>0.252</v>
      </c>
      <c r="I180" s="30" t="n">
        <v>70.92</v>
      </c>
      <c r="J180" s="30" t="n">
        <f aca="false">H180*I180</f>
        <v>17.87184</v>
      </c>
      <c r="K180" s="1" t="n">
        <v>38</v>
      </c>
    </row>
    <row r="181" customFormat="false" ht="15" hidden="false" customHeight="false" outlineLevel="0" collapsed="false">
      <c r="B181" s="1" t="s">
        <v>327</v>
      </c>
      <c r="F181" s="1" t="s">
        <v>148</v>
      </c>
      <c r="H181" s="1" t="n">
        <v>10</v>
      </c>
      <c r="I181" s="1" t="n">
        <v>3.9</v>
      </c>
      <c r="J181" s="30" t="n">
        <f aca="false">H181*I181</f>
        <v>39</v>
      </c>
      <c r="K181" s="1" t="n">
        <v>2</v>
      </c>
    </row>
    <row r="182" customFormat="false" ht="15" hidden="false" customHeight="false" outlineLevel="0" collapsed="false">
      <c r="B182" s="1" t="s">
        <v>328</v>
      </c>
      <c r="F182" s="57" t="s">
        <v>202</v>
      </c>
      <c r="H182" s="1" t="n">
        <v>0.252</v>
      </c>
      <c r="I182" s="1" t="n">
        <v>80</v>
      </c>
      <c r="J182" s="30" t="n">
        <f aca="false">H182*I182</f>
        <v>20.16</v>
      </c>
      <c r="K182" s="1" t="n">
        <v>5</v>
      </c>
    </row>
    <row r="183" customFormat="false" ht="15" hidden="false" customHeight="false" outlineLevel="0" collapsed="false">
      <c r="B183" s="1" t="s">
        <v>329</v>
      </c>
      <c r="F183" s="1" t="s">
        <v>330</v>
      </c>
      <c r="H183" s="1" t="n">
        <v>2</v>
      </c>
      <c r="I183" s="1" t="n">
        <v>44.83</v>
      </c>
      <c r="J183" s="30" t="n">
        <f aca="false">H183*I183</f>
        <v>89.66</v>
      </c>
      <c r="K183" s="1" t="n">
        <v>43</v>
      </c>
    </row>
    <row r="184" customFormat="false" ht="15" hidden="false" customHeight="false" outlineLevel="0" collapsed="false">
      <c r="B184" s="1" t="s">
        <v>302</v>
      </c>
      <c r="F184" s="57" t="s">
        <v>297</v>
      </c>
      <c r="H184" s="59" t="n">
        <v>3</v>
      </c>
      <c r="I184" s="1" t="n">
        <v>27.88</v>
      </c>
      <c r="J184" s="30" t="n">
        <f aca="false">H184*I184</f>
        <v>83.64</v>
      </c>
      <c r="K184" s="1" t="n">
        <v>44</v>
      </c>
    </row>
    <row r="185" customFormat="false" ht="15" hidden="false" customHeight="false" outlineLevel="0" collapsed="false">
      <c r="B185" s="1" t="s">
        <v>305</v>
      </c>
      <c r="F185" s="57" t="s">
        <v>306</v>
      </c>
      <c r="H185" s="59" t="n">
        <v>2.334</v>
      </c>
      <c r="I185" s="30" t="n">
        <v>24.52</v>
      </c>
      <c r="J185" s="30" t="n">
        <f aca="false">H185*I185</f>
        <v>57.22968</v>
      </c>
      <c r="K185" s="1" t="n">
        <v>21</v>
      </c>
    </row>
    <row r="186" customFormat="false" ht="15" hidden="false" customHeight="false" outlineLevel="0" collapsed="false">
      <c r="B186" s="1" t="s">
        <v>307</v>
      </c>
      <c r="F186" s="57" t="s">
        <v>304</v>
      </c>
      <c r="H186" s="59" t="n">
        <v>46.9</v>
      </c>
      <c r="I186" s="30" t="n">
        <v>5.8</v>
      </c>
      <c r="J186" s="30" t="n">
        <f aca="false">H186*I186</f>
        <v>272.02</v>
      </c>
      <c r="K186" s="1" t="n">
        <v>43</v>
      </c>
    </row>
    <row r="187" customFormat="false" ht="15" hidden="false" customHeight="false" outlineLevel="0" collapsed="false">
      <c r="F187" s="57"/>
      <c r="H187" s="59"/>
      <c r="I187" s="30"/>
      <c r="J187" s="55" t="n">
        <f aca="false">ROUND(SUM(J178:J186),2)</f>
        <v>943.23</v>
      </c>
    </row>
    <row r="188" customFormat="false" ht="15" hidden="false" customHeight="false" outlineLevel="0" collapsed="false">
      <c r="B188" s="56" t="s">
        <v>308</v>
      </c>
    </row>
    <row r="189" customFormat="false" ht="15" hidden="false" customHeight="false" outlineLevel="0" collapsed="false">
      <c r="B189" s="1" t="s">
        <v>309</v>
      </c>
      <c r="F189" s="57" t="s">
        <v>310</v>
      </c>
      <c r="H189" s="59" t="n">
        <v>5</v>
      </c>
      <c r="I189" s="30" t="n">
        <f aca="false">J176</f>
        <v>486.24</v>
      </c>
      <c r="J189" s="30" t="n">
        <f aca="false">H189%*I189</f>
        <v>24.312</v>
      </c>
      <c r="K189" s="1" t="n">
        <v>37</v>
      </c>
    </row>
    <row r="190" customFormat="false" ht="15" hidden="false" customHeight="false" outlineLevel="0" collapsed="false">
      <c r="A190" s="62"/>
      <c r="B190" s="62"/>
      <c r="C190" s="62"/>
      <c r="D190" s="62"/>
      <c r="E190" s="62"/>
      <c r="F190" s="62"/>
      <c r="G190" s="62"/>
      <c r="H190" s="62"/>
      <c r="I190" s="62"/>
      <c r="J190" s="63" t="n">
        <f aca="false">ROUND(SUM(J189),2)</f>
        <v>24.31</v>
      </c>
    </row>
    <row r="192" customFormat="false" ht="15" hidden="false" customHeight="false" outlineLevel="0" collapsed="false">
      <c r="A192" s="14" t="s">
        <v>276</v>
      </c>
      <c r="B192" s="14" t="str">
        <f aca="false">PROVISIONALES!A15</f>
        <v>1.1.2.1</v>
      </c>
      <c r="C192" s="14" t="s">
        <v>152</v>
      </c>
      <c r="D192" s="14"/>
      <c r="E192" s="14"/>
      <c r="F192" s="14"/>
      <c r="G192" s="14"/>
      <c r="H192" s="14"/>
      <c r="I192" s="14"/>
    </row>
    <row r="193" customFormat="false" ht="15" hidden="false" customHeight="false" outlineLevel="0" collapsed="false">
      <c r="A193" s="14" t="s">
        <v>277</v>
      </c>
      <c r="B193" s="14" t="s">
        <v>331</v>
      </c>
      <c r="C193" s="38" t="s">
        <v>279</v>
      </c>
      <c r="D193" s="54" t="n">
        <v>1</v>
      </c>
      <c r="E193" s="38" t="s">
        <v>280</v>
      </c>
      <c r="F193" s="54" t="n">
        <f aca="false">D193</f>
        <v>1</v>
      </c>
      <c r="G193" s="14" t="s">
        <v>281</v>
      </c>
      <c r="I193" s="38" t="s">
        <v>153</v>
      </c>
      <c r="J193" s="55" t="n">
        <f aca="false">J197</f>
        <v>251.61</v>
      </c>
    </row>
    <row r="194" customFormat="false" ht="15" hidden="false" customHeight="false" outlineLevel="0" collapsed="false">
      <c r="A194" s="14" t="s">
        <v>282</v>
      </c>
      <c r="B194" s="14" t="s">
        <v>283</v>
      </c>
      <c r="F194" s="38" t="s">
        <v>121</v>
      </c>
      <c r="G194" s="38" t="s">
        <v>284</v>
      </c>
      <c r="H194" s="38" t="s">
        <v>285</v>
      </c>
      <c r="I194" s="38" t="s">
        <v>286</v>
      </c>
      <c r="J194" s="38" t="s">
        <v>287</v>
      </c>
    </row>
    <row r="195" customFormat="false" ht="15" hidden="false" customHeight="false" outlineLevel="0" collapsed="false">
      <c r="B195" s="56" t="s">
        <v>293</v>
      </c>
    </row>
    <row r="196" customFormat="false" ht="15" hidden="false" customHeight="false" outlineLevel="0" collapsed="false">
      <c r="B196" s="1" t="s">
        <v>152</v>
      </c>
      <c r="F196" s="57" t="s">
        <v>153</v>
      </c>
      <c r="G196" s="58"/>
      <c r="H196" s="59" t="n">
        <v>1</v>
      </c>
      <c r="I196" s="1" t="n">
        <v>251.61</v>
      </c>
      <c r="J196" s="30" t="n">
        <f aca="false">H196*I196</f>
        <v>251.61</v>
      </c>
      <c r="K196" s="1" t="n">
        <v>39</v>
      </c>
    </row>
    <row r="197" customFormat="false" ht="15" hidden="false" customHeight="false" outlineLevel="0" collapsed="false">
      <c r="A197" s="62"/>
      <c r="B197" s="62"/>
      <c r="C197" s="62"/>
      <c r="D197" s="62"/>
      <c r="E197" s="62"/>
      <c r="F197" s="62"/>
      <c r="G197" s="62"/>
      <c r="H197" s="62"/>
      <c r="I197" s="62"/>
      <c r="J197" s="63" t="n">
        <f aca="false">ROUND(SUM(J196),2)</f>
        <v>251.61</v>
      </c>
    </row>
    <row r="199" customFormat="false" ht="15" hidden="false" customHeight="false" outlineLevel="0" collapsed="false">
      <c r="A199" s="14" t="s">
        <v>276</v>
      </c>
      <c r="B199" s="14" t="str">
        <f aca="false">PROVISIONALES!A16</f>
        <v>1.1.2.2</v>
      </c>
      <c r="C199" s="14" t="s">
        <v>155</v>
      </c>
      <c r="D199" s="14"/>
      <c r="E199" s="14"/>
      <c r="F199" s="14"/>
      <c r="G199" s="14"/>
      <c r="H199" s="14"/>
      <c r="I199" s="14"/>
    </row>
    <row r="200" customFormat="false" ht="15" hidden="false" customHeight="false" outlineLevel="0" collapsed="false">
      <c r="A200" s="14" t="s">
        <v>277</v>
      </c>
      <c r="B200" s="14" t="s">
        <v>332</v>
      </c>
      <c r="C200" s="38" t="s">
        <v>279</v>
      </c>
      <c r="D200" s="54" t="n">
        <v>1</v>
      </c>
      <c r="E200" s="38" t="s">
        <v>280</v>
      </c>
      <c r="F200" s="54" t="n">
        <f aca="false">D200</f>
        <v>1</v>
      </c>
      <c r="G200" s="14" t="s">
        <v>281</v>
      </c>
      <c r="I200" s="38" t="s">
        <v>156</v>
      </c>
      <c r="J200" s="55" t="n">
        <f aca="false">J204</f>
        <v>185.89</v>
      </c>
    </row>
    <row r="201" customFormat="false" ht="15" hidden="false" customHeight="false" outlineLevel="0" collapsed="false">
      <c r="A201" s="14" t="s">
        <v>282</v>
      </c>
      <c r="B201" s="14" t="s">
        <v>283</v>
      </c>
      <c r="F201" s="38" t="s">
        <v>121</v>
      </c>
      <c r="G201" s="38" t="s">
        <v>284</v>
      </c>
      <c r="H201" s="38" t="s">
        <v>285</v>
      </c>
      <c r="I201" s="38" t="s">
        <v>286</v>
      </c>
      <c r="J201" s="38" t="s">
        <v>287</v>
      </c>
    </row>
    <row r="202" customFormat="false" ht="15" hidden="false" customHeight="false" outlineLevel="0" collapsed="false">
      <c r="B202" s="56" t="s">
        <v>293</v>
      </c>
    </row>
    <row r="203" customFormat="false" ht="15" hidden="false" customHeight="false" outlineLevel="0" collapsed="false">
      <c r="B203" s="1" t="s">
        <v>155</v>
      </c>
      <c r="F203" s="57" t="s">
        <v>153</v>
      </c>
      <c r="G203" s="58"/>
      <c r="H203" s="59" t="n">
        <v>1</v>
      </c>
      <c r="I203" s="1" t="n">
        <v>185.89</v>
      </c>
      <c r="J203" s="30" t="n">
        <f aca="false">H203*I203</f>
        <v>185.89</v>
      </c>
      <c r="K203" s="1" t="n">
        <v>39</v>
      </c>
    </row>
    <row r="204" customFormat="false" ht="15" hidden="false" customHeight="false" outlineLevel="0" collapsed="false">
      <c r="A204" s="62"/>
      <c r="B204" s="62"/>
      <c r="C204" s="62"/>
      <c r="D204" s="62"/>
      <c r="E204" s="62"/>
      <c r="F204" s="62"/>
      <c r="G204" s="62"/>
      <c r="H204" s="62"/>
      <c r="I204" s="62"/>
      <c r="J204" s="63" t="n">
        <f aca="false">ROUND(SUM(J203),2)</f>
        <v>185.89</v>
      </c>
    </row>
    <row r="206" customFormat="false" ht="15" hidden="false" customHeight="false" outlineLevel="0" collapsed="false">
      <c r="A206" s="14" t="s">
        <v>276</v>
      </c>
      <c r="B206" s="14" t="str">
        <f aca="false">PROVISIONALES!A17</f>
        <v>1.1.2.3</v>
      </c>
      <c r="C206" s="14" t="s">
        <v>158</v>
      </c>
      <c r="D206" s="14"/>
      <c r="E206" s="14"/>
      <c r="F206" s="14"/>
      <c r="G206" s="14"/>
      <c r="H206" s="14"/>
      <c r="I206" s="14"/>
    </row>
    <row r="207" customFormat="false" ht="15" hidden="false" customHeight="false" outlineLevel="0" collapsed="false">
      <c r="A207" s="14" t="s">
        <v>277</v>
      </c>
      <c r="B207" s="14" t="s">
        <v>331</v>
      </c>
      <c r="C207" s="38" t="s">
        <v>279</v>
      </c>
      <c r="D207" s="54" t="n">
        <v>1</v>
      </c>
      <c r="E207" s="38" t="s">
        <v>280</v>
      </c>
      <c r="F207" s="54" t="n">
        <f aca="false">D207</f>
        <v>1</v>
      </c>
      <c r="G207" s="14" t="s">
        <v>281</v>
      </c>
      <c r="I207" s="38" t="s">
        <v>153</v>
      </c>
      <c r="J207" s="55" t="n">
        <f aca="false">J211</f>
        <v>976.39</v>
      </c>
    </row>
    <row r="208" customFormat="false" ht="15" hidden="false" customHeight="false" outlineLevel="0" collapsed="false">
      <c r="A208" s="14" t="s">
        <v>282</v>
      </c>
      <c r="B208" s="14" t="s">
        <v>283</v>
      </c>
      <c r="F208" s="38" t="s">
        <v>121</v>
      </c>
      <c r="G208" s="38" t="s">
        <v>284</v>
      </c>
      <c r="H208" s="38" t="s">
        <v>285</v>
      </c>
      <c r="I208" s="38" t="s">
        <v>286</v>
      </c>
      <c r="J208" s="38" t="s">
        <v>287</v>
      </c>
    </row>
    <row r="209" customFormat="false" ht="15" hidden="false" customHeight="false" outlineLevel="0" collapsed="false">
      <c r="B209" s="56" t="s">
        <v>293</v>
      </c>
    </row>
    <row r="210" customFormat="false" ht="15" hidden="false" customHeight="false" outlineLevel="0" collapsed="false">
      <c r="B210" s="1" t="s">
        <v>158</v>
      </c>
      <c r="F210" s="57" t="s">
        <v>153</v>
      </c>
      <c r="G210" s="58"/>
      <c r="H210" s="59" t="n">
        <v>1</v>
      </c>
      <c r="I210" s="1" t="n">
        <v>976.39</v>
      </c>
      <c r="J210" s="30" t="n">
        <f aca="false">H210*I210</f>
        <v>976.39</v>
      </c>
      <c r="K210" s="1" t="n">
        <v>39</v>
      </c>
    </row>
    <row r="211" customFormat="false" ht="15" hidden="false" customHeight="false" outlineLevel="0" collapsed="false">
      <c r="A211" s="62"/>
      <c r="B211" s="62"/>
      <c r="C211" s="62"/>
      <c r="D211" s="62"/>
      <c r="E211" s="62"/>
      <c r="F211" s="62"/>
      <c r="G211" s="62"/>
      <c r="H211" s="62"/>
      <c r="I211" s="62"/>
      <c r="J211" s="63" t="n">
        <f aca="false">ROUND(SUM(J210),2)</f>
        <v>976.39</v>
      </c>
    </row>
    <row r="213" customFormat="false" ht="15" hidden="false" customHeight="false" outlineLevel="0" collapsed="false">
      <c r="A213" s="14" t="s">
        <v>276</v>
      </c>
      <c r="B213" s="14" t="str">
        <f aca="false">PROVISIONALES!A18</f>
        <v>1.1.2.4</v>
      </c>
      <c r="C213" s="14" t="s">
        <v>160</v>
      </c>
      <c r="D213" s="14"/>
      <c r="E213" s="14"/>
      <c r="F213" s="14"/>
      <c r="G213" s="14"/>
      <c r="H213" s="14"/>
      <c r="I213" s="14"/>
    </row>
    <row r="214" customFormat="false" ht="15" hidden="false" customHeight="false" outlineLevel="0" collapsed="false">
      <c r="A214" s="14" t="s">
        <v>277</v>
      </c>
      <c r="B214" s="14" t="s">
        <v>332</v>
      </c>
      <c r="C214" s="38" t="s">
        <v>279</v>
      </c>
      <c r="D214" s="54" t="n">
        <v>1</v>
      </c>
      <c r="E214" s="38" t="s">
        <v>280</v>
      </c>
      <c r="F214" s="54" t="n">
        <f aca="false">D214</f>
        <v>1</v>
      </c>
      <c r="G214" s="14" t="s">
        <v>281</v>
      </c>
      <c r="I214" s="38" t="s">
        <v>156</v>
      </c>
      <c r="J214" s="55" t="n">
        <f aca="false">J218</f>
        <v>185.89</v>
      </c>
    </row>
    <row r="215" customFormat="false" ht="15" hidden="false" customHeight="false" outlineLevel="0" collapsed="false">
      <c r="A215" s="14" t="s">
        <v>282</v>
      </c>
      <c r="B215" s="14" t="s">
        <v>283</v>
      </c>
      <c r="F215" s="38" t="s">
        <v>121</v>
      </c>
      <c r="G215" s="38" t="s">
        <v>284</v>
      </c>
      <c r="H215" s="38" t="s">
        <v>285</v>
      </c>
      <c r="I215" s="38" t="s">
        <v>286</v>
      </c>
      <c r="J215" s="38" t="s">
        <v>287</v>
      </c>
    </row>
    <row r="216" customFormat="false" ht="15" hidden="false" customHeight="false" outlineLevel="0" collapsed="false">
      <c r="B216" s="56" t="s">
        <v>293</v>
      </c>
    </row>
    <row r="217" customFormat="false" ht="15" hidden="false" customHeight="false" outlineLevel="0" collapsed="false">
      <c r="B217" s="1" t="s">
        <v>160</v>
      </c>
      <c r="F217" s="57" t="s">
        <v>153</v>
      </c>
      <c r="G217" s="58"/>
      <c r="H217" s="59" t="n">
        <v>1</v>
      </c>
      <c r="I217" s="1" t="n">
        <v>185.89</v>
      </c>
      <c r="J217" s="30" t="n">
        <f aca="false">H217*I217</f>
        <v>185.89</v>
      </c>
      <c r="K217" s="1" t="n">
        <v>39</v>
      </c>
    </row>
    <row r="218" customFormat="false" ht="15" hidden="false" customHeight="false" outlineLevel="0" collapsed="false">
      <c r="A218" s="62"/>
      <c r="B218" s="62"/>
      <c r="C218" s="62"/>
      <c r="D218" s="62"/>
      <c r="E218" s="62"/>
      <c r="F218" s="62"/>
      <c r="G218" s="62"/>
      <c r="H218" s="62"/>
      <c r="I218" s="62"/>
      <c r="J218" s="63" t="n">
        <f aca="false">ROUND(SUM(J217),2)</f>
        <v>185.89</v>
      </c>
    </row>
    <row r="220" customFormat="false" ht="15" hidden="false" customHeight="false" outlineLevel="0" collapsed="false">
      <c r="A220" s="14" t="s">
        <v>333</v>
      </c>
      <c r="B220" s="14" t="str">
        <f aca="false">PROVISIONALES!A21</f>
        <v>1.2.1.1</v>
      </c>
      <c r="C220" s="14" t="s">
        <v>334</v>
      </c>
      <c r="D220" s="14"/>
      <c r="E220" s="14"/>
      <c r="F220" s="14"/>
      <c r="G220" s="14"/>
      <c r="H220" s="14"/>
      <c r="I220" s="14"/>
    </row>
    <row r="221" customFormat="false" ht="15" hidden="false" customHeight="false" outlineLevel="0" collapsed="false">
      <c r="A221" s="14" t="s">
        <v>277</v>
      </c>
      <c r="B221" s="14" t="s">
        <v>278</v>
      </c>
      <c r="C221" s="38" t="s">
        <v>279</v>
      </c>
      <c r="D221" s="54" t="n">
        <v>300</v>
      </c>
      <c r="E221" s="38" t="s">
        <v>280</v>
      </c>
      <c r="F221" s="54" t="n">
        <f aca="false">D221</f>
        <v>300</v>
      </c>
      <c r="G221" s="14" t="s">
        <v>281</v>
      </c>
      <c r="I221" s="38" t="s">
        <v>132</v>
      </c>
      <c r="J221" s="55" t="n">
        <f aca="false">J225+J228</f>
        <v>1.14</v>
      </c>
    </row>
    <row r="222" customFormat="false" ht="15" hidden="false" customHeight="false" outlineLevel="0" collapsed="false">
      <c r="A222" s="14" t="s">
        <v>282</v>
      </c>
      <c r="B222" s="14" t="s">
        <v>283</v>
      </c>
      <c r="F222" s="38" t="s">
        <v>121</v>
      </c>
      <c r="G222" s="38" t="s">
        <v>284</v>
      </c>
      <c r="H222" s="38" t="s">
        <v>285</v>
      </c>
      <c r="I222" s="38" t="s">
        <v>286</v>
      </c>
      <c r="J222" s="38" t="s">
        <v>287</v>
      </c>
    </row>
    <row r="223" customFormat="false" ht="15" hidden="false" customHeight="false" outlineLevel="0" collapsed="false">
      <c r="B223" s="56" t="s">
        <v>288</v>
      </c>
    </row>
    <row r="224" customFormat="false" ht="15" hidden="false" customHeight="false" outlineLevel="0" collapsed="false">
      <c r="B224" s="1" t="s">
        <v>292</v>
      </c>
      <c r="F224" s="57" t="s">
        <v>290</v>
      </c>
      <c r="G224" s="58" t="n">
        <v>2</v>
      </c>
      <c r="H224" s="59" t="n">
        <f aca="false">G224*8/$D$221</f>
        <v>0.0533333333333333</v>
      </c>
      <c r="I224" s="30" t="n">
        <v>20.51</v>
      </c>
      <c r="J224" s="30" t="n">
        <f aca="false">H224*I224</f>
        <v>1.09386666666667</v>
      </c>
      <c r="K224" s="1" t="n">
        <v>47</v>
      </c>
    </row>
    <row r="225" customFormat="false" ht="15" hidden="false" customHeight="false" outlineLevel="0" collapsed="false">
      <c r="J225" s="55" t="n">
        <f aca="false">ROUND(SUM(J224),2)</f>
        <v>1.09</v>
      </c>
    </row>
    <row r="226" customFormat="false" ht="15" hidden="false" customHeight="false" outlineLevel="0" collapsed="false">
      <c r="B226" s="56" t="s">
        <v>317</v>
      </c>
    </row>
    <row r="227" customFormat="false" ht="15" hidden="false" customHeight="false" outlineLevel="0" collapsed="false">
      <c r="B227" s="1" t="s">
        <v>309</v>
      </c>
      <c r="F227" s="57" t="s">
        <v>310</v>
      </c>
      <c r="H227" s="59" t="n">
        <v>5</v>
      </c>
      <c r="I227" s="30" t="n">
        <f aca="false">J224</f>
        <v>1.09386666666667</v>
      </c>
      <c r="J227" s="30" t="n">
        <f aca="false">H227%*I227</f>
        <v>0.0546933333333333</v>
      </c>
      <c r="K227" s="1" t="n">
        <v>37</v>
      </c>
    </row>
    <row r="228" customFormat="false" ht="15" hidden="false" customHeight="false" outlineLevel="0" collapsed="false">
      <c r="A228" s="62"/>
      <c r="B228" s="62"/>
      <c r="C228" s="62"/>
      <c r="D228" s="62"/>
      <c r="E228" s="62"/>
      <c r="F228" s="62"/>
      <c r="G228" s="62"/>
      <c r="H228" s="62"/>
      <c r="I228" s="62"/>
      <c r="J228" s="63" t="n">
        <f aca="false">ROUND(SUM(J227),2)</f>
        <v>0.05</v>
      </c>
    </row>
    <row r="230" customFormat="false" ht="15" hidden="false" customHeight="false" outlineLevel="0" collapsed="false">
      <c r="A230" s="14" t="s">
        <v>333</v>
      </c>
      <c r="B230" s="14" t="str">
        <f aca="false">PROVISIONALES!A22</f>
        <v>1.2.1.2</v>
      </c>
      <c r="C230" s="14" t="s">
        <v>335</v>
      </c>
      <c r="D230" s="14"/>
      <c r="E230" s="14"/>
      <c r="F230" s="14"/>
      <c r="G230" s="14"/>
      <c r="H230" s="14"/>
      <c r="I230" s="14"/>
    </row>
    <row r="231" customFormat="false" ht="15" hidden="false" customHeight="false" outlineLevel="0" collapsed="false">
      <c r="A231" s="14" t="s">
        <v>277</v>
      </c>
      <c r="B231" s="14" t="s">
        <v>278</v>
      </c>
      <c r="C231" s="38" t="s">
        <v>279</v>
      </c>
      <c r="D231" s="54" t="n">
        <v>450</v>
      </c>
      <c r="E231" s="38" t="s">
        <v>280</v>
      </c>
      <c r="F231" s="54" t="n">
        <f aca="false">D231</f>
        <v>450</v>
      </c>
      <c r="G231" s="14" t="s">
        <v>281</v>
      </c>
      <c r="I231" s="38" t="s">
        <v>132</v>
      </c>
      <c r="J231" s="55" t="n">
        <f aca="false">J235+J239</f>
        <v>1.36</v>
      </c>
    </row>
    <row r="232" customFormat="false" ht="15" hidden="false" customHeight="false" outlineLevel="0" collapsed="false">
      <c r="A232" s="14" t="s">
        <v>282</v>
      </c>
      <c r="B232" s="14" t="s">
        <v>283</v>
      </c>
      <c r="F232" s="38" t="s">
        <v>121</v>
      </c>
      <c r="G232" s="38" t="s">
        <v>284</v>
      </c>
      <c r="H232" s="38" t="s">
        <v>285</v>
      </c>
      <c r="I232" s="38" t="s">
        <v>286</v>
      </c>
      <c r="J232" s="38" t="s">
        <v>287</v>
      </c>
    </row>
    <row r="233" customFormat="false" ht="15" hidden="false" customHeight="false" outlineLevel="0" collapsed="false">
      <c r="B233" s="56" t="s">
        <v>288</v>
      </c>
    </row>
    <row r="234" customFormat="false" ht="15" hidden="false" customHeight="false" outlineLevel="0" collapsed="false">
      <c r="B234" s="1" t="s">
        <v>292</v>
      </c>
      <c r="F234" s="57" t="s">
        <v>290</v>
      </c>
      <c r="G234" s="58" t="n">
        <v>3</v>
      </c>
      <c r="H234" s="59" t="n">
        <f aca="false">G234*8/$D$231</f>
        <v>0.0533333333333333</v>
      </c>
      <c r="I234" s="30" t="n">
        <v>20.51</v>
      </c>
      <c r="J234" s="30" t="n">
        <f aca="false">H234*I234</f>
        <v>1.09386666666667</v>
      </c>
      <c r="K234" s="1" t="n">
        <v>47</v>
      </c>
    </row>
    <row r="235" customFormat="false" ht="15" hidden="false" customHeight="false" outlineLevel="0" collapsed="false">
      <c r="J235" s="55" t="n">
        <f aca="false">ROUND(SUM(J234),2)</f>
        <v>1.09</v>
      </c>
    </row>
    <row r="236" customFormat="false" ht="15" hidden="false" customHeight="false" outlineLevel="0" collapsed="false">
      <c r="B236" s="56" t="s">
        <v>317</v>
      </c>
    </row>
    <row r="237" customFormat="false" ht="15" hidden="false" customHeight="false" outlineLevel="0" collapsed="false">
      <c r="B237" s="1" t="s">
        <v>336</v>
      </c>
      <c r="F237" s="57" t="s">
        <v>337</v>
      </c>
      <c r="G237" s="58" t="n">
        <v>0.1</v>
      </c>
      <c r="H237" s="59" t="n">
        <f aca="false">G237*8/$D$231</f>
        <v>0.00177777777777778</v>
      </c>
      <c r="I237" s="30" t="n">
        <v>118.64</v>
      </c>
      <c r="J237" s="30" t="n">
        <f aca="false">H237*I237</f>
        <v>0.210915555555556</v>
      </c>
      <c r="K237" s="1" t="n">
        <v>48</v>
      </c>
    </row>
    <row r="238" customFormat="false" ht="15" hidden="false" customHeight="false" outlineLevel="0" collapsed="false">
      <c r="B238" s="1" t="s">
        <v>309</v>
      </c>
      <c r="F238" s="57" t="s">
        <v>310</v>
      </c>
      <c r="H238" s="59" t="n">
        <v>5</v>
      </c>
      <c r="I238" s="30" t="n">
        <f aca="false">J234</f>
        <v>1.09386666666667</v>
      </c>
      <c r="J238" s="30" t="n">
        <f aca="false">H238%*I238</f>
        <v>0.0546933333333333</v>
      </c>
      <c r="K238" s="1" t="n">
        <v>37</v>
      </c>
    </row>
    <row r="239" customFormat="false" ht="15" hidden="false" customHeight="false" outlineLevel="0" collapsed="false">
      <c r="A239" s="62"/>
      <c r="B239" s="62"/>
      <c r="C239" s="62"/>
      <c r="D239" s="62"/>
      <c r="E239" s="62"/>
      <c r="F239" s="62"/>
      <c r="G239" s="62"/>
      <c r="H239" s="62"/>
      <c r="I239" s="62"/>
      <c r="J239" s="63" t="n">
        <f aca="false">ROUND(SUM(J237:J238),2)</f>
        <v>0.27</v>
      </c>
    </row>
    <row r="241" customFormat="false" ht="15" hidden="false" customHeight="false" outlineLevel="0" collapsed="false">
      <c r="A241" s="14" t="s">
        <v>276</v>
      </c>
      <c r="B241" s="14" t="str">
        <f aca="false">PROVISIONALES!A24</f>
        <v>1.2.2.1</v>
      </c>
      <c r="C241" s="14" t="s">
        <v>171</v>
      </c>
      <c r="D241" s="14"/>
      <c r="E241" s="14"/>
      <c r="F241" s="14"/>
      <c r="G241" s="14"/>
      <c r="H241" s="14"/>
      <c r="I241" s="14"/>
    </row>
    <row r="242" customFormat="false" ht="15" hidden="false" customHeight="false" outlineLevel="0" collapsed="false">
      <c r="A242" s="14" t="s">
        <v>277</v>
      </c>
      <c r="B242" s="14" t="s">
        <v>331</v>
      </c>
      <c r="C242" s="38" t="s">
        <v>279</v>
      </c>
      <c r="D242" s="54" t="n">
        <v>1</v>
      </c>
      <c r="E242" s="38" t="s">
        <v>280</v>
      </c>
      <c r="F242" s="54" t="n">
        <f aca="false">D242</f>
        <v>1</v>
      </c>
      <c r="G242" s="14" t="s">
        <v>281</v>
      </c>
      <c r="I242" s="38" t="s">
        <v>153</v>
      </c>
      <c r="J242" s="70" t="n">
        <f aca="false">J246</f>
        <v>588.31</v>
      </c>
    </row>
    <row r="243" customFormat="false" ht="15" hidden="false" customHeight="false" outlineLevel="0" collapsed="false">
      <c r="A243" s="14" t="s">
        <v>282</v>
      </c>
      <c r="B243" s="14" t="s">
        <v>283</v>
      </c>
      <c r="F243" s="38" t="s">
        <v>121</v>
      </c>
      <c r="G243" s="38" t="s">
        <v>284</v>
      </c>
      <c r="H243" s="38" t="s">
        <v>285</v>
      </c>
      <c r="I243" s="38" t="s">
        <v>286</v>
      </c>
      <c r="J243" s="38" t="s">
        <v>287</v>
      </c>
    </row>
    <row r="244" customFormat="false" ht="15" hidden="false" customHeight="false" outlineLevel="0" collapsed="false">
      <c r="B244" s="56" t="s">
        <v>293</v>
      </c>
    </row>
    <row r="245" customFormat="false" ht="15" hidden="false" customHeight="false" outlineLevel="0" collapsed="false">
      <c r="B245" s="1" t="s">
        <v>158</v>
      </c>
      <c r="F245" s="57" t="s">
        <v>153</v>
      </c>
      <c r="G245" s="58"/>
      <c r="H245" s="59" t="n">
        <v>1</v>
      </c>
      <c r="I245" s="65" t="n">
        <f aca="false">'Obras provisionales'!I30</f>
        <v>588.310768291427</v>
      </c>
      <c r="J245" s="30" t="n">
        <f aca="false">H245*I245</f>
        <v>588.310768291427</v>
      </c>
      <c r="K245" s="1" t="n">
        <v>39</v>
      </c>
    </row>
    <row r="246" customFormat="false" ht="15" hidden="false" customHeight="false" outlineLevel="0" collapsed="false">
      <c r="A246" s="62"/>
      <c r="B246" s="62"/>
      <c r="C246" s="62"/>
      <c r="D246" s="62"/>
      <c r="E246" s="62"/>
      <c r="F246" s="62"/>
      <c r="G246" s="62"/>
      <c r="H246" s="62"/>
      <c r="I246" s="62"/>
      <c r="J246" s="63" t="n">
        <f aca="false">ROUND(SUM(J245),2)</f>
        <v>588.31</v>
      </c>
    </row>
    <row r="248" customFormat="false" ht="15" hidden="false" customHeight="false" outlineLevel="0" collapsed="false">
      <c r="A248" s="14" t="s">
        <v>276</v>
      </c>
      <c r="B248" s="14" t="str">
        <f aca="false">PROVISIONALES!A25</f>
        <v>1.2.2.2</v>
      </c>
      <c r="C248" s="14" t="s">
        <v>173</v>
      </c>
      <c r="D248" s="14"/>
      <c r="E248" s="14"/>
      <c r="F248" s="14"/>
      <c r="G248" s="14"/>
      <c r="H248" s="14"/>
      <c r="I248" s="14"/>
    </row>
    <row r="249" customFormat="false" ht="15" hidden="false" customHeight="false" outlineLevel="0" collapsed="false">
      <c r="A249" s="14" t="s">
        <v>277</v>
      </c>
      <c r="B249" s="14" t="s">
        <v>331</v>
      </c>
      <c r="C249" s="38" t="s">
        <v>279</v>
      </c>
      <c r="D249" s="54" t="n">
        <v>1</v>
      </c>
      <c r="E249" s="38" t="s">
        <v>280</v>
      </c>
      <c r="F249" s="54" t="n">
        <f aca="false">D249</f>
        <v>1</v>
      </c>
      <c r="G249" s="14" t="s">
        <v>281</v>
      </c>
      <c r="I249" s="38" t="s">
        <v>153</v>
      </c>
      <c r="J249" s="55" t="n">
        <f aca="false">J253</f>
        <v>2353.24</v>
      </c>
    </row>
    <row r="250" customFormat="false" ht="15" hidden="false" customHeight="false" outlineLevel="0" collapsed="false">
      <c r="A250" s="14" t="s">
        <v>282</v>
      </c>
      <c r="B250" s="14" t="s">
        <v>283</v>
      </c>
      <c r="F250" s="38" t="s">
        <v>121</v>
      </c>
      <c r="G250" s="38" t="s">
        <v>284</v>
      </c>
      <c r="H250" s="38" t="s">
        <v>285</v>
      </c>
      <c r="I250" s="38" t="s">
        <v>286</v>
      </c>
      <c r="J250" s="38" t="s">
        <v>287</v>
      </c>
    </row>
    <row r="251" customFormat="false" ht="15" hidden="false" customHeight="false" outlineLevel="0" collapsed="false">
      <c r="B251" s="56" t="s">
        <v>293</v>
      </c>
    </row>
    <row r="252" customFormat="false" ht="15" hidden="false" customHeight="false" outlineLevel="0" collapsed="false">
      <c r="B252" s="1" t="s">
        <v>173</v>
      </c>
      <c r="F252" s="57" t="s">
        <v>153</v>
      </c>
      <c r="G252" s="58"/>
      <c r="H252" s="59" t="n">
        <v>1</v>
      </c>
      <c r="I252" s="65" t="n">
        <f aca="false">'Obras provisionales'!I31</f>
        <v>2353.24307316571</v>
      </c>
      <c r="J252" s="30" t="n">
        <f aca="false">H252*I252</f>
        <v>2353.24307316571</v>
      </c>
      <c r="K252" s="1" t="n">
        <v>32</v>
      </c>
    </row>
    <row r="253" customFormat="false" ht="15" hidden="false" customHeight="false" outlineLevel="0" collapsed="false">
      <c r="A253" s="62"/>
      <c r="B253" s="62"/>
      <c r="C253" s="62"/>
      <c r="D253" s="62"/>
      <c r="E253" s="62"/>
      <c r="F253" s="62"/>
      <c r="G253" s="62"/>
      <c r="H253" s="62"/>
      <c r="I253" s="62"/>
      <c r="J253" s="63" t="n">
        <f aca="false">ROUND(SUM(J252),2)</f>
        <v>2353.24</v>
      </c>
    </row>
    <row r="255" customFormat="false" ht="15" hidden="false" customHeight="false" outlineLevel="0" collapsed="false">
      <c r="A255" s="14" t="s">
        <v>333</v>
      </c>
      <c r="B255" s="14" t="str">
        <f aca="false">PROVISIONALES!A27</f>
        <v>1.2.3.1</v>
      </c>
      <c r="C255" s="14" t="s">
        <v>177</v>
      </c>
      <c r="D255" s="14"/>
      <c r="E255" s="14"/>
      <c r="F255" s="14"/>
      <c r="G255" s="14"/>
      <c r="H255" s="14"/>
      <c r="I255" s="14"/>
    </row>
    <row r="256" customFormat="false" ht="15" hidden="false" customHeight="false" outlineLevel="0" collapsed="false">
      <c r="A256" s="14" t="s">
        <v>277</v>
      </c>
      <c r="B256" s="14" t="s">
        <v>278</v>
      </c>
      <c r="C256" s="38" t="s">
        <v>279</v>
      </c>
      <c r="D256" s="54" t="n">
        <v>600</v>
      </c>
      <c r="E256" s="38" t="s">
        <v>280</v>
      </c>
      <c r="F256" s="54" t="n">
        <f aca="false">D256</f>
        <v>600</v>
      </c>
      <c r="G256" s="14" t="s">
        <v>281</v>
      </c>
      <c r="I256" s="38" t="s">
        <v>132</v>
      </c>
      <c r="J256" s="55" t="n">
        <f aca="false">J261+J268+J273</f>
        <v>3.98</v>
      </c>
    </row>
    <row r="257" customFormat="false" ht="15" hidden="false" customHeight="false" outlineLevel="0" collapsed="false">
      <c r="A257" s="14" t="s">
        <v>282</v>
      </c>
      <c r="B257" s="14" t="s">
        <v>283</v>
      </c>
      <c r="F257" s="38" t="s">
        <v>121</v>
      </c>
      <c r="G257" s="38" t="s">
        <v>284</v>
      </c>
      <c r="H257" s="38" t="s">
        <v>285</v>
      </c>
      <c r="I257" s="38" t="s">
        <v>286</v>
      </c>
      <c r="J257" s="38" t="s">
        <v>287</v>
      </c>
    </row>
    <row r="258" customFormat="false" ht="15" hidden="false" customHeight="false" outlineLevel="0" collapsed="false">
      <c r="B258" s="56" t="s">
        <v>288</v>
      </c>
    </row>
    <row r="259" customFormat="false" ht="15" hidden="false" customHeight="false" outlineLevel="0" collapsed="false">
      <c r="B259" s="1" t="s">
        <v>289</v>
      </c>
      <c r="F259" s="57" t="s">
        <v>290</v>
      </c>
      <c r="G259" s="58" t="n">
        <v>1</v>
      </c>
      <c r="H259" s="59" t="n">
        <f aca="false">G259*8/$D$256</f>
        <v>0.0133333333333333</v>
      </c>
      <c r="I259" s="30" t="n">
        <v>28.94</v>
      </c>
      <c r="J259" s="30" t="n">
        <f aca="false">H259*I259</f>
        <v>0.385866666666667</v>
      </c>
      <c r="K259" s="1" t="n">
        <v>47</v>
      </c>
    </row>
    <row r="260" customFormat="false" ht="15" hidden="false" customHeight="false" outlineLevel="0" collapsed="false">
      <c r="B260" s="1" t="s">
        <v>292</v>
      </c>
      <c r="F260" s="57" t="s">
        <v>290</v>
      </c>
      <c r="G260" s="58" t="n">
        <v>3</v>
      </c>
      <c r="H260" s="59" t="n">
        <f aca="false">G260*8/$D$256</f>
        <v>0.04</v>
      </c>
      <c r="I260" s="30" t="n">
        <v>20.51</v>
      </c>
      <c r="J260" s="30" t="n">
        <f aca="false">H260*I260</f>
        <v>0.8204</v>
      </c>
      <c r="K260" s="1" t="n">
        <v>47</v>
      </c>
    </row>
    <row r="261" customFormat="false" ht="15" hidden="false" customHeight="false" outlineLevel="0" collapsed="false">
      <c r="J261" s="55" t="n">
        <f aca="false">ROUND(SUM(J259:J260),2)</f>
        <v>1.21</v>
      </c>
    </row>
    <row r="262" customFormat="false" ht="15" hidden="false" customHeight="false" outlineLevel="0" collapsed="false">
      <c r="B262" s="56" t="s">
        <v>293</v>
      </c>
    </row>
    <row r="263" customFormat="false" ht="15" hidden="false" customHeight="false" outlineLevel="0" collapsed="false">
      <c r="B263" s="1" t="s">
        <v>300</v>
      </c>
      <c r="F263" s="57" t="s">
        <v>295</v>
      </c>
      <c r="H263" s="59" t="n">
        <v>0.01</v>
      </c>
      <c r="I263" s="30" t="n">
        <v>5.51</v>
      </c>
      <c r="J263" s="30" t="n">
        <f aca="false">H263*I263</f>
        <v>0.0551</v>
      </c>
      <c r="K263" s="1" t="n">
        <v>2</v>
      </c>
    </row>
    <row r="264" customFormat="false" ht="15" hidden="false" customHeight="false" outlineLevel="0" collapsed="false">
      <c r="B264" s="1" t="s">
        <v>338</v>
      </c>
      <c r="F264" s="57" t="s">
        <v>339</v>
      </c>
      <c r="H264" s="59" t="n">
        <v>0.001</v>
      </c>
      <c r="I264" s="30" t="n">
        <v>38.98</v>
      </c>
      <c r="J264" s="30" t="n">
        <f aca="false">H264*I264</f>
        <v>0.03898</v>
      </c>
      <c r="K264" s="1" t="n">
        <v>54</v>
      </c>
    </row>
    <row r="265" customFormat="false" ht="15" hidden="false" customHeight="false" outlineLevel="0" collapsed="false">
      <c r="B265" s="1" t="s">
        <v>340</v>
      </c>
      <c r="F265" s="57" t="s">
        <v>306</v>
      </c>
      <c r="H265" s="59" t="n">
        <v>0.02</v>
      </c>
      <c r="I265" s="30" t="n">
        <v>11.86</v>
      </c>
      <c r="J265" s="30" t="n">
        <f aca="false">H265*I265</f>
        <v>0.2372</v>
      </c>
      <c r="K265" s="1" t="n">
        <v>30</v>
      </c>
    </row>
    <row r="266" customFormat="false" ht="15" hidden="false" customHeight="false" outlineLevel="0" collapsed="false">
      <c r="B266" s="1" t="s">
        <v>341</v>
      </c>
      <c r="F266" s="57" t="s">
        <v>143</v>
      </c>
      <c r="H266" s="59" t="n">
        <v>0.19</v>
      </c>
      <c r="I266" s="30" t="n">
        <v>10</v>
      </c>
      <c r="J266" s="30" t="n">
        <f aca="false">H266*I266</f>
        <v>1.9</v>
      </c>
      <c r="K266" s="1" t="n">
        <v>39</v>
      </c>
    </row>
    <row r="267" customFormat="false" ht="15" hidden="false" customHeight="false" outlineLevel="0" collapsed="false">
      <c r="B267" s="1" t="s">
        <v>307</v>
      </c>
      <c r="F267" s="57" t="s">
        <v>304</v>
      </c>
      <c r="H267" s="59" t="n">
        <v>0.02</v>
      </c>
      <c r="I267" s="30" t="n">
        <v>5.8</v>
      </c>
      <c r="J267" s="30" t="n">
        <f aca="false">H267*I267</f>
        <v>0.116</v>
      </c>
      <c r="K267" s="1" t="n">
        <v>43</v>
      </c>
    </row>
    <row r="268" customFormat="false" ht="15" hidden="false" customHeight="false" outlineLevel="0" collapsed="false">
      <c r="F268" s="57"/>
      <c r="J268" s="55" t="n">
        <f aca="false">ROUND(SUM(J263:J267),2)</f>
        <v>2.35</v>
      </c>
    </row>
    <row r="269" customFormat="false" ht="15" hidden="false" customHeight="false" outlineLevel="0" collapsed="false">
      <c r="B269" s="56" t="s">
        <v>317</v>
      </c>
    </row>
    <row r="270" customFormat="false" ht="15" hidden="false" customHeight="false" outlineLevel="0" collapsed="false">
      <c r="B270" s="1" t="s">
        <v>309</v>
      </c>
      <c r="F270" s="57" t="s">
        <v>310</v>
      </c>
      <c r="H270" s="59" t="n">
        <v>5</v>
      </c>
      <c r="I270" s="30" t="n">
        <f aca="false">J261</f>
        <v>1.21</v>
      </c>
      <c r="J270" s="30" t="n">
        <f aca="false">H270%*I270</f>
        <v>0.0605</v>
      </c>
      <c r="K270" s="1" t="n">
        <v>37</v>
      </c>
    </row>
    <row r="271" customFormat="false" ht="15" hidden="false" customHeight="false" outlineLevel="0" collapsed="false">
      <c r="B271" s="1" t="s">
        <v>342</v>
      </c>
      <c r="F271" s="57" t="s">
        <v>337</v>
      </c>
      <c r="G271" s="58" t="n">
        <v>1</v>
      </c>
      <c r="H271" s="59" t="n">
        <f aca="false">G271*8/$D$256</f>
        <v>0.0133333333333333</v>
      </c>
      <c r="I271" s="30" t="n">
        <v>20</v>
      </c>
      <c r="J271" s="30" t="n">
        <f aca="false">H271*I271</f>
        <v>0.266666666666667</v>
      </c>
      <c r="K271" s="1" t="n">
        <v>49</v>
      </c>
    </row>
    <row r="272" customFormat="false" ht="15" hidden="false" customHeight="false" outlineLevel="0" collapsed="false">
      <c r="B272" s="1" t="s">
        <v>343</v>
      </c>
      <c r="F272" s="57" t="s">
        <v>337</v>
      </c>
      <c r="G272" s="58" t="n">
        <v>1</v>
      </c>
      <c r="H272" s="59" t="n">
        <f aca="false">G272*8/$D$256</f>
        <v>0.0133333333333333</v>
      </c>
      <c r="I272" s="30" t="n">
        <v>7.18</v>
      </c>
      <c r="J272" s="30" t="n">
        <f aca="false">H272*I272</f>
        <v>0.0957333333333333</v>
      </c>
      <c r="K272" s="1" t="n">
        <v>49</v>
      </c>
    </row>
    <row r="273" customFormat="false" ht="15" hidden="false" customHeight="false" outlineLevel="0" collapsed="false">
      <c r="A273" s="62"/>
      <c r="B273" s="62"/>
      <c r="C273" s="62"/>
      <c r="D273" s="62"/>
      <c r="E273" s="62"/>
      <c r="F273" s="62"/>
      <c r="G273" s="62"/>
      <c r="H273" s="62"/>
      <c r="I273" s="62"/>
      <c r="J273" s="63" t="n">
        <f aca="false">ROUND(SUM(J270:J272),2)</f>
        <v>0.42</v>
      </c>
    </row>
    <row r="275" customFormat="false" ht="15" hidden="false" customHeight="false" outlineLevel="0" collapsed="false">
      <c r="A275" s="14" t="s">
        <v>333</v>
      </c>
      <c r="B275" s="14" t="str">
        <f aca="false">PROVISIONALES!A28</f>
        <v>1.2.3.2</v>
      </c>
      <c r="C275" s="14" t="s">
        <v>344</v>
      </c>
      <c r="D275" s="14"/>
      <c r="E275" s="14"/>
      <c r="F275" s="14"/>
      <c r="G275" s="14"/>
      <c r="H275" s="14"/>
      <c r="I275" s="14"/>
    </row>
    <row r="276" customFormat="false" ht="15" hidden="false" customHeight="false" outlineLevel="0" collapsed="false">
      <c r="A276" s="14" t="s">
        <v>277</v>
      </c>
      <c r="B276" s="14" t="s">
        <v>278</v>
      </c>
      <c r="C276" s="38" t="s">
        <v>279</v>
      </c>
      <c r="D276" s="54" t="n">
        <v>600</v>
      </c>
      <c r="E276" s="38" t="s">
        <v>280</v>
      </c>
      <c r="F276" s="54" t="n">
        <f aca="false">D276</f>
        <v>600</v>
      </c>
      <c r="G276" s="14" t="s">
        <v>281</v>
      </c>
      <c r="I276" s="38" t="s">
        <v>132</v>
      </c>
      <c r="J276" s="55" t="n">
        <f aca="false">J281+J287+J292</f>
        <v>4.27</v>
      </c>
    </row>
    <row r="277" customFormat="false" ht="15" hidden="false" customHeight="false" outlineLevel="0" collapsed="false">
      <c r="A277" s="14" t="s">
        <v>282</v>
      </c>
      <c r="B277" s="14" t="s">
        <v>283</v>
      </c>
      <c r="F277" s="38" t="s">
        <v>121</v>
      </c>
      <c r="G277" s="38" t="s">
        <v>284</v>
      </c>
      <c r="H277" s="38" t="s">
        <v>285</v>
      </c>
      <c r="I277" s="38" t="s">
        <v>286</v>
      </c>
      <c r="J277" s="38" t="s">
        <v>287</v>
      </c>
    </row>
    <row r="278" customFormat="false" ht="15" hidden="false" customHeight="false" outlineLevel="0" collapsed="false">
      <c r="B278" s="56" t="s">
        <v>288</v>
      </c>
    </row>
    <row r="279" customFormat="false" ht="15" hidden="false" customHeight="false" outlineLevel="0" collapsed="false">
      <c r="B279" s="1" t="s">
        <v>289</v>
      </c>
      <c r="F279" s="57" t="s">
        <v>290</v>
      </c>
      <c r="G279" s="58" t="n">
        <v>1</v>
      </c>
      <c r="H279" s="59" t="n">
        <f aca="false">G279*8/$D$276</f>
        <v>0.0133333333333333</v>
      </c>
      <c r="I279" s="30" t="n">
        <v>28.94</v>
      </c>
      <c r="J279" s="30" t="n">
        <f aca="false">H279*I279</f>
        <v>0.385866666666667</v>
      </c>
      <c r="K279" s="1" t="n">
        <v>47</v>
      </c>
    </row>
    <row r="280" customFormat="false" ht="15" hidden="false" customHeight="false" outlineLevel="0" collapsed="false">
      <c r="B280" s="1" t="s">
        <v>292</v>
      </c>
      <c r="F280" s="57" t="s">
        <v>290</v>
      </c>
      <c r="G280" s="58" t="n">
        <v>3</v>
      </c>
      <c r="H280" s="59" t="n">
        <f aca="false">G280*8/$D$276</f>
        <v>0.04</v>
      </c>
      <c r="I280" s="30" t="n">
        <v>20.51</v>
      </c>
      <c r="J280" s="30" t="n">
        <f aca="false">H280*I280</f>
        <v>0.8204</v>
      </c>
      <c r="K280" s="1" t="n">
        <v>47</v>
      </c>
    </row>
    <row r="281" customFormat="false" ht="15" hidden="false" customHeight="false" outlineLevel="0" collapsed="false">
      <c r="J281" s="55" t="n">
        <f aca="false">ROUND(SUM(J279:J280),2)</f>
        <v>1.21</v>
      </c>
    </row>
    <row r="282" customFormat="false" ht="15" hidden="false" customHeight="false" outlineLevel="0" collapsed="false">
      <c r="B282" s="56" t="s">
        <v>293</v>
      </c>
    </row>
    <row r="283" customFormat="false" ht="15" hidden="false" customHeight="false" outlineLevel="0" collapsed="false">
      <c r="B283" s="1" t="s">
        <v>300</v>
      </c>
      <c r="F283" s="57" t="s">
        <v>295</v>
      </c>
      <c r="H283" s="59" t="n">
        <v>0.005</v>
      </c>
      <c r="I283" s="30" t="n">
        <v>5.51</v>
      </c>
      <c r="J283" s="30" t="n">
        <f aca="false">H283*I283</f>
        <v>0.02755</v>
      </c>
      <c r="K283" s="1" t="n">
        <v>2</v>
      </c>
    </row>
    <row r="284" customFormat="false" ht="15" hidden="false" customHeight="false" outlineLevel="0" collapsed="false">
      <c r="B284" s="1" t="s">
        <v>340</v>
      </c>
      <c r="F284" s="57" t="s">
        <v>306</v>
      </c>
      <c r="H284" s="59" t="n">
        <v>0.05</v>
      </c>
      <c r="I284" s="30" t="n">
        <v>11.86</v>
      </c>
      <c r="J284" s="30" t="n">
        <f aca="false">H284*I284</f>
        <v>0.593</v>
      </c>
      <c r="K284" s="1" t="n">
        <v>30</v>
      </c>
    </row>
    <row r="285" customFormat="false" ht="15" hidden="false" customHeight="false" outlineLevel="0" collapsed="false">
      <c r="B285" s="1" t="s">
        <v>341</v>
      </c>
      <c r="F285" s="57" t="s">
        <v>143</v>
      </c>
      <c r="H285" s="59" t="n">
        <v>0.19</v>
      </c>
      <c r="I285" s="30" t="n">
        <v>10</v>
      </c>
      <c r="J285" s="30" t="n">
        <f aca="false">H285*I285</f>
        <v>1.9</v>
      </c>
      <c r="K285" s="1" t="n">
        <v>39</v>
      </c>
    </row>
    <row r="286" customFormat="false" ht="15" hidden="false" customHeight="false" outlineLevel="0" collapsed="false">
      <c r="B286" s="1" t="s">
        <v>307</v>
      </c>
      <c r="F286" s="57" t="s">
        <v>304</v>
      </c>
      <c r="H286" s="59" t="n">
        <v>0.02</v>
      </c>
      <c r="I286" s="30" t="n">
        <v>5.8</v>
      </c>
      <c r="J286" s="30" t="n">
        <f aca="false">H286*I286</f>
        <v>0.116</v>
      </c>
      <c r="K286" s="1" t="n">
        <v>43</v>
      </c>
    </row>
    <row r="287" customFormat="false" ht="15" hidden="false" customHeight="false" outlineLevel="0" collapsed="false">
      <c r="F287" s="57"/>
      <c r="J287" s="55" t="n">
        <f aca="false">ROUND(SUM(J283:J286),2)</f>
        <v>2.64</v>
      </c>
    </row>
    <row r="288" customFormat="false" ht="15" hidden="false" customHeight="false" outlineLevel="0" collapsed="false">
      <c r="B288" s="56" t="s">
        <v>317</v>
      </c>
    </row>
    <row r="289" customFormat="false" ht="15" hidden="false" customHeight="false" outlineLevel="0" collapsed="false">
      <c r="B289" s="1" t="s">
        <v>309</v>
      </c>
      <c r="F289" s="57" t="s">
        <v>310</v>
      </c>
      <c r="H289" s="59" t="n">
        <v>5</v>
      </c>
      <c r="I289" s="30" t="n">
        <f aca="false">J281</f>
        <v>1.21</v>
      </c>
      <c r="J289" s="30" t="n">
        <f aca="false">H289%*I289</f>
        <v>0.0605</v>
      </c>
      <c r="K289" s="1" t="n">
        <v>37</v>
      </c>
    </row>
    <row r="290" customFormat="false" ht="15" hidden="false" customHeight="false" outlineLevel="0" collapsed="false">
      <c r="B290" s="1" t="s">
        <v>342</v>
      </c>
      <c r="F290" s="57" t="s">
        <v>337</v>
      </c>
      <c r="G290" s="58" t="n">
        <v>1</v>
      </c>
      <c r="H290" s="59" t="n">
        <f aca="false">G290*8/$D$276</f>
        <v>0.0133333333333333</v>
      </c>
      <c r="I290" s="30" t="n">
        <v>20</v>
      </c>
      <c r="J290" s="30" t="n">
        <f aca="false">H290*I290</f>
        <v>0.266666666666667</v>
      </c>
      <c r="K290" s="1" t="n">
        <v>49</v>
      </c>
    </row>
    <row r="291" customFormat="false" ht="15" hidden="false" customHeight="false" outlineLevel="0" collapsed="false">
      <c r="B291" s="1" t="s">
        <v>343</v>
      </c>
      <c r="F291" s="57" t="s">
        <v>337</v>
      </c>
      <c r="G291" s="58" t="n">
        <v>1</v>
      </c>
      <c r="H291" s="59" t="n">
        <f aca="false">G291*8/$D$276</f>
        <v>0.0133333333333333</v>
      </c>
      <c r="I291" s="30" t="n">
        <v>7.18</v>
      </c>
      <c r="J291" s="30" t="n">
        <f aca="false">H291*I291</f>
        <v>0.0957333333333333</v>
      </c>
      <c r="K291" s="1" t="n">
        <v>49</v>
      </c>
    </row>
    <row r="292" customFormat="false" ht="15" hidden="false" customHeight="false" outlineLevel="0" collapsed="false">
      <c r="A292" s="62"/>
      <c r="B292" s="62"/>
      <c r="C292" s="62"/>
      <c r="D292" s="62"/>
      <c r="E292" s="62"/>
      <c r="F292" s="62"/>
      <c r="G292" s="62"/>
      <c r="H292" s="62"/>
      <c r="I292" s="62"/>
      <c r="J292" s="63" t="n">
        <f aca="false">ROUND(SUM(J289:J291),2)</f>
        <v>0.42</v>
      </c>
    </row>
    <row r="294" customFormat="false" ht="15" hidden="false" customHeight="false" outlineLevel="0" collapsed="false">
      <c r="A294" s="14" t="s">
        <v>333</v>
      </c>
      <c r="B294" s="14" t="str">
        <f aca="false">PROVISIONALES!A31</f>
        <v>1.3.1.1</v>
      </c>
      <c r="C294" s="14" t="s">
        <v>345</v>
      </c>
      <c r="D294" s="14"/>
      <c r="E294" s="14"/>
      <c r="F294" s="14"/>
      <c r="G294" s="14"/>
      <c r="H294" s="14"/>
      <c r="I294" s="14"/>
    </row>
    <row r="295" customFormat="false" ht="15" hidden="false" customHeight="false" outlineLevel="0" collapsed="false">
      <c r="A295" s="14" t="s">
        <v>277</v>
      </c>
      <c r="B295" s="14" t="s">
        <v>346</v>
      </c>
      <c r="C295" s="38" t="s">
        <v>279</v>
      </c>
      <c r="D295" s="54" t="n">
        <v>1</v>
      </c>
      <c r="E295" s="38" t="s">
        <v>280</v>
      </c>
      <c r="F295" s="54" t="n">
        <f aca="false">D295</f>
        <v>1</v>
      </c>
      <c r="G295" s="14" t="s">
        <v>281</v>
      </c>
      <c r="I295" s="38" t="s">
        <v>347</v>
      </c>
      <c r="J295" s="55" t="n">
        <f aca="false">J318</f>
        <v>41043.35</v>
      </c>
    </row>
    <row r="296" customFormat="false" ht="15" hidden="false" customHeight="false" outlineLevel="0" collapsed="false">
      <c r="A296" s="14" t="s">
        <v>282</v>
      </c>
      <c r="B296" s="14" t="s">
        <v>283</v>
      </c>
      <c r="F296" s="38" t="s">
        <v>121</v>
      </c>
      <c r="G296" s="38" t="s">
        <v>284</v>
      </c>
      <c r="H296" s="38" t="s">
        <v>285</v>
      </c>
      <c r="I296" s="38" t="s">
        <v>286</v>
      </c>
      <c r="J296" s="38" t="s">
        <v>287</v>
      </c>
    </row>
    <row r="297" customFormat="false" ht="15" hidden="false" customHeight="false" outlineLevel="0" collapsed="false">
      <c r="B297" s="56" t="s">
        <v>293</v>
      </c>
    </row>
    <row r="298" customFormat="false" ht="15" hidden="false" customHeight="false" outlineLevel="0" collapsed="false">
      <c r="B298" s="1" t="s">
        <v>348</v>
      </c>
      <c r="F298" s="57" t="s">
        <v>148</v>
      </c>
      <c r="G298" s="58"/>
      <c r="H298" s="59" t="n">
        <v>20</v>
      </c>
      <c r="I298" s="1" t="n">
        <v>394.07</v>
      </c>
      <c r="J298" s="30" t="n">
        <f aca="false">H298*I298</f>
        <v>7881.4</v>
      </c>
      <c r="K298" s="1" t="n">
        <v>39</v>
      </c>
    </row>
    <row r="299" customFormat="false" ht="15" hidden="false" customHeight="false" outlineLevel="0" collapsed="false">
      <c r="B299" s="1" t="s">
        <v>349</v>
      </c>
      <c r="F299" s="57" t="s">
        <v>350</v>
      </c>
      <c r="H299" s="59" t="n">
        <v>40</v>
      </c>
      <c r="I299" s="1" t="n">
        <v>50.76</v>
      </c>
      <c r="J299" s="30" t="n">
        <f aca="false">H299*I299</f>
        <v>2030.4</v>
      </c>
      <c r="K299" s="1" t="n">
        <v>39</v>
      </c>
    </row>
    <row r="300" customFormat="false" ht="15" hidden="false" customHeight="false" outlineLevel="0" collapsed="false">
      <c r="B300" s="1" t="s">
        <v>351</v>
      </c>
      <c r="F300" s="57" t="s">
        <v>148</v>
      </c>
      <c r="H300" s="59" t="n">
        <v>120</v>
      </c>
      <c r="I300" s="1" t="n">
        <v>32.2</v>
      </c>
      <c r="J300" s="30" t="n">
        <f aca="false">H300*I300</f>
        <v>3864</v>
      </c>
      <c r="K300" s="1" t="n">
        <v>39</v>
      </c>
    </row>
    <row r="301" customFormat="false" ht="15" hidden="false" customHeight="false" outlineLevel="0" collapsed="false">
      <c r="B301" s="1" t="s">
        <v>352</v>
      </c>
      <c r="F301" s="57" t="s">
        <v>148</v>
      </c>
      <c r="H301" s="59" t="n">
        <v>120</v>
      </c>
      <c r="I301" s="1" t="n">
        <v>32.2</v>
      </c>
      <c r="J301" s="30" t="n">
        <f aca="false">H301*I301</f>
        <v>3864</v>
      </c>
      <c r="K301" s="1" t="n">
        <v>39</v>
      </c>
    </row>
    <row r="302" customFormat="false" ht="15" hidden="false" customHeight="false" outlineLevel="0" collapsed="false">
      <c r="B302" s="1" t="s">
        <v>353</v>
      </c>
      <c r="F302" s="57" t="s">
        <v>350</v>
      </c>
      <c r="H302" s="59" t="n">
        <v>112</v>
      </c>
      <c r="I302" s="1" t="n">
        <v>11.86</v>
      </c>
      <c r="J302" s="30" t="n">
        <f aca="false">H302*I302</f>
        <v>1328.32</v>
      </c>
      <c r="K302" s="1" t="n">
        <v>39</v>
      </c>
    </row>
    <row r="303" customFormat="false" ht="15" hidden="false" customHeight="false" outlineLevel="0" collapsed="false">
      <c r="B303" s="1" t="s">
        <v>354</v>
      </c>
      <c r="F303" s="57" t="s">
        <v>350</v>
      </c>
      <c r="H303" s="59" t="n">
        <v>40</v>
      </c>
      <c r="I303" s="1" t="n">
        <v>11.02</v>
      </c>
      <c r="J303" s="30" t="n">
        <f aca="false">H303*I303</f>
        <v>440.8</v>
      </c>
      <c r="K303" s="1" t="n">
        <v>39</v>
      </c>
    </row>
    <row r="304" customFormat="false" ht="15" hidden="false" customHeight="false" outlineLevel="0" collapsed="false">
      <c r="B304" s="1" t="s">
        <v>355</v>
      </c>
      <c r="F304" s="57" t="s">
        <v>350</v>
      </c>
      <c r="H304" s="59" t="n">
        <v>40</v>
      </c>
      <c r="I304" s="1" t="n">
        <v>7.63</v>
      </c>
      <c r="J304" s="30" t="n">
        <f aca="false">H304*I304</f>
        <v>305.2</v>
      </c>
      <c r="K304" s="1" t="n">
        <v>39</v>
      </c>
    </row>
    <row r="305" customFormat="false" ht="15" hidden="false" customHeight="false" outlineLevel="0" collapsed="false">
      <c r="B305" s="1" t="s">
        <v>356</v>
      </c>
      <c r="F305" s="57" t="s">
        <v>350</v>
      </c>
      <c r="H305" s="59" t="n">
        <v>40</v>
      </c>
      <c r="I305" s="1" t="n">
        <v>14.41</v>
      </c>
      <c r="J305" s="30" t="n">
        <f aca="false">H305*I305</f>
        <v>576.4</v>
      </c>
      <c r="K305" s="1" t="n">
        <v>39</v>
      </c>
    </row>
    <row r="306" customFormat="false" ht="15" hidden="false" customHeight="false" outlineLevel="0" collapsed="false">
      <c r="B306" s="1" t="s">
        <v>357</v>
      </c>
      <c r="F306" s="57" t="s">
        <v>350</v>
      </c>
      <c r="H306" s="59" t="n">
        <v>4</v>
      </c>
      <c r="I306" s="1" t="n">
        <v>80.51</v>
      </c>
      <c r="J306" s="30" t="n">
        <f aca="false">H306*I306</f>
        <v>322.04</v>
      </c>
      <c r="K306" s="1" t="n">
        <v>39</v>
      </c>
    </row>
    <row r="307" customFormat="false" ht="15" hidden="false" customHeight="false" outlineLevel="0" collapsed="false">
      <c r="B307" s="1" t="s">
        <v>358</v>
      </c>
      <c r="F307" s="57" t="s">
        <v>148</v>
      </c>
      <c r="H307" s="59" t="n">
        <v>3</v>
      </c>
      <c r="I307" s="1" t="n">
        <v>233.9</v>
      </c>
      <c r="J307" s="30" t="n">
        <f aca="false">H307*I307</f>
        <v>701.7</v>
      </c>
      <c r="K307" s="1" t="n">
        <v>39</v>
      </c>
    </row>
    <row r="308" customFormat="false" ht="15" hidden="false" customHeight="false" outlineLevel="0" collapsed="false">
      <c r="B308" s="1" t="s">
        <v>359</v>
      </c>
      <c r="F308" s="57" t="s">
        <v>148</v>
      </c>
      <c r="H308" s="59" t="n">
        <v>112</v>
      </c>
      <c r="I308" s="1" t="n">
        <v>5.93</v>
      </c>
      <c r="J308" s="30" t="n">
        <f aca="false">H308*I308</f>
        <v>664.16</v>
      </c>
      <c r="K308" s="1" t="n">
        <v>39</v>
      </c>
    </row>
    <row r="309" customFormat="false" ht="15" hidden="false" customHeight="false" outlineLevel="0" collapsed="false">
      <c r="B309" s="1" t="s">
        <v>360</v>
      </c>
      <c r="F309" s="57" t="s">
        <v>148</v>
      </c>
      <c r="H309" s="59" t="n">
        <v>2</v>
      </c>
      <c r="I309" s="1" t="n">
        <v>21.19</v>
      </c>
      <c r="J309" s="30" t="n">
        <f aca="false">H309*I309</f>
        <v>42.38</v>
      </c>
      <c r="K309" s="1" t="n">
        <v>39</v>
      </c>
    </row>
    <row r="310" customFormat="false" ht="15" hidden="false" customHeight="false" outlineLevel="0" collapsed="false">
      <c r="B310" s="1" t="s">
        <v>361</v>
      </c>
      <c r="F310" s="57" t="s">
        <v>362</v>
      </c>
      <c r="H310" s="59" t="n">
        <v>4</v>
      </c>
      <c r="I310" s="1" t="n">
        <v>21.19</v>
      </c>
      <c r="J310" s="30" t="n">
        <f aca="false">H310*I310</f>
        <v>84.76</v>
      </c>
      <c r="K310" s="1" t="n">
        <v>39</v>
      </c>
    </row>
    <row r="311" customFormat="false" ht="15" hidden="false" customHeight="false" outlineLevel="0" collapsed="false">
      <c r="B311" s="1" t="s">
        <v>363</v>
      </c>
      <c r="F311" s="57" t="s">
        <v>148</v>
      </c>
      <c r="H311" s="59" t="n">
        <v>75</v>
      </c>
      <c r="I311" s="1" t="n">
        <v>53.31</v>
      </c>
      <c r="J311" s="30" t="n">
        <f aca="false">H311*I311</f>
        <v>3998.25</v>
      </c>
      <c r="K311" s="1" t="n">
        <v>39</v>
      </c>
    </row>
    <row r="312" customFormat="false" ht="15" hidden="false" customHeight="false" outlineLevel="0" collapsed="false">
      <c r="B312" s="1" t="s">
        <v>364</v>
      </c>
      <c r="F312" s="57" t="s">
        <v>148</v>
      </c>
      <c r="H312" s="59" t="n">
        <v>30</v>
      </c>
      <c r="I312" s="1" t="n">
        <v>24.49</v>
      </c>
      <c r="J312" s="30" t="n">
        <f aca="false">H312*I312</f>
        <v>734.7</v>
      </c>
      <c r="K312" s="1" t="n">
        <v>39</v>
      </c>
    </row>
    <row r="313" customFormat="false" ht="15" hidden="false" customHeight="false" outlineLevel="0" collapsed="false">
      <c r="B313" s="1" t="s">
        <v>365</v>
      </c>
      <c r="F313" s="57" t="s">
        <v>148</v>
      </c>
      <c r="H313" s="59" t="n">
        <v>20</v>
      </c>
      <c r="I313" s="1" t="n">
        <v>33.81</v>
      </c>
      <c r="J313" s="30" t="n">
        <f aca="false">H313*I313</f>
        <v>676.2</v>
      </c>
      <c r="K313" s="1" t="n">
        <v>39</v>
      </c>
    </row>
    <row r="314" customFormat="false" ht="15" hidden="false" customHeight="false" outlineLevel="0" collapsed="false">
      <c r="B314" s="1" t="s">
        <v>366</v>
      </c>
      <c r="F314" s="57" t="s">
        <v>350</v>
      </c>
      <c r="H314" s="59" t="n">
        <v>112</v>
      </c>
      <c r="I314" s="1" t="n">
        <v>2.54</v>
      </c>
      <c r="J314" s="30" t="n">
        <f aca="false">H314*I314</f>
        <v>284.48</v>
      </c>
      <c r="K314" s="1" t="n">
        <v>39</v>
      </c>
    </row>
    <row r="315" customFormat="false" ht="15" hidden="false" customHeight="false" outlineLevel="0" collapsed="false">
      <c r="B315" s="1" t="s">
        <v>367</v>
      </c>
      <c r="F315" s="57" t="s">
        <v>148</v>
      </c>
      <c r="H315" s="59" t="n">
        <v>40</v>
      </c>
      <c r="I315" s="1" t="n">
        <v>22.88</v>
      </c>
      <c r="J315" s="30" t="n">
        <f aca="false">H315*I315</f>
        <v>915.2</v>
      </c>
      <c r="K315" s="1" t="n">
        <v>39</v>
      </c>
    </row>
    <row r="316" customFormat="false" ht="15" hidden="false" customHeight="false" outlineLevel="0" collapsed="false">
      <c r="B316" s="1" t="s">
        <v>368</v>
      </c>
      <c r="F316" s="57" t="s">
        <v>148</v>
      </c>
      <c r="H316" s="59" t="n">
        <v>112</v>
      </c>
      <c r="I316" s="1" t="n">
        <v>59.32</v>
      </c>
      <c r="J316" s="30" t="n">
        <f aca="false">H316*I316</f>
        <v>6643.84</v>
      </c>
      <c r="K316" s="1" t="n">
        <v>39</v>
      </c>
    </row>
    <row r="317" customFormat="false" ht="15" hidden="false" customHeight="false" outlineLevel="0" collapsed="false">
      <c r="B317" s="1" t="s">
        <v>369</v>
      </c>
      <c r="F317" s="57" t="s">
        <v>350</v>
      </c>
      <c r="H317" s="59" t="n">
        <v>112</v>
      </c>
      <c r="I317" s="1" t="n">
        <v>50.76</v>
      </c>
      <c r="J317" s="30" t="n">
        <f aca="false">H317*I317</f>
        <v>5685.12</v>
      </c>
      <c r="K317" s="1" t="n">
        <v>39</v>
      </c>
    </row>
    <row r="318" customFormat="false" ht="15" hidden="false" customHeight="false" outlineLevel="0" collapsed="false">
      <c r="A318" s="62"/>
      <c r="B318" s="62"/>
      <c r="C318" s="62"/>
      <c r="D318" s="62"/>
      <c r="E318" s="62"/>
      <c r="F318" s="66"/>
      <c r="G318" s="67"/>
      <c r="H318" s="68"/>
      <c r="I318" s="69"/>
      <c r="J318" s="63" t="n">
        <f aca="false">ROUND(SUM(J298:J317),2)</f>
        <v>41043.35</v>
      </c>
    </row>
    <row r="320" customFormat="false" ht="15" hidden="false" customHeight="false" outlineLevel="0" collapsed="false">
      <c r="A320" s="14" t="s">
        <v>333</v>
      </c>
      <c r="B320" s="14" t="str">
        <f aca="false">PROVISIONALES!A32</f>
        <v>1.3.1.2</v>
      </c>
      <c r="C320" s="14" t="s">
        <v>370</v>
      </c>
      <c r="D320" s="14"/>
      <c r="E320" s="14"/>
      <c r="F320" s="14"/>
      <c r="G320" s="14"/>
      <c r="H320" s="14"/>
      <c r="I320" s="14"/>
    </row>
    <row r="321" customFormat="false" ht="15" hidden="false" customHeight="false" outlineLevel="0" collapsed="false">
      <c r="A321" s="14" t="s">
        <v>277</v>
      </c>
      <c r="B321" s="14" t="s">
        <v>346</v>
      </c>
      <c r="C321" s="38" t="s">
        <v>279</v>
      </c>
      <c r="D321" s="54" t="n">
        <v>1</v>
      </c>
      <c r="E321" s="38" t="s">
        <v>280</v>
      </c>
      <c r="F321" s="54" t="n">
        <f aca="false">D321</f>
        <v>1</v>
      </c>
      <c r="G321" s="14" t="s">
        <v>281</v>
      </c>
      <c r="I321" s="38" t="s">
        <v>347</v>
      </c>
      <c r="J321" s="55" t="n">
        <f aca="false">J330</f>
        <v>3824.87</v>
      </c>
      <c r="K321" s="71"/>
    </row>
    <row r="322" customFormat="false" ht="15" hidden="false" customHeight="false" outlineLevel="0" collapsed="false">
      <c r="A322" s="14" t="s">
        <v>282</v>
      </c>
      <c r="B322" s="14" t="s">
        <v>283</v>
      </c>
      <c r="F322" s="38" t="s">
        <v>121</v>
      </c>
      <c r="G322" s="38" t="s">
        <v>284</v>
      </c>
      <c r="H322" s="38" t="s">
        <v>285</v>
      </c>
      <c r="I322" s="38" t="s">
        <v>286</v>
      </c>
      <c r="J322" s="38" t="s">
        <v>287</v>
      </c>
    </row>
    <row r="323" customFormat="false" ht="15" hidden="false" customHeight="false" outlineLevel="0" collapsed="false">
      <c r="B323" s="56" t="s">
        <v>293</v>
      </c>
    </row>
    <row r="324" customFormat="false" ht="15" hidden="false" customHeight="false" outlineLevel="0" collapsed="false">
      <c r="B324" s="1" t="s">
        <v>371</v>
      </c>
      <c r="F324" s="57" t="s">
        <v>372</v>
      </c>
      <c r="G324" s="58"/>
      <c r="H324" s="59" t="n">
        <v>16</v>
      </c>
      <c r="I324" s="1" t="n">
        <v>51.69</v>
      </c>
      <c r="J324" s="30" t="n">
        <f aca="false">H324*I324</f>
        <v>827.04</v>
      </c>
      <c r="K324" s="1" t="n">
        <v>39</v>
      </c>
    </row>
    <row r="325" customFormat="false" ht="15" hidden="false" customHeight="false" outlineLevel="0" collapsed="false">
      <c r="B325" s="1" t="s">
        <v>373</v>
      </c>
      <c r="F325" s="57" t="s">
        <v>148</v>
      </c>
      <c r="H325" s="59" t="n">
        <v>15</v>
      </c>
      <c r="I325" s="1" t="n">
        <v>66.53</v>
      </c>
      <c r="J325" s="30" t="n">
        <f aca="false">H325*I325</f>
        <v>997.95</v>
      </c>
      <c r="K325" s="1" t="n">
        <v>39</v>
      </c>
    </row>
    <row r="326" customFormat="false" ht="15" hidden="false" customHeight="false" outlineLevel="0" collapsed="false">
      <c r="B326" s="1" t="s">
        <v>374</v>
      </c>
      <c r="F326" s="57" t="s">
        <v>304</v>
      </c>
      <c r="H326" s="59" t="n">
        <v>50</v>
      </c>
      <c r="I326" s="1" t="n">
        <v>22.03</v>
      </c>
      <c r="J326" s="30" t="n">
        <f aca="false">H326*I326</f>
        <v>1101.5</v>
      </c>
      <c r="K326" s="1" t="n">
        <v>39</v>
      </c>
    </row>
    <row r="327" customFormat="false" ht="15" hidden="false" customHeight="false" outlineLevel="0" collapsed="false">
      <c r="B327" s="1" t="s">
        <v>375</v>
      </c>
      <c r="F327" s="57" t="s">
        <v>372</v>
      </c>
      <c r="H327" s="59" t="n">
        <v>10</v>
      </c>
      <c r="I327" s="1" t="n">
        <v>62.71</v>
      </c>
      <c r="J327" s="30" t="n">
        <f aca="false">H327*I327</f>
        <v>627.1</v>
      </c>
      <c r="K327" s="1" t="n">
        <v>39</v>
      </c>
    </row>
    <row r="328" customFormat="false" ht="15" hidden="false" customHeight="false" outlineLevel="0" collapsed="false">
      <c r="B328" s="1" t="s">
        <v>376</v>
      </c>
      <c r="F328" s="57" t="s">
        <v>148</v>
      </c>
      <c r="H328" s="59" t="n">
        <v>200</v>
      </c>
      <c r="I328" s="1" t="n">
        <v>0.17</v>
      </c>
      <c r="J328" s="30" t="n">
        <f aca="false">H328*I328</f>
        <v>34</v>
      </c>
      <c r="K328" s="1" t="n">
        <v>39</v>
      </c>
    </row>
    <row r="329" customFormat="false" ht="15" hidden="false" customHeight="false" outlineLevel="0" collapsed="false">
      <c r="B329" s="1" t="s">
        <v>377</v>
      </c>
      <c r="F329" s="57" t="s">
        <v>372</v>
      </c>
      <c r="H329" s="59" t="n">
        <v>2</v>
      </c>
      <c r="I329" s="1" t="n">
        <v>118.64</v>
      </c>
      <c r="J329" s="30" t="n">
        <f aca="false">H329*I329</f>
        <v>237.28</v>
      </c>
      <c r="K329" s="1" t="n">
        <v>39</v>
      </c>
    </row>
    <row r="330" customFormat="false" ht="15" hidden="false" customHeight="false" outlineLevel="0" collapsed="false">
      <c r="A330" s="62"/>
      <c r="B330" s="62"/>
      <c r="C330" s="62"/>
      <c r="D330" s="62"/>
      <c r="E330" s="62"/>
      <c r="F330" s="66"/>
      <c r="G330" s="67"/>
      <c r="H330" s="68"/>
      <c r="I330" s="69"/>
      <c r="J330" s="63" t="n">
        <f aca="false">ROUND(SUM(J324:J329),2)</f>
        <v>3824.87</v>
      </c>
    </row>
    <row r="332" customFormat="false" ht="15" hidden="false" customHeight="false" outlineLevel="0" collapsed="false">
      <c r="A332" s="14" t="s">
        <v>333</v>
      </c>
      <c r="B332" s="14" t="str">
        <f aca="false">PROVISIONALES!A33</f>
        <v>1.3.1.3</v>
      </c>
      <c r="C332" s="14" t="s">
        <v>188</v>
      </c>
      <c r="D332" s="14"/>
      <c r="E332" s="14"/>
      <c r="F332" s="14"/>
      <c r="G332" s="14"/>
      <c r="H332" s="14"/>
      <c r="I332" s="14"/>
    </row>
    <row r="333" customFormat="false" ht="15" hidden="false" customHeight="false" outlineLevel="0" collapsed="false">
      <c r="A333" s="14" t="s">
        <v>277</v>
      </c>
      <c r="B333" s="14" t="s">
        <v>346</v>
      </c>
      <c r="C333" s="38" t="s">
        <v>279</v>
      </c>
      <c r="D333" s="54" t="n">
        <v>1</v>
      </c>
      <c r="E333" s="38" t="s">
        <v>280</v>
      </c>
      <c r="F333" s="54" t="n">
        <f aca="false">D333</f>
        <v>1</v>
      </c>
      <c r="G333" s="14" t="s">
        <v>281</v>
      </c>
      <c r="I333" s="38" t="s">
        <v>347</v>
      </c>
      <c r="J333" s="55" t="n">
        <f aca="false">J344</f>
        <v>6076.5</v>
      </c>
    </row>
    <row r="334" customFormat="false" ht="15" hidden="false" customHeight="false" outlineLevel="0" collapsed="false">
      <c r="A334" s="14" t="s">
        <v>282</v>
      </c>
      <c r="B334" s="14" t="s">
        <v>283</v>
      </c>
      <c r="F334" s="38" t="s">
        <v>121</v>
      </c>
      <c r="G334" s="38" t="s">
        <v>284</v>
      </c>
      <c r="H334" s="38" t="s">
        <v>285</v>
      </c>
      <c r="I334" s="38" t="s">
        <v>286</v>
      </c>
      <c r="J334" s="38" t="s">
        <v>287</v>
      </c>
    </row>
    <row r="335" customFormat="false" ht="15" hidden="false" customHeight="false" outlineLevel="0" collapsed="false">
      <c r="B335" s="56" t="s">
        <v>293</v>
      </c>
    </row>
    <row r="336" customFormat="false" ht="15" hidden="false" customHeight="false" outlineLevel="0" collapsed="false">
      <c r="B336" s="1" t="s">
        <v>378</v>
      </c>
      <c r="F336" s="57" t="s">
        <v>148</v>
      </c>
      <c r="G336" s="58"/>
      <c r="H336" s="59" t="n">
        <v>15</v>
      </c>
      <c r="I336" s="1" t="n">
        <v>29.66</v>
      </c>
      <c r="J336" s="30" t="n">
        <f aca="false">H336*I336</f>
        <v>444.9</v>
      </c>
      <c r="K336" s="1" t="n">
        <v>39</v>
      </c>
    </row>
    <row r="337" customFormat="false" ht="15" hidden="false" customHeight="false" outlineLevel="0" collapsed="false">
      <c r="B337" s="1" t="s">
        <v>379</v>
      </c>
      <c r="F337" s="57" t="s">
        <v>148</v>
      </c>
      <c r="H337" s="59" t="n">
        <v>15</v>
      </c>
      <c r="I337" s="1" t="n">
        <v>21.19</v>
      </c>
      <c r="J337" s="30" t="n">
        <f aca="false">H337*I337</f>
        <v>317.85</v>
      </c>
      <c r="K337" s="1" t="n">
        <v>39</v>
      </c>
    </row>
    <row r="338" customFormat="false" ht="15" hidden="false" customHeight="false" outlineLevel="0" collapsed="false">
      <c r="B338" s="1" t="s">
        <v>380</v>
      </c>
      <c r="F338" s="57" t="s">
        <v>148</v>
      </c>
      <c r="H338" s="59" t="n">
        <v>15</v>
      </c>
      <c r="I338" s="1" t="n">
        <v>38.14</v>
      </c>
      <c r="J338" s="30" t="n">
        <f aca="false">H338*I338</f>
        <v>572.1</v>
      </c>
      <c r="K338" s="1" t="n">
        <v>39</v>
      </c>
    </row>
    <row r="339" customFormat="false" ht="15" hidden="false" customHeight="false" outlineLevel="0" collapsed="false">
      <c r="B339" s="1" t="s">
        <v>381</v>
      </c>
      <c r="F339" s="57" t="s">
        <v>148</v>
      </c>
      <c r="H339" s="59" t="n">
        <v>4</v>
      </c>
      <c r="I339" s="1" t="n">
        <v>38.14</v>
      </c>
      <c r="J339" s="30" t="n">
        <f aca="false">H339*I339</f>
        <v>152.56</v>
      </c>
      <c r="K339" s="1" t="n">
        <v>39</v>
      </c>
    </row>
    <row r="340" customFormat="false" ht="15" hidden="false" customHeight="false" outlineLevel="0" collapsed="false">
      <c r="B340" s="1" t="s">
        <v>382</v>
      </c>
      <c r="F340" s="57" t="s">
        <v>148</v>
      </c>
      <c r="H340" s="59" t="n">
        <v>4</v>
      </c>
      <c r="I340" s="1" t="n">
        <v>29.66</v>
      </c>
      <c r="J340" s="30" t="n">
        <f aca="false">H340*I340</f>
        <v>118.64</v>
      </c>
      <c r="K340" s="1" t="n">
        <v>39</v>
      </c>
    </row>
    <row r="341" customFormat="false" ht="15" hidden="false" customHeight="false" outlineLevel="0" collapsed="false">
      <c r="B341" s="1" t="s">
        <v>383</v>
      </c>
      <c r="F341" s="57" t="s">
        <v>148</v>
      </c>
      <c r="H341" s="59" t="n">
        <v>5</v>
      </c>
      <c r="I341" s="1" t="n">
        <v>67.8</v>
      </c>
      <c r="J341" s="30" t="n">
        <f aca="false">H341*I341</f>
        <v>339</v>
      </c>
      <c r="K341" s="1" t="n">
        <v>39</v>
      </c>
    </row>
    <row r="342" customFormat="false" ht="15" hidden="false" customHeight="false" outlineLevel="0" collapsed="false">
      <c r="B342" s="1" t="s">
        <v>384</v>
      </c>
      <c r="F342" s="57" t="s">
        <v>148</v>
      </c>
      <c r="H342" s="59" t="n">
        <v>15</v>
      </c>
      <c r="I342" s="1" t="n">
        <v>21.19</v>
      </c>
      <c r="J342" s="30" t="n">
        <f aca="false">H342*I342</f>
        <v>317.85</v>
      </c>
      <c r="K342" s="1" t="n">
        <v>39</v>
      </c>
    </row>
    <row r="343" customFormat="false" ht="15" hidden="false" customHeight="false" outlineLevel="0" collapsed="false">
      <c r="B343" s="1" t="s">
        <v>385</v>
      </c>
      <c r="F343" s="57" t="s">
        <v>148</v>
      </c>
      <c r="H343" s="59" t="n">
        <v>15</v>
      </c>
      <c r="I343" s="1" t="n">
        <v>254.24</v>
      </c>
      <c r="J343" s="30" t="n">
        <f aca="false">H343*I343</f>
        <v>3813.6</v>
      </c>
      <c r="K343" s="1" t="n">
        <v>39</v>
      </c>
    </row>
    <row r="344" customFormat="false" ht="15" hidden="false" customHeight="false" outlineLevel="0" collapsed="false">
      <c r="A344" s="62"/>
      <c r="B344" s="62"/>
      <c r="C344" s="62"/>
      <c r="D344" s="62"/>
      <c r="E344" s="62"/>
      <c r="F344" s="66"/>
      <c r="G344" s="67"/>
      <c r="H344" s="68"/>
      <c r="I344" s="69"/>
      <c r="J344" s="63" t="n">
        <f aca="false">ROUND(SUM(J336:J343),2)</f>
        <v>6076.5</v>
      </c>
    </row>
    <row r="346" customFormat="false" ht="15" hidden="false" customHeight="false" outlineLevel="0" collapsed="false">
      <c r="A346" s="14" t="s">
        <v>333</v>
      </c>
      <c r="B346" s="14" t="str">
        <f aca="false">PROVISIONALES!A34</f>
        <v>1.3.1.4</v>
      </c>
      <c r="C346" s="14" t="s">
        <v>190</v>
      </c>
      <c r="D346" s="14"/>
      <c r="E346" s="14"/>
      <c r="F346" s="14"/>
      <c r="G346" s="14"/>
      <c r="H346" s="14"/>
      <c r="I346" s="14"/>
    </row>
    <row r="347" customFormat="false" ht="15" hidden="false" customHeight="false" outlineLevel="0" collapsed="false">
      <c r="A347" s="14" t="s">
        <v>277</v>
      </c>
      <c r="B347" s="14" t="s">
        <v>346</v>
      </c>
      <c r="C347" s="38" t="s">
        <v>279</v>
      </c>
      <c r="D347" s="54" t="n">
        <v>1</v>
      </c>
      <c r="E347" s="38" t="s">
        <v>280</v>
      </c>
      <c r="F347" s="54" t="n">
        <f aca="false">D347</f>
        <v>1</v>
      </c>
      <c r="G347" s="14" t="s">
        <v>281</v>
      </c>
      <c r="I347" s="38" t="s">
        <v>347</v>
      </c>
      <c r="J347" s="55" t="n">
        <f aca="false">J353</f>
        <v>18386.64</v>
      </c>
    </row>
    <row r="348" customFormat="false" ht="15" hidden="false" customHeight="false" outlineLevel="0" collapsed="false">
      <c r="A348" s="14" t="s">
        <v>282</v>
      </c>
      <c r="B348" s="14" t="s">
        <v>283</v>
      </c>
      <c r="F348" s="38" t="s">
        <v>121</v>
      </c>
      <c r="G348" s="38" t="s">
        <v>284</v>
      </c>
      <c r="H348" s="38" t="s">
        <v>285</v>
      </c>
      <c r="I348" s="38" t="s">
        <v>286</v>
      </c>
      <c r="J348" s="38" t="s">
        <v>287</v>
      </c>
    </row>
    <row r="349" customFormat="false" ht="15" hidden="false" customHeight="false" outlineLevel="0" collapsed="false">
      <c r="B349" s="56" t="s">
        <v>293</v>
      </c>
    </row>
    <row r="350" customFormat="false" ht="15" hidden="false" customHeight="false" outlineLevel="0" collapsed="false">
      <c r="B350" s="1" t="s">
        <v>386</v>
      </c>
      <c r="F350" s="57" t="s">
        <v>148</v>
      </c>
      <c r="G350" s="58"/>
      <c r="H350" s="59" t="n">
        <v>8</v>
      </c>
      <c r="I350" s="1" t="n">
        <v>423.73</v>
      </c>
      <c r="J350" s="30" t="n">
        <f aca="false">H350*I350</f>
        <v>3389.84</v>
      </c>
      <c r="K350" s="1" t="n">
        <v>39</v>
      </c>
    </row>
    <row r="351" customFormat="false" ht="15" hidden="false" customHeight="false" outlineLevel="0" collapsed="false">
      <c r="B351" s="1" t="s">
        <v>387</v>
      </c>
      <c r="F351" s="57" t="s">
        <v>148</v>
      </c>
      <c r="H351" s="59" t="n">
        <v>112</v>
      </c>
      <c r="I351" s="1" t="n">
        <v>127.12</v>
      </c>
      <c r="J351" s="30" t="n">
        <f aca="false">H351*I351</f>
        <v>14237.44</v>
      </c>
      <c r="K351" s="1" t="n">
        <v>39</v>
      </c>
    </row>
    <row r="352" customFormat="false" ht="15" hidden="false" customHeight="false" outlineLevel="0" collapsed="false">
      <c r="B352" s="1" t="s">
        <v>388</v>
      </c>
      <c r="F352" s="57" t="s">
        <v>148</v>
      </c>
      <c r="H352" s="59" t="n">
        <v>112</v>
      </c>
      <c r="I352" s="1" t="n">
        <v>6.78</v>
      </c>
      <c r="J352" s="30" t="n">
        <f aca="false">H352*I352</f>
        <v>759.36</v>
      </c>
      <c r="K352" s="1" t="n">
        <v>39</v>
      </c>
    </row>
    <row r="353" customFormat="false" ht="15" hidden="false" customHeight="false" outlineLevel="0" collapsed="false">
      <c r="A353" s="62"/>
      <c r="B353" s="62"/>
      <c r="C353" s="62"/>
      <c r="D353" s="62"/>
      <c r="E353" s="62"/>
      <c r="F353" s="66"/>
      <c r="G353" s="67"/>
      <c r="H353" s="68"/>
      <c r="I353" s="69"/>
      <c r="J353" s="63" t="n">
        <f aca="false">ROUND(SUM(J350:J352),2)</f>
        <v>18386.64</v>
      </c>
    </row>
    <row r="354" customFormat="false" ht="15" hidden="false" customHeight="false" outlineLevel="0" collapsed="false">
      <c r="F354" s="57"/>
      <c r="H354" s="59"/>
      <c r="J354" s="30"/>
    </row>
    <row r="355" customFormat="false" ht="15" hidden="false" customHeight="false" outlineLevel="0" collapsed="false">
      <c r="A355" s="14" t="s">
        <v>333</v>
      </c>
      <c r="B355" s="14" t="str">
        <f aca="false">PROVISIONALES!A35</f>
        <v>1.3.1.5</v>
      </c>
      <c r="C355" s="14" t="s">
        <v>389</v>
      </c>
      <c r="D355" s="14"/>
      <c r="E355" s="14"/>
      <c r="F355" s="14"/>
      <c r="G355" s="14"/>
      <c r="H355" s="14"/>
      <c r="I355" s="14"/>
    </row>
    <row r="356" customFormat="false" ht="15" hidden="false" customHeight="false" outlineLevel="0" collapsed="false">
      <c r="A356" s="14" t="s">
        <v>277</v>
      </c>
      <c r="B356" s="14" t="s">
        <v>346</v>
      </c>
      <c r="C356" s="38" t="s">
        <v>279</v>
      </c>
      <c r="D356" s="54" t="n">
        <v>1</v>
      </c>
      <c r="E356" s="38" t="s">
        <v>280</v>
      </c>
      <c r="F356" s="54" t="n">
        <f aca="false">D356</f>
        <v>1</v>
      </c>
      <c r="G356" s="14" t="s">
        <v>281</v>
      </c>
      <c r="I356" s="38" t="s">
        <v>347</v>
      </c>
      <c r="J356" s="55" t="n">
        <f aca="false">J365</f>
        <v>1478.8</v>
      </c>
    </row>
    <row r="357" customFormat="false" ht="15" hidden="false" customHeight="false" outlineLevel="0" collapsed="false">
      <c r="A357" s="14" t="s">
        <v>282</v>
      </c>
      <c r="B357" s="14" t="s">
        <v>283</v>
      </c>
      <c r="F357" s="38" t="s">
        <v>121</v>
      </c>
      <c r="G357" s="38" t="s">
        <v>284</v>
      </c>
      <c r="H357" s="38" t="s">
        <v>285</v>
      </c>
      <c r="I357" s="38" t="s">
        <v>286</v>
      </c>
      <c r="J357" s="38" t="s">
        <v>287</v>
      </c>
    </row>
    <row r="358" customFormat="false" ht="15" hidden="false" customHeight="false" outlineLevel="0" collapsed="false">
      <c r="B358" s="56" t="s">
        <v>293</v>
      </c>
    </row>
    <row r="359" customFormat="false" ht="15" hidden="false" customHeight="false" outlineLevel="0" collapsed="false">
      <c r="B359" s="1" t="s">
        <v>390</v>
      </c>
      <c r="F359" s="57" t="s">
        <v>148</v>
      </c>
      <c r="G359" s="58"/>
      <c r="H359" s="59" t="n">
        <v>1</v>
      </c>
      <c r="I359" s="1" t="n">
        <v>211.86</v>
      </c>
      <c r="J359" s="30" t="n">
        <f aca="false">H359*I359</f>
        <v>211.86</v>
      </c>
      <c r="K359" s="1" t="n">
        <v>39</v>
      </c>
    </row>
    <row r="360" customFormat="false" ht="15" hidden="false" customHeight="false" outlineLevel="0" collapsed="false">
      <c r="B360" s="1" t="s">
        <v>391</v>
      </c>
      <c r="F360" s="57" t="s">
        <v>148</v>
      </c>
      <c r="H360" s="59" t="n">
        <v>2</v>
      </c>
      <c r="I360" s="1" t="n">
        <v>76.27</v>
      </c>
      <c r="J360" s="30" t="n">
        <f aca="false">H360*I360</f>
        <v>152.54</v>
      </c>
      <c r="K360" s="1" t="n">
        <v>39</v>
      </c>
    </row>
    <row r="361" customFormat="false" ht="15" hidden="false" customHeight="false" outlineLevel="0" collapsed="false">
      <c r="B361" s="1" t="s">
        <v>392</v>
      </c>
      <c r="F361" s="57" t="s">
        <v>148</v>
      </c>
      <c r="H361" s="59" t="n">
        <v>1</v>
      </c>
      <c r="I361" s="1" t="n">
        <v>593.22</v>
      </c>
      <c r="J361" s="30" t="n">
        <f aca="false">H361*I361</f>
        <v>593.22</v>
      </c>
      <c r="K361" s="1" t="n">
        <v>39</v>
      </c>
    </row>
    <row r="362" customFormat="false" ht="15" hidden="false" customHeight="false" outlineLevel="0" collapsed="false">
      <c r="B362" s="1" t="s">
        <v>393</v>
      </c>
      <c r="F362" s="57" t="s">
        <v>148</v>
      </c>
      <c r="H362" s="59" t="n">
        <v>1</v>
      </c>
      <c r="I362" s="1" t="n">
        <v>38.14</v>
      </c>
      <c r="J362" s="30" t="n">
        <f aca="false">H362*I362</f>
        <v>38.14</v>
      </c>
      <c r="K362" s="1" t="n">
        <v>39</v>
      </c>
    </row>
    <row r="363" customFormat="false" ht="15" hidden="false" customHeight="false" outlineLevel="0" collapsed="false">
      <c r="B363" s="1" t="s">
        <v>394</v>
      </c>
      <c r="F363" s="57" t="s">
        <v>148</v>
      </c>
      <c r="H363" s="59" t="n">
        <v>2</v>
      </c>
      <c r="I363" s="1" t="n">
        <v>135.59</v>
      </c>
      <c r="J363" s="30" t="n">
        <f aca="false">H363*I363</f>
        <v>271.18</v>
      </c>
      <c r="K363" s="1" t="n">
        <v>39</v>
      </c>
    </row>
    <row r="364" customFormat="false" ht="15" hidden="false" customHeight="false" outlineLevel="0" collapsed="false">
      <c r="B364" s="1" t="s">
        <v>395</v>
      </c>
      <c r="F364" s="57" t="s">
        <v>148</v>
      </c>
      <c r="H364" s="59" t="n">
        <v>1</v>
      </c>
      <c r="I364" s="1" t="n">
        <v>211.86</v>
      </c>
      <c r="J364" s="30" t="n">
        <f aca="false">H364*I364</f>
        <v>211.86</v>
      </c>
      <c r="K364" s="1" t="n">
        <v>39</v>
      </c>
    </row>
    <row r="365" customFormat="false" ht="15" hidden="false" customHeight="false" outlineLevel="0" collapsed="false">
      <c r="A365" s="62"/>
      <c r="B365" s="62"/>
      <c r="C365" s="62"/>
      <c r="D365" s="62"/>
      <c r="E365" s="62"/>
      <c r="F365" s="66"/>
      <c r="G365" s="67"/>
      <c r="H365" s="68"/>
      <c r="I365" s="69"/>
      <c r="J365" s="63" t="n">
        <f aca="false">ROUND(SUM(J359:J364),2)</f>
        <v>1478.8</v>
      </c>
    </row>
    <row r="366" customFormat="false" ht="15" hidden="false" customHeight="false" outlineLevel="0" collapsed="false">
      <c r="F366" s="57"/>
      <c r="H366" s="59"/>
      <c r="J366" s="30"/>
    </row>
    <row r="367" customFormat="false" ht="15" hidden="false" customHeight="false" outlineLevel="0" collapsed="false">
      <c r="A367" s="14" t="s">
        <v>333</v>
      </c>
      <c r="B367" s="14" t="str">
        <f aca="false">PROVISIONALES!A36</f>
        <v>1.3.1.6</v>
      </c>
      <c r="C367" s="14" t="s">
        <v>396</v>
      </c>
      <c r="D367" s="14"/>
      <c r="E367" s="14"/>
      <c r="F367" s="14"/>
      <c r="G367" s="14"/>
      <c r="H367" s="14"/>
      <c r="I367" s="14"/>
    </row>
    <row r="368" customFormat="false" ht="15" hidden="false" customHeight="false" outlineLevel="0" collapsed="false">
      <c r="A368" s="14" t="s">
        <v>277</v>
      </c>
      <c r="B368" s="14" t="s">
        <v>325</v>
      </c>
      <c r="C368" s="38" t="s">
        <v>279</v>
      </c>
      <c r="D368" s="54" t="n">
        <v>1</v>
      </c>
      <c r="E368" s="38" t="s">
        <v>280</v>
      </c>
      <c r="F368" s="54" t="n">
        <f aca="false">D368</f>
        <v>1</v>
      </c>
      <c r="G368" s="14" t="s">
        <v>281</v>
      </c>
      <c r="I368" s="38" t="s">
        <v>148</v>
      </c>
      <c r="J368" s="55" t="n">
        <f aca="false">J373</f>
        <v>8515.8</v>
      </c>
    </row>
    <row r="369" customFormat="false" ht="15" hidden="false" customHeight="false" outlineLevel="0" collapsed="false">
      <c r="A369" s="14" t="s">
        <v>282</v>
      </c>
      <c r="B369" s="14" t="s">
        <v>283</v>
      </c>
      <c r="F369" s="38" t="s">
        <v>121</v>
      </c>
      <c r="G369" s="38" t="s">
        <v>284</v>
      </c>
      <c r="H369" s="38" t="s">
        <v>285</v>
      </c>
      <c r="I369" s="38" t="s">
        <v>286</v>
      </c>
      <c r="J369" s="38" t="s">
        <v>287</v>
      </c>
    </row>
    <row r="370" customFormat="false" ht="15" hidden="false" customHeight="false" outlineLevel="0" collapsed="false">
      <c r="B370" s="56" t="s">
        <v>293</v>
      </c>
    </row>
    <row r="371" customFormat="false" ht="15" hidden="false" customHeight="false" outlineLevel="0" collapsed="false">
      <c r="B371" s="1" t="s">
        <v>397</v>
      </c>
      <c r="F371" s="57" t="s">
        <v>148</v>
      </c>
      <c r="G371" s="58"/>
      <c r="H371" s="59" t="n">
        <v>320</v>
      </c>
      <c r="I371" s="1" t="n">
        <v>25.42</v>
      </c>
      <c r="J371" s="30" t="n">
        <f aca="false">H371*I371</f>
        <v>8134.4</v>
      </c>
      <c r="K371" s="1" t="n">
        <v>39</v>
      </c>
    </row>
    <row r="372" customFormat="false" ht="15" hidden="false" customHeight="false" outlineLevel="0" collapsed="false">
      <c r="B372" s="1" t="s">
        <v>398</v>
      </c>
      <c r="F372" s="57" t="s">
        <v>148</v>
      </c>
      <c r="H372" s="59" t="n">
        <v>10</v>
      </c>
      <c r="I372" s="1" t="n">
        <v>38.14</v>
      </c>
      <c r="J372" s="30" t="n">
        <f aca="false">H372*I372</f>
        <v>381.4</v>
      </c>
      <c r="K372" s="1" t="n">
        <v>39</v>
      </c>
    </row>
    <row r="373" customFormat="false" ht="15" hidden="false" customHeight="false" outlineLevel="0" collapsed="false">
      <c r="A373" s="62"/>
      <c r="B373" s="62"/>
      <c r="C373" s="62"/>
      <c r="D373" s="62"/>
      <c r="E373" s="62"/>
      <c r="F373" s="66"/>
      <c r="G373" s="67"/>
      <c r="H373" s="68"/>
      <c r="I373" s="69"/>
      <c r="J373" s="63" t="n">
        <f aca="false">ROUND(SUM(J371:J372),2)</f>
        <v>8515.8</v>
      </c>
    </row>
    <row r="374" customFormat="false" ht="15" hidden="false" customHeight="false" outlineLevel="0" collapsed="false">
      <c r="F374" s="57"/>
      <c r="H374" s="59"/>
      <c r="J374" s="30"/>
    </row>
    <row r="375" customFormat="false" ht="15" hidden="false" customHeight="false" outlineLevel="0" collapsed="false">
      <c r="A375" s="14" t="s">
        <v>333</v>
      </c>
      <c r="B375" s="14" t="str">
        <f aca="false">PROVISIONALES!A37</f>
        <v>1.3.1.7</v>
      </c>
      <c r="C375" s="14" t="s">
        <v>196</v>
      </c>
      <c r="D375" s="14"/>
      <c r="E375" s="14"/>
      <c r="F375" s="14"/>
      <c r="G375" s="14"/>
      <c r="H375" s="14"/>
      <c r="I375" s="14"/>
    </row>
    <row r="376" customFormat="false" ht="15" hidden="false" customHeight="false" outlineLevel="0" collapsed="false">
      <c r="A376" s="14" t="s">
        <v>277</v>
      </c>
      <c r="B376" s="14" t="s">
        <v>325</v>
      </c>
      <c r="C376" s="38" t="s">
        <v>279</v>
      </c>
      <c r="D376" s="54" t="n">
        <v>1</v>
      </c>
      <c r="E376" s="38" t="s">
        <v>280</v>
      </c>
      <c r="F376" s="54" t="n">
        <f aca="false">D376</f>
        <v>1</v>
      </c>
      <c r="G376" s="14" t="s">
        <v>281</v>
      </c>
      <c r="I376" s="38" t="s">
        <v>148</v>
      </c>
      <c r="J376" s="55" t="n">
        <f aca="false">J380</f>
        <v>29152.28</v>
      </c>
    </row>
    <row r="377" customFormat="false" ht="15" hidden="false" customHeight="false" outlineLevel="0" collapsed="false">
      <c r="A377" s="14" t="s">
        <v>282</v>
      </c>
      <c r="B377" s="14" t="s">
        <v>283</v>
      </c>
      <c r="F377" s="38" t="s">
        <v>121</v>
      </c>
      <c r="G377" s="38" t="s">
        <v>284</v>
      </c>
      <c r="H377" s="38" t="s">
        <v>285</v>
      </c>
      <c r="I377" s="38" t="s">
        <v>286</v>
      </c>
      <c r="J377" s="38" t="s">
        <v>287</v>
      </c>
    </row>
    <row r="378" customFormat="false" ht="15" hidden="false" customHeight="false" outlineLevel="0" collapsed="false">
      <c r="B378" s="56" t="s">
        <v>293</v>
      </c>
    </row>
    <row r="379" customFormat="false" ht="15" hidden="false" customHeight="false" outlineLevel="0" collapsed="false">
      <c r="B379" s="1" t="s">
        <v>399</v>
      </c>
      <c r="F379" s="57" t="s">
        <v>148</v>
      </c>
      <c r="G379" s="58"/>
      <c r="H379" s="59" t="n">
        <v>172</v>
      </c>
      <c r="I379" s="1" t="n">
        <v>169.49</v>
      </c>
      <c r="J379" s="30" t="n">
        <f aca="false">H379*I379</f>
        <v>29152.28</v>
      </c>
      <c r="K379" s="1" t="n">
        <v>39</v>
      </c>
    </row>
    <row r="380" customFormat="false" ht="15" hidden="false" customHeight="false" outlineLevel="0" collapsed="false">
      <c r="A380" s="62"/>
      <c r="B380" s="62"/>
      <c r="C380" s="62"/>
      <c r="D380" s="62"/>
      <c r="E380" s="62"/>
      <c r="F380" s="66"/>
      <c r="G380" s="67"/>
      <c r="H380" s="68"/>
      <c r="I380" s="69"/>
      <c r="J380" s="63" t="n">
        <f aca="false">ROUND(SUM(J379),2)</f>
        <v>29152.28</v>
      </c>
    </row>
    <row r="383" customFormat="false" ht="15" hidden="false" customHeight="false" outlineLevel="0" collapsed="false">
      <c r="A383" s="14" t="s">
        <v>276</v>
      </c>
      <c r="B383" s="14" t="str">
        <f aca="false">PROVISIONALES!A40</f>
        <v>1.4.1.1</v>
      </c>
      <c r="C383" s="14" t="s">
        <v>400</v>
      </c>
      <c r="D383" s="14"/>
      <c r="E383" s="14"/>
      <c r="F383" s="14"/>
      <c r="G383" s="14"/>
      <c r="H383" s="14"/>
      <c r="I383" s="14"/>
    </row>
    <row r="384" customFormat="false" ht="15" hidden="false" customHeight="false" outlineLevel="0" collapsed="false">
      <c r="A384" s="14" t="s">
        <v>277</v>
      </c>
      <c r="B384" s="14" t="s">
        <v>278</v>
      </c>
      <c r="C384" s="38" t="s">
        <v>279</v>
      </c>
      <c r="D384" s="54" t="n">
        <v>50</v>
      </c>
      <c r="E384" s="38" t="s">
        <v>280</v>
      </c>
      <c r="F384" s="54" t="n">
        <f aca="false">D384</f>
        <v>50</v>
      </c>
      <c r="G384" s="14" t="s">
        <v>281</v>
      </c>
      <c r="I384" s="38" t="s">
        <v>132</v>
      </c>
      <c r="J384" s="55" t="n">
        <f aca="false">J389++J394</f>
        <v>32.56</v>
      </c>
    </row>
    <row r="385" customFormat="false" ht="15" hidden="false" customHeight="false" outlineLevel="0" collapsed="false">
      <c r="A385" s="14" t="s">
        <v>282</v>
      </c>
      <c r="B385" s="14" t="s">
        <v>283</v>
      </c>
      <c r="F385" s="38" t="s">
        <v>121</v>
      </c>
      <c r="G385" s="38" t="s">
        <v>284</v>
      </c>
      <c r="H385" s="38" t="s">
        <v>285</v>
      </c>
      <c r="I385" s="38" t="s">
        <v>286</v>
      </c>
      <c r="J385" s="38" t="s">
        <v>287</v>
      </c>
    </row>
    <row r="386" customFormat="false" ht="15" hidden="false" customHeight="false" outlineLevel="0" collapsed="false">
      <c r="B386" s="56" t="s">
        <v>288</v>
      </c>
    </row>
    <row r="387" customFormat="false" ht="15" hidden="false" customHeight="false" outlineLevel="0" collapsed="false">
      <c r="B387" s="1" t="s">
        <v>291</v>
      </c>
      <c r="F387" s="57" t="s">
        <v>290</v>
      </c>
      <c r="G387" s="58" t="n">
        <v>1</v>
      </c>
      <c r="H387" s="59" t="n">
        <f aca="false">G387*8/$D$384</f>
        <v>0.16</v>
      </c>
      <c r="I387" s="30" t="n">
        <v>22.66</v>
      </c>
      <c r="J387" s="30" t="n">
        <f aca="false">H387*I387</f>
        <v>3.6256</v>
      </c>
      <c r="K387" s="1" t="n">
        <v>47</v>
      </c>
    </row>
    <row r="388" customFormat="false" ht="15" hidden="false" customHeight="false" outlineLevel="0" collapsed="false">
      <c r="B388" s="1" t="s">
        <v>292</v>
      </c>
      <c r="F388" s="57" t="s">
        <v>290</v>
      </c>
      <c r="G388" s="58" t="n">
        <v>2</v>
      </c>
      <c r="H388" s="59" t="n">
        <f aca="false">G388*8/$D$384</f>
        <v>0.32</v>
      </c>
      <c r="I388" s="30" t="n">
        <v>20.51</v>
      </c>
      <c r="J388" s="30" t="n">
        <f aca="false">H388*I388</f>
        <v>6.5632</v>
      </c>
      <c r="K388" s="1" t="n">
        <v>47</v>
      </c>
    </row>
    <row r="389" customFormat="false" ht="15" hidden="false" customHeight="false" outlineLevel="0" collapsed="false">
      <c r="J389" s="55" t="n">
        <f aca="false">ROUND(SUM(J387:J388),2)</f>
        <v>10.19</v>
      </c>
    </row>
    <row r="390" customFormat="false" ht="15" hidden="false" customHeight="false" outlineLevel="0" collapsed="false">
      <c r="B390" s="56" t="s">
        <v>317</v>
      </c>
    </row>
    <row r="391" customFormat="false" ht="15" hidden="false" customHeight="false" outlineLevel="0" collapsed="false">
      <c r="B391" s="1" t="s">
        <v>309</v>
      </c>
      <c r="F391" s="57" t="s">
        <v>310</v>
      </c>
      <c r="H391" s="59" t="n">
        <v>5</v>
      </c>
      <c r="I391" s="30" t="n">
        <f aca="false">J389</f>
        <v>10.19</v>
      </c>
      <c r="J391" s="30" t="n">
        <f aca="false">H391%*I391</f>
        <v>0.5095</v>
      </c>
      <c r="K391" s="1" t="n">
        <v>37</v>
      </c>
    </row>
    <row r="392" customFormat="false" ht="15" hidden="false" customHeight="false" outlineLevel="0" collapsed="false">
      <c r="B392" s="1" t="s">
        <v>401</v>
      </c>
      <c r="F392" s="57" t="s">
        <v>337</v>
      </c>
      <c r="G392" s="58" t="n">
        <v>1</v>
      </c>
      <c r="H392" s="59" t="n">
        <f aca="false">G392*8/$D$384</f>
        <v>0.16</v>
      </c>
      <c r="I392" s="30" t="n">
        <v>85.76</v>
      </c>
      <c r="J392" s="30" t="n">
        <f aca="false">H392*I392</f>
        <v>13.7216</v>
      </c>
      <c r="K392" s="1" t="n">
        <v>48</v>
      </c>
    </row>
    <row r="393" customFormat="false" ht="15" hidden="false" customHeight="false" outlineLevel="0" collapsed="false">
      <c r="B393" s="1" t="s">
        <v>402</v>
      </c>
      <c r="F393" s="57" t="s">
        <v>337</v>
      </c>
      <c r="G393" s="58" t="n">
        <v>5</v>
      </c>
      <c r="H393" s="59" t="n">
        <f aca="false">G393*8/$D$384</f>
        <v>0.8</v>
      </c>
      <c r="I393" s="30" t="n">
        <v>10.17</v>
      </c>
      <c r="J393" s="30" t="n">
        <f aca="false">H393*I393</f>
        <v>8.136</v>
      </c>
      <c r="K393" s="1" t="n">
        <v>48</v>
      </c>
    </row>
    <row r="394" customFormat="false" ht="15" hidden="false" customHeight="false" outlineLevel="0" collapsed="false">
      <c r="A394" s="62"/>
      <c r="B394" s="62"/>
      <c r="C394" s="62"/>
      <c r="D394" s="62"/>
      <c r="E394" s="62"/>
      <c r="F394" s="62"/>
      <c r="G394" s="62"/>
      <c r="H394" s="62"/>
      <c r="I394" s="62"/>
      <c r="J394" s="63" t="n">
        <f aca="false">ROUND(SUM(J391:J393),2)</f>
        <v>22.37</v>
      </c>
    </row>
    <row r="396" customFormat="false" ht="15" hidden="false" customHeight="false" outlineLevel="0" collapsed="false">
      <c r="A396" s="14" t="s">
        <v>276</v>
      </c>
      <c r="B396" s="14" t="str">
        <f aca="false">PROVISIONALES!A41</f>
        <v>1.4.1.2</v>
      </c>
      <c r="C396" s="14" t="s">
        <v>403</v>
      </c>
      <c r="D396" s="14"/>
      <c r="E396" s="14"/>
      <c r="F396" s="14"/>
      <c r="G396" s="14"/>
      <c r="H396" s="14"/>
      <c r="I396" s="14"/>
    </row>
    <row r="397" customFormat="false" ht="15" hidden="false" customHeight="false" outlineLevel="0" collapsed="false">
      <c r="A397" s="14" t="s">
        <v>277</v>
      </c>
      <c r="B397" s="14" t="s">
        <v>325</v>
      </c>
      <c r="C397" s="38" t="s">
        <v>279</v>
      </c>
      <c r="D397" s="54" t="n">
        <v>6</v>
      </c>
      <c r="E397" s="38" t="s">
        <v>280</v>
      </c>
      <c r="F397" s="54" t="n">
        <f aca="false">D397</f>
        <v>6</v>
      </c>
      <c r="G397" s="14" t="s">
        <v>281</v>
      </c>
      <c r="I397" s="38" t="s">
        <v>148</v>
      </c>
      <c r="J397" s="55" t="n">
        <f aca="false">J402++J408+J411</f>
        <v>115.48</v>
      </c>
    </row>
    <row r="398" customFormat="false" ht="15" hidden="false" customHeight="false" outlineLevel="0" collapsed="false">
      <c r="A398" s="14" t="s">
        <v>282</v>
      </c>
      <c r="B398" s="14" t="s">
        <v>283</v>
      </c>
      <c r="F398" s="38" t="s">
        <v>121</v>
      </c>
      <c r="G398" s="38" t="s">
        <v>284</v>
      </c>
      <c r="H398" s="38" t="s">
        <v>285</v>
      </c>
      <c r="I398" s="38" t="s">
        <v>286</v>
      </c>
      <c r="J398" s="38" t="s">
        <v>287</v>
      </c>
    </row>
    <row r="399" customFormat="false" ht="15" hidden="false" customHeight="false" outlineLevel="0" collapsed="false">
      <c r="B399" s="56" t="s">
        <v>288</v>
      </c>
    </row>
    <row r="400" customFormat="false" ht="15" hidden="false" customHeight="false" outlineLevel="0" collapsed="false">
      <c r="B400" s="1" t="s">
        <v>404</v>
      </c>
      <c r="F400" s="57" t="s">
        <v>290</v>
      </c>
      <c r="G400" s="58" t="n">
        <v>1</v>
      </c>
      <c r="H400" s="59" t="n">
        <f aca="false">G400*8/$D$397</f>
        <v>1.33333333333333</v>
      </c>
      <c r="I400" s="30" t="n">
        <v>28.94</v>
      </c>
      <c r="J400" s="30" t="n">
        <f aca="false">H400*I400</f>
        <v>38.5866666666667</v>
      </c>
      <c r="K400" s="1" t="n">
        <v>47</v>
      </c>
    </row>
    <row r="401" customFormat="false" ht="15" hidden="false" customHeight="false" outlineLevel="0" collapsed="false">
      <c r="B401" s="1" t="s">
        <v>292</v>
      </c>
      <c r="F401" s="57" t="s">
        <v>290</v>
      </c>
      <c r="G401" s="58" t="n">
        <v>1</v>
      </c>
      <c r="H401" s="59" t="n">
        <f aca="false">G401*8/$D$397</f>
        <v>1.33333333333333</v>
      </c>
      <c r="I401" s="30" t="n">
        <v>20.51</v>
      </c>
      <c r="J401" s="30" t="n">
        <f aca="false">H401*I401</f>
        <v>27.3466666666667</v>
      </c>
      <c r="K401" s="1" t="n">
        <v>47</v>
      </c>
    </row>
    <row r="402" customFormat="false" ht="15" hidden="false" customHeight="false" outlineLevel="0" collapsed="false">
      <c r="J402" s="55" t="n">
        <f aca="false">ROUND(SUM(J400:J401),2)</f>
        <v>65.93</v>
      </c>
    </row>
    <row r="403" customFormat="false" ht="15" hidden="false" customHeight="false" outlineLevel="0" collapsed="false">
      <c r="B403" s="56" t="s">
        <v>293</v>
      </c>
    </row>
    <row r="404" customFormat="false" ht="15" hidden="false" customHeight="false" outlineLevel="0" collapsed="false">
      <c r="B404" s="1" t="s">
        <v>405</v>
      </c>
      <c r="F404" s="57" t="s">
        <v>148</v>
      </c>
      <c r="H404" s="59" t="n">
        <v>1</v>
      </c>
      <c r="I404" s="30" t="n">
        <v>10.85</v>
      </c>
      <c r="J404" s="30" t="n">
        <f aca="false">H404*I404</f>
        <v>10.85</v>
      </c>
      <c r="K404" s="1" t="n">
        <v>39</v>
      </c>
    </row>
    <row r="405" customFormat="false" ht="15" hidden="false" customHeight="false" outlineLevel="0" collapsed="false">
      <c r="B405" s="1" t="s">
        <v>300</v>
      </c>
      <c r="F405" s="57" t="s">
        <v>295</v>
      </c>
      <c r="G405" s="58"/>
      <c r="H405" s="59" t="n">
        <v>0.012</v>
      </c>
      <c r="I405" s="30" t="n">
        <v>5.51</v>
      </c>
      <c r="J405" s="30" t="n">
        <f aca="false">H405*I405</f>
        <v>0.06612</v>
      </c>
      <c r="K405" s="1" t="n">
        <v>2</v>
      </c>
    </row>
    <row r="406" customFormat="false" ht="15" hidden="false" customHeight="false" outlineLevel="0" collapsed="false">
      <c r="B406" s="1" t="s">
        <v>301</v>
      </c>
      <c r="F406" s="57" t="s">
        <v>202</v>
      </c>
      <c r="G406" s="58"/>
      <c r="H406" s="59" t="n">
        <v>0.08</v>
      </c>
      <c r="I406" s="30" t="n">
        <v>70.92</v>
      </c>
      <c r="J406" s="30" t="n">
        <f aca="false">H406*I406</f>
        <v>5.6736</v>
      </c>
      <c r="K406" s="1" t="n">
        <v>38</v>
      </c>
    </row>
    <row r="407" customFormat="false" ht="15" hidden="false" customHeight="false" outlineLevel="0" collapsed="false">
      <c r="B407" s="1" t="s">
        <v>406</v>
      </c>
      <c r="F407" s="57" t="s">
        <v>148</v>
      </c>
      <c r="H407" s="1" t="n">
        <v>1</v>
      </c>
      <c r="I407" s="1" t="n">
        <v>29.66</v>
      </c>
      <c r="J407" s="30" t="n">
        <f aca="false">H407*I407</f>
        <v>29.66</v>
      </c>
      <c r="K407" s="1" t="n">
        <v>39</v>
      </c>
    </row>
    <row r="408" customFormat="false" ht="15" hidden="false" customHeight="false" outlineLevel="0" collapsed="false">
      <c r="J408" s="55" t="n">
        <f aca="false">ROUND(SUM(J404:J407),2)</f>
        <v>46.25</v>
      </c>
    </row>
    <row r="409" customFormat="false" ht="15" hidden="false" customHeight="false" outlineLevel="0" collapsed="false">
      <c r="B409" s="56" t="s">
        <v>317</v>
      </c>
    </row>
    <row r="410" customFormat="false" ht="15" hidden="false" customHeight="false" outlineLevel="0" collapsed="false">
      <c r="B410" s="1" t="s">
        <v>309</v>
      </c>
      <c r="F410" s="57" t="s">
        <v>310</v>
      </c>
      <c r="H410" s="59" t="n">
        <v>5</v>
      </c>
      <c r="I410" s="30" t="n">
        <f aca="false">J402</f>
        <v>65.93</v>
      </c>
      <c r="J410" s="30" t="n">
        <f aca="false">H410%*I410</f>
        <v>3.2965</v>
      </c>
      <c r="K410" s="1" t="n">
        <v>37</v>
      </c>
    </row>
    <row r="411" customFormat="false" ht="15" hidden="false" customHeight="false" outlineLevel="0" collapsed="false">
      <c r="A411" s="62"/>
      <c r="B411" s="62"/>
      <c r="C411" s="62"/>
      <c r="D411" s="62"/>
      <c r="E411" s="62"/>
      <c r="F411" s="62"/>
      <c r="G411" s="62"/>
      <c r="H411" s="62"/>
      <c r="I411" s="62"/>
      <c r="J411" s="63" t="n">
        <f aca="false">ROUND(SUM(J410),2)</f>
        <v>3.3</v>
      </c>
    </row>
    <row r="413" customFormat="false" ht="15" hidden="false" customHeight="false" outlineLevel="0" collapsed="false">
      <c r="A413" s="14" t="s">
        <v>333</v>
      </c>
      <c r="B413" s="14" t="str">
        <f aca="false">PROVISIONALES!A43</f>
        <v>1.4.2.1</v>
      </c>
      <c r="C413" s="14" t="s">
        <v>407</v>
      </c>
      <c r="D413" s="14"/>
      <c r="E413" s="14"/>
      <c r="F413" s="14"/>
      <c r="G413" s="14"/>
      <c r="H413" s="14"/>
      <c r="I413" s="14"/>
    </row>
    <row r="414" customFormat="false" ht="15" hidden="false" customHeight="false" outlineLevel="0" collapsed="false">
      <c r="A414" s="14" t="s">
        <v>277</v>
      </c>
      <c r="B414" s="14" t="s">
        <v>331</v>
      </c>
      <c r="C414" s="38" t="s">
        <v>279</v>
      </c>
      <c r="D414" s="54" t="n">
        <v>1</v>
      </c>
      <c r="E414" s="38" t="s">
        <v>280</v>
      </c>
      <c r="F414" s="54" t="n">
        <f aca="false">D414</f>
        <v>1</v>
      </c>
      <c r="G414" s="14" t="s">
        <v>281</v>
      </c>
      <c r="I414" s="38" t="s">
        <v>153</v>
      </c>
      <c r="J414" s="55" t="n">
        <f aca="false">J420</f>
        <v>135.96</v>
      </c>
    </row>
    <row r="415" customFormat="false" ht="15" hidden="false" customHeight="false" outlineLevel="0" collapsed="false">
      <c r="A415" s="14" t="s">
        <v>282</v>
      </c>
      <c r="B415" s="14" t="s">
        <v>283</v>
      </c>
      <c r="F415" s="38" t="s">
        <v>121</v>
      </c>
      <c r="G415" s="38" t="s">
        <v>284</v>
      </c>
      <c r="H415" s="38" t="s">
        <v>285</v>
      </c>
      <c r="I415" s="38" t="s">
        <v>286</v>
      </c>
      <c r="J415" s="38" t="s">
        <v>287</v>
      </c>
    </row>
    <row r="416" customFormat="false" ht="15" hidden="false" customHeight="false" outlineLevel="0" collapsed="false">
      <c r="B416" s="56" t="s">
        <v>293</v>
      </c>
    </row>
    <row r="417" customFormat="false" ht="15" hidden="false" customHeight="false" outlineLevel="0" collapsed="false">
      <c r="B417" s="1" t="s">
        <v>408</v>
      </c>
      <c r="F417" s="57" t="s">
        <v>148</v>
      </c>
      <c r="G417" s="58"/>
      <c r="H417" s="59" t="n">
        <v>80</v>
      </c>
      <c r="I417" s="1" t="n">
        <v>0.42</v>
      </c>
      <c r="J417" s="30" t="n">
        <f aca="false">H417*I417</f>
        <v>33.6</v>
      </c>
      <c r="K417" s="1" t="n">
        <v>39</v>
      </c>
    </row>
    <row r="418" customFormat="false" ht="15" hidden="false" customHeight="false" outlineLevel="0" collapsed="false">
      <c r="B418" s="1" t="s">
        <v>409</v>
      </c>
      <c r="F418" s="57" t="s">
        <v>148</v>
      </c>
      <c r="H418" s="59" t="n">
        <v>80</v>
      </c>
      <c r="I418" s="1" t="n">
        <v>1.1</v>
      </c>
      <c r="J418" s="30" t="n">
        <f aca="false">H418*I418</f>
        <v>88</v>
      </c>
      <c r="K418" s="1" t="n">
        <v>39</v>
      </c>
    </row>
    <row r="419" customFormat="false" ht="15" hidden="false" customHeight="false" outlineLevel="0" collapsed="false">
      <c r="B419" s="1" t="s">
        <v>410</v>
      </c>
      <c r="F419" s="57" t="s">
        <v>148</v>
      </c>
      <c r="H419" s="59" t="n">
        <v>0.05</v>
      </c>
      <c r="I419" s="1" t="n">
        <v>287.28</v>
      </c>
      <c r="J419" s="30" t="n">
        <f aca="false">H419*I419</f>
        <v>14.364</v>
      </c>
      <c r="K419" s="1" t="n">
        <v>39</v>
      </c>
    </row>
    <row r="420" customFormat="false" ht="15" hidden="false" customHeight="false" outlineLevel="0" collapsed="false">
      <c r="A420" s="62"/>
      <c r="B420" s="62"/>
      <c r="C420" s="62"/>
      <c r="D420" s="62"/>
      <c r="E420" s="62"/>
      <c r="F420" s="66"/>
      <c r="G420" s="67"/>
      <c r="H420" s="68"/>
      <c r="I420" s="69"/>
      <c r="J420" s="63" t="n">
        <f aca="false">ROUND(SUM(J417:J419),2)</f>
        <v>135.96</v>
      </c>
    </row>
    <row r="422" customFormat="false" ht="15" hidden="false" customHeight="false" outlineLevel="0" collapsed="false">
      <c r="A422" s="14" t="s">
        <v>333</v>
      </c>
      <c r="B422" s="14" t="str">
        <f aca="false">PROVISIONALES!A45</f>
        <v>1.4.3.1</v>
      </c>
      <c r="C422" s="14" t="s">
        <v>411</v>
      </c>
      <c r="D422" s="14"/>
      <c r="E422" s="14"/>
      <c r="F422" s="14"/>
      <c r="G422" s="14"/>
      <c r="H422" s="14"/>
      <c r="I422" s="14"/>
    </row>
    <row r="423" customFormat="false" ht="15" hidden="false" customHeight="false" outlineLevel="0" collapsed="false">
      <c r="A423" s="14" t="s">
        <v>277</v>
      </c>
      <c r="B423" s="14" t="s">
        <v>412</v>
      </c>
      <c r="C423" s="38" t="s">
        <v>279</v>
      </c>
      <c r="D423" s="54" t="n">
        <v>1</v>
      </c>
      <c r="E423" s="38" t="s">
        <v>280</v>
      </c>
      <c r="F423" s="54" t="n">
        <f aca="false">D423</f>
        <v>1</v>
      </c>
      <c r="G423" s="14" t="s">
        <v>281</v>
      </c>
      <c r="I423" s="38" t="s">
        <v>213</v>
      </c>
      <c r="J423" s="55" t="n">
        <f aca="false">J427</f>
        <v>1915.25</v>
      </c>
    </row>
    <row r="424" customFormat="false" ht="15" hidden="false" customHeight="false" outlineLevel="0" collapsed="false">
      <c r="A424" s="14" t="s">
        <v>282</v>
      </c>
      <c r="B424" s="14" t="s">
        <v>283</v>
      </c>
      <c r="F424" s="38" t="s">
        <v>121</v>
      </c>
      <c r="G424" s="38" t="s">
        <v>284</v>
      </c>
      <c r="H424" s="38" t="s">
        <v>285</v>
      </c>
      <c r="I424" s="38" t="s">
        <v>286</v>
      </c>
      <c r="J424" s="38" t="s">
        <v>287</v>
      </c>
    </row>
    <row r="425" customFormat="false" ht="15" hidden="false" customHeight="false" outlineLevel="0" collapsed="false">
      <c r="B425" s="56" t="s">
        <v>293</v>
      </c>
    </row>
    <row r="426" customFormat="false" ht="15" hidden="false" customHeight="false" outlineLevel="0" collapsed="false">
      <c r="B426" s="1" t="s">
        <v>413</v>
      </c>
      <c r="F426" s="57" t="s">
        <v>148</v>
      </c>
      <c r="G426" s="58"/>
      <c r="H426" s="59" t="n">
        <v>1</v>
      </c>
      <c r="I426" s="1" t="n">
        <v>1915.25</v>
      </c>
      <c r="J426" s="30" t="n">
        <f aca="false">H426*I426</f>
        <v>1915.25</v>
      </c>
      <c r="K426" s="1" t="n">
        <v>39</v>
      </c>
    </row>
    <row r="427" customFormat="false" ht="15" hidden="false" customHeight="false" outlineLevel="0" collapsed="false">
      <c r="A427" s="62"/>
      <c r="B427" s="62"/>
      <c r="C427" s="62"/>
      <c r="D427" s="62"/>
      <c r="E427" s="62"/>
      <c r="F427" s="66"/>
      <c r="G427" s="67"/>
      <c r="H427" s="68"/>
      <c r="I427" s="69"/>
      <c r="J427" s="63" t="n">
        <f aca="false">ROUND(SUM(J426),2)</f>
        <v>1915.25</v>
      </c>
    </row>
    <row r="428" customFormat="false" ht="15" hidden="false" customHeight="false" outlineLevel="0" collapsed="false">
      <c r="F428" s="57"/>
      <c r="G428" s="58"/>
      <c r="H428" s="59"/>
      <c r="I428" s="30"/>
      <c r="J428" s="55"/>
    </row>
    <row r="429" customFormat="false" ht="15" hidden="false" customHeight="false" outlineLevel="0" collapsed="false">
      <c r="A429" s="14" t="s">
        <v>276</v>
      </c>
      <c r="B429" s="14" t="str">
        <f aca="false">PROVISIONALES!A48</f>
        <v>1.4.4.1.1</v>
      </c>
      <c r="C429" s="14" t="s">
        <v>219</v>
      </c>
      <c r="D429" s="14"/>
      <c r="E429" s="14"/>
      <c r="F429" s="14"/>
      <c r="G429" s="14"/>
      <c r="H429" s="14"/>
      <c r="I429" s="14"/>
    </row>
    <row r="430" customFormat="false" ht="15" hidden="false" customHeight="false" outlineLevel="0" collapsed="false">
      <c r="A430" s="14" t="s">
        <v>277</v>
      </c>
      <c r="B430" s="14" t="s">
        <v>325</v>
      </c>
      <c r="C430" s="38" t="s">
        <v>279</v>
      </c>
      <c r="D430" s="54" t="n">
        <v>7.5</v>
      </c>
      <c r="E430" s="38" t="s">
        <v>280</v>
      </c>
      <c r="F430" s="54" t="n">
        <f aca="false">D430</f>
        <v>7.5</v>
      </c>
      <c r="G430" s="14" t="s">
        <v>281</v>
      </c>
      <c r="I430" s="38" t="s">
        <v>148</v>
      </c>
      <c r="J430" s="55" t="n">
        <f aca="false">J434++J437+J440</f>
        <v>167.04</v>
      </c>
    </row>
    <row r="431" customFormat="false" ht="15" hidden="false" customHeight="false" outlineLevel="0" collapsed="false">
      <c r="A431" s="14" t="s">
        <v>282</v>
      </c>
      <c r="B431" s="14" t="s">
        <v>283</v>
      </c>
      <c r="F431" s="38" t="s">
        <v>121</v>
      </c>
      <c r="G431" s="38" t="s">
        <v>284</v>
      </c>
      <c r="H431" s="38" t="s">
        <v>285</v>
      </c>
      <c r="I431" s="38" t="s">
        <v>286</v>
      </c>
      <c r="J431" s="38" t="s">
        <v>287</v>
      </c>
    </row>
    <row r="432" customFormat="false" ht="15" hidden="false" customHeight="false" outlineLevel="0" collapsed="false">
      <c r="B432" s="56" t="s">
        <v>288</v>
      </c>
    </row>
    <row r="433" customFormat="false" ht="15" hidden="false" customHeight="false" outlineLevel="0" collapsed="false">
      <c r="B433" s="1" t="s">
        <v>292</v>
      </c>
      <c r="F433" s="57" t="s">
        <v>290</v>
      </c>
      <c r="G433" s="58" t="n">
        <v>1</v>
      </c>
      <c r="H433" s="59" t="n">
        <f aca="false">G433*8/$D$430</f>
        <v>1.06666666666667</v>
      </c>
      <c r="I433" s="30" t="n">
        <v>20.51</v>
      </c>
      <c r="J433" s="30" t="n">
        <f aca="false">H433*I433</f>
        <v>21.8773333333333</v>
      </c>
      <c r="K433" s="1" t="n">
        <v>47</v>
      </c>
    </row>
    <row r="434" customFormat="false" ht="15" hidden="false" customHeight="false" outlineLevel="0" collapsed="false">
      <c r="J434" s="55" t="n">
        <f aca="false">ROUND(SUM(J433),2)</f>
        <v>21.88</v>
      </c>
    </row>
    <row r="435" customFormat="false" ht="15" hidden="false" customHeight="false" outlineLevel="0" collapsed="false">
      <c r="B435" s="56" t="s">
        <v>293</v>
      </c>
    </row>
    <row r="436" customFormat="false" ht="15" hidden="false" customHeight="false" outlineLevel="0" collapsed="false">
      <c r="B436" s="1" t="s">
        <v>414</v>
      </c>
      <c r="F436" s="57" t="s">
        <v>148</v>
      </c>
      <c r="H436" s="58" t="n">
        <v>1</v>
      </c>
      <c r="I436" s="59" t="n">
        <v>144.07</v>
      </c>
      <c r="J436" s="30" t="n">
        <f aca="false">H436*I436</f>
        <v>144.07</v>
      </c>
      <c r="K436" s="1" t="n">
        <v>39</v>
      </c>
    </row>
    <row r="437" customFormat="false" ht="15" hidden="false" customHeight="false" outlineLevel="0" collapsed="false">
      <c r="J437" s="55" t="n">
        <f aca="false">ROUND(SUM(J436),2)</f>
        <v>144.07</v>
      </c>
    </row>
    <row r="438" customFormat="false" ht="15" hidden="false" customHeight="false" outlineLevel="0" collapsed="false">
      <c r="B438" s="56" t="s">
        <v>317</v>
      </c>
    </row>
    <row r="439" customFormat="false" ht="15" hidden="false" customHeight="false" outlineLevel="0" collapsed="false">
      <c r="B439" s="1" t="s">
        <v>309</v>
      </c>
      <c r="F439" s="57" t="s">
        <v>310</v>
      </c>
      <c r="H439" s="59" t="n">
        <v>5</v>
      </c>
      <c r="I439" s="30" t="n">
        <f aca="false">J434</f>
        <v>21.88</v>
      </c>
      <c r="J439" s="30" t="n">
        <f aca="false">H439%*I439</f>
        <v>1.094</v>
      </c>
      <c r="K439" s="1" t="n">
        <v>37</v>
      </c>
    </row>
    <row r="440" customFormat="false" ht="15" hidden="false" customHeight="false" outlineLevel="0" collapsed="false">
      <c r="A440" s="62"/>
      <c r="B440" s="62"/>
      <c r="C440" s="62"/>
      <c r="D440" s="62"/>
      <c r="E440" s="62"/>
      <c r="F440" s="62"/>
      <c r="G440" s="62"/>
      <c r="H440" s="62"/>
      <c r="I440" s="62"/>
      <c r="J440" s="63" t="n">
        <f aca="false">ROUND(SUM(J439),2)</f>
        <v>1.09</v>
      </c>
    </row>
    <row r="442" customFormat="false" ht="15" hidden="false" customHeight="false" outlineLevel="0" collapsed="false">
      <c r="A442" s="14" t="s">
        <v>276</v>
      </c>
      <c r="B442" s="14" t="str">
        <f aca="false">PROVISIONALES!A49</f>
        <v>1.4.4.1.2</v>
      </c>
      <c r="C442" s="14" t="s">
        <v>221</v>
      </c>
      <c r="D442" s="14"/>
      <c r="E442" s="14"/>
      <c r="F442" s="14"/>
      <c r="G442" s="14"/>
      <c r="H442" s="14"/>
      <c r="I442" s="14"/>
    </row>
    <row r="443" customFormat="false" ht="15" hidden="false" customHeight="false" outlineLevel="0" collapsed="false">
      <c r="A443" s="14" t="s">
        <v>277</v>
      </c>
      <c r="B443" s="14" t="s">
        <v>415</v>
      </c>
      <c r="C443" s="38" t="s">
        <v>279</v>
      </c>
      <c r="D443" s="54" t="n">
        <v>45</v>
      </c>
      <c r="E443" s="38" t="s">
        <v>280</v>
      </c>
      <c r="F443" s="54" t="n">
        <f aca="false">D443</f>
        <v>45</v>
      </c>
      <c r="G443" s="14" t="s">
        <v>281</v>
      </c>
      <c r="I443" s="38" t="s">
        <v>202</v>
      </c>
      <c r="J443" s="55" t="n">
        <f aca="false">J447++J455+J458</f>
        <v>163.19</v>
      </c>
    </row>
    <row r="444" customFormat="false" ht="15" hidden="false" customHeight="false" outlineLevel="0" collapsed="false">
      <c r="A444" s="14" t="s">
        <v>282</v>
      </c>
      <c r="B444" s="14" t="s">
        <v>283</v>
      </c>
      <c r="F444" s="38" t="s">
        <v>121</v>
      </c>
      <c r="G444" s="38" t="s">
        <v>284</v>
      </c>
      <c r="H444" s="38" t="s">
        <v>285</v>
      </c>
      <c r="I444" s="38" t="s">
        <v>286</v>
      </c>
      <c r="J444" s="38" t="s">
        <v>287</v>
      </c>
    </row>
    <row r="445" customFormat="false" ht="15" hidden="false" customHeight="false" outlineLevel="0" collapsed="false">
      <c r="B445" s="56" t="s">
        <v>288</v>
      </c>
    </row>
    <row r="446" customFormat="false" ht="15" hidden="false" customHeight="false" outlineLevel="0" collapsed="false">
      <c r="B446" s="1" t="s">
        <v>292</v>
      </c>
      <c r="F446" s="57" t="s">
        <v>290</v>
      </c>
      <c r="G446" s="58" t="n">
        <v>4</v>
      </c>
      <c r="H446" s="59" t="n">
        <f aca="false">G446*8/$D$443</f>
        <v>0.711111111111111</v>
      </c>
      <c r="I446" s="30" t="n">
        <v>20.51</v>
      </c>
      <c r="J446" s="30" t="n">
        <f aca="false">H446*I446</f>
        <v>14.5848888888889</v>
      </c>
      <c r="K446" s="1" t="n">
        <v>47</v>
      </c>
    </row>
    <row r="447" customFormat="false" ht="15" hidden="false" customHeight="false" outlineLevel="0" collapsed="false">
      <c r="J447" s="55" t="n">
        <f aca="false">ROUND(SUM(J446),2)</f>
        <v>14.58</v>
      </c>
    </row>
    <row r="448" customFormat="false" ht="15" hidden="false" customHeight="false" outlineLevel="0" collapsed="false">
      <c r="B448" s="56" t="s">
        <v>293</v>
      </c>
    </row>
    <row r="449" customFormat="false" ht="15" hidden="false" customHeight="false" outlineLevel="0" collapsed="false">
      <c r="B449" s="1" t="s">
        <v>416</v>
      </c>
      <c r="F449" s="57" t="s">
        <v>148</v>
      </c>
      <c r="G449" s="58"/>
      <c r="H449" s="59" t="n">
        <v>2</v>
      </c>
      <c r="I449" s="30" t="n">
        <v>29.66</v>
      </c>
      <c r="J449" s="30" t="n">
        <f aca="false">H449*I449</f>
        <v>59.32</v>
      </c>
      <c r="K449" s="1" t="n">
        <v>39</v>
      </c>
    </row>
    <row r="450" customFormat="false" ht="15" hidden="false" customHeight="false" outlineLevel="0" collapsed="false">
      <c r="B450" s="1" t="s">
        <v>417</v>
      </c>
      <c r="F450" s="57" t="s">
        <v>418</v>
      </c>
      <c r="G450" s="58"/>
      <c r="H450" s="59" t="n">
        <v>5</v>
      </c>
      <c r="I450" s="30" t="n">
        <v>8.9</v>
      </c>
      <c r="J450" s="30" t="n">
        <f aca="false">H450*I450</f>
        <v>44.5</v>
      </c>
      <c r="K450" s="1" t="n">
        <v>39</v>
      </c>
    </row>
    <row r="451" customFormat="false" ht="15" hidden="false" customHeight="false" outlineLevel="0" collapsed="false">
      <c r="B451" s="1" t="s">
        <v>419</v>
      </c>
      <c r="F451" s="57" t="s">
        <v>148</v>
      </c>
      <c r="H451" s="59" t="n">
        <v>3</v>
      </c>
      <c r="I451" s="30" t="n">
        <v>3.39</v>
      </c>
      <c r="J451" s="30" t="n">
        <f aca="false">H451*I451</f>
        <v>10.17</v>
      </c>
      <c r="K451" s="1" t="n">
        <v>39</v>
      </c>
    </row>
    <row r="452" customFormat="false" ht="15" hidden="false" customHeight="false" outlineLevel="0" collapsed="false">
      <c r="B452" s="1" t="s">
        <v>420</v>
      </c>
      <c r="F452" s="57" t="s">
        <v>148</v>
      </c>
      <c r="G452" s="58"/>
      <c r="H452" s="59" t="n">
        <v>2</v>
      </c>
      <c r="I452" s="30" t="n">
        <v>8.47</v>
      </c>
      <c r="J452" s="30" t="n">
        <f aca="false">H452*I452</f>
        <v>16.94</v>
      </c>
      <c r="K452" s="1" t="n">
        <v>39</v>
      </c>
    </row>
    <row r="453" customFormat="false" ht="15" hidden="false" customHeight="false" outlineLevel="0" collapsed="false">
      <c r="B453" s="1" t="s">
        <v>421</v>
      </c>
      <c r="F453" s="57" t="s">
        <v>148</v>
      </c>
      <c r="H453" s="59" t="n">
        <v>0.1</v>
      </c>
      <c r="I453" s="30" t="n">
        <v>55.08</v>
      </c>
      <c r="J453" s="30" t="n">
        <f aca="false">H453*I453</f>
        <v>5.508</v>
      </c>
      <c r="K453" s="1" t="n">
        <v>39</v>
      </c>
    </row>
    <row r="454" customFormat="false" ht="15" hidden="false" customHeight="false" outlineLevel="0" collapsed="false">
      <c r="B454" s="1" t="s">
        <v>422</v>
      </c>
      <c r="F454" s="57" t="s">
        <v>148</v>
      </c>
      <c r="H454" s="59" t="n">
        <v>0.5</v>
      </c>
      <c r="I454" s="30" t="n">
        <v>22.88</v>
      </c>
      <c r="J454" s="30" t="n">
        <f aca="false">H454*I454</f>
        <v>11.44</v>
      </c>
      <c r="K454" s="1" t="n">
        <v>39</v>
      </c>
    </row>
    <row r="455" customFormat="false" ht="15" hidden="false" customHeight="false" outlineLevel="0" collapsed="false">
      <c r="J455" s="55" t="n">
        <f aca="false">ROUND(SUM(J449:J454),2)</f>
        <v>147.88</v>
      </c>
    </row>
    <row r="456" customFormat="false" ht="15" hidden="false" customHeight="false" outlineLevel="0" collapsed="false">
      <c r="B456" s="56" t="s">
        <v>308</v>
      </c>
    </row>
    <row r="457" customFormat="false" ht="15" hidden="false" customHeight="false" outlineLevel="0" collapsed="false">
      <c r="B457" s="1" t="s">
        <v>309</v>
      </c>
      <c r="F457" s="57" t="s">
        <v>310</v>
      </c>
      <c r="H457" s="59" t="n">
        <v>5</v>
      </c>
      <c r="I457" s="30" t="n">
        <f aca="false">J447</f>
        <v>14.58</v>
      </c>
      <c r="J457" s="30" t="n">
        <f aca="false">H457%*I457</f>
        <v>0.729</v>
      </c>
      <c r="K457" s="1" t="n">
        <v>37</v>
      </c>
    </row>
    <row r="458" customFormat="false" ht="15" hidden="false" customHeight="false" outlineLevel="0" collapsed="false">
      <c r="A458" s="62"/>
      <c r="B458" s="62"/>
      <c r="C458" s="62"/>
      <c r="D458" s="62"/>
      <c r="E458" s="62"/>
      <c r="F458" s="62"/>
      <c r="G458" s="62"/>
      <c r="H458" s="62"/>
      <c r="I458" s="62"/>
      <c r="J458" s="63" t="n">
        <f aca="false">ROUND(SUM(J457),2)</f>
        <v>0.73</v>
      </c>
    </row>
    <row r="460" customFormat="false" ht="15" hidden="false" customHeight="false" outlineLevel="0" collapsed="false">
      <c r="A460" s="14" t="s">
        <v>333</v>
      </c>
      <c r="B460" s="14" t="str">
        <f aca="false">PROVISIONALES!A50</f>
        <v>1.4.4.1.3</v>
      </c>
      <c r="C460" s="14" t="s">
        <v>223</v>
      </c>
      <c r="D460" s="14"/>
      <c r="E460" s="14"/>
      <c r="F460" s="14"/>
      <c r="G460" s="14"/>
      <c r="H460" s="14"/>
      <c r="I460" s="14"/>
    </row>
    <row r="461" customFormat="false" ht="15" hidden="false" customHeight="false" outlineLevel="0" collapsed="false">
      <c r="A461" s="14" t="s">
        <v>277</v>
      </c>
      <c r="B461" s="14" t="s">
        <v>415</v>
      </c>
      <c r="C461" s="38" t="s">
        <v>279</v>
      </c>
      <c r="D461" s="54" t="n">
        <v>1</v>
      </c>
      <c r="E461" s="38" t="s">
        <v>280</v>
      </c>
      <c r="F461" s="54" t="n">
        <f aca="false">D461</f>
        <v>1</v>
      </c>
      <c r="G461" s="14" t="s">
        <v>281</v>
      </c>
      <c r="I461" s="38" t="s">
        <v>202</v>
      </c>
      <c r="J461" s="55" t="n">
        <f aca="false">J465</f>
        <v>406.78</v>
      </c>
    </row>
    <row r="462" customFormat="false" ht="15" hidden="false" customHeight="false" outlineLevel="0" collapsed="false">
      <c r="A462" s="14" t="s">
        <v>282</v>
      </c>
      <c r="B462" s="14" t="s">
        <v>283</v>
      </c>
      <c r="F462" s="38" t="s">
        <v>121</v>
      </c>
      <c r="G462" s="38" t="s">
        <v>284</v>
      </c>
      <c r="H462" s="38" t="s">
        <v>285</v>
      </c>
      <c r="I462" s="38" t="s">
        <v>286</v>
      </c>
      <c r="J462" s="38" t="s">
        <v>287</v>
      </c>
    </row>
    <row r="463" customFormat="false" ht="15" hidden="false" customHeight="false" outlineLevel="0" collapsed="false">
      <c r="B463" s="56" t="s">
        <v>293</v>
      </c>
    </row>
    <row r="464" customFormat="false" ht="15" hidden="false" customHeight="false" outlineLevel="0" collapsed="false">
      <c r="B464" s="1" t="s">
        <v>423</v>
      </c>
      <c r="F464" s="57" t="s">
        <v>424</v>
      </c>
      <c r="G464" s="58"/>
      <c r="H464" s="59" t="n">
        <v>1</v>
      </c>
      <c r="I464" s="1" t="n">
        <v>406.78</v>
      </c>
      <c r="J464" s="30" t="n">
        <f aca="false">H464*I464</f>
        <v>406.78</v>
      </c>
      <c r="K464" s="1" t="n">
        <v>39</v>
      </c>
    </row>
    <row r="465" customFormat="false" ht="15" hidden="false" customHeight="false" outlineLevel="0" collapsed="false">
      <c r="A465" s="62"/>
      <c r="B465" s="62"/>
      <c r="C465" s="62"/>
      <c r="D465" s="62"/>
      <c r="E465" s="62"/>
      <c r="F465" s="66"/>
      <c r="G465" s="67"/>
      <c r="H465" s="68"/>
      <c r="I465" s="69"/>
      <c r="J465" s="63" t="n">
        <f aca="false">ROUND(SUM(J464),2)</f>
        <v>406.78</v>
      </c>
    </row>
    <row r="467" customFormat="false" ht="15" hidden="false" customHeight="false" outlineLevel="0" collapsed="false">
      <c r="A467" s="14" t="s">
        <v>276</v>
      </c>
      <c r="B467" s="14" t="str">
        <f aca="false">PROVISIONALES!A52</f>
        <v>1.4.4.2.1</v>
      </c>
      <c r="C467" s="14" t="s">
        <v>425</v>
      </c>
      <c r="D467" s="14"/>
      <c r="E467" s="14"/>
      <c r="F467" s="14"/>
      <c r="G467" s="14"/>
      <c r="H467" s="14"/>
      <c r="I467" s="14"/>
    </row>
    <row r="468" customFormat="false" ht="15" hidden="false" customHeight="false" outlineLevel="0" collapsed="false">
      <c r="A468" s="14" t="s">
        <v>277</v>
      </c>
      <c r="B468" s="14" t="s">
        <v>278</v>
      </c>
      <c r="C468" s="38" t="s">
        <v>279</v>
      </c>
      <c r="D468" s="54" t="n">
        <v>30</v>
      </c>
      <c r="E468" s="38" t="s">
        <v>280</v>
      </c>
      <c r="F468" s="54" t="n">
        <f aca="false">D468</f>
        <v>30</v>
      </c>
      <c r="G468" s="14" t="s">
        <v>281</v>
      </c>
      <c r="I468" s="38" t="s">
        <v>132</v>
      </c>
      <c r="J468" s="55" t="n">
        <f aca="false">J474++J482+J485</f>
        <v>80.19</v>
      </c>
    </row>
    <row r="469" customFormat="false" ht="15" hidden="false" customHeight="false" outlineLevel="0" collapsed="false">
      <c r="A469" s="14" t="s">
        <v>282</v>
      </c>
      <c r="B469" s="14" t="s">
        <v>283</v>
      </c>
      <c r="F469" s="38" t="s">
        <v>121</v>
      </c>
      <c r="G469" s="38" t="s">
        <v>284</v>
      </c>
      <c r="H469" s="38" t="s">
        <v>285</v>
      </c>
      <c r="I469" s="38" t="s">
        <v>286</v>
      </c>
      <c r="J469" s="38" t="s">
        <v>287</v>
      </c>
    </row>
    <row r="470" customFormat="false" ht="15" hidden="false" customHeight="false" outlineLevel="0" collapsed="false">
      <c r="B470" s="56" t="s">
        <v>288</v>
      </c>
    </row>
    <row r="471" customFormat="false" ht="15" hidden="false" customHeight="false" outlineLevel="0" collapsed="false">
      <c r="B471" s="1" t="s">
        <v>289</v>
      </c>
      <c r="F471" s="57" t="s">
        <v>290</v>
      </c>
      <c r="G471" s="58" t="n">
        <v>1</v>
      </c>
      <c r="H471" s="59" t="n">
        <f aca="false">G471*8/$D$468</f>
        <v>0.266666666666667</v>
      </c>
      <c r="I471" s="30" t="n">
        <v>28.94</v>
      </c>
      <c r="J471" s="30" t="n">
        <f aca="false">H471*I471</f>
        <v>7.71733333333333</v>
      </c>
      <c r="K471" s="1" t="n">
        <v>47</v>
      </c>
    </row>
    <row r="472" customFormat="false" ht="15" hidden="false" customHeight="false" outlineLevel="0" collapsed="false">
      <c r="B472" s="1" t="s">
        <v>291</v>
      </c>
      <c r="F472" s="57" t="s">
        <v>290</v>
      </c>
      <c r="G472" s="58" t="n">
        <v>1</v>
      </c>
      <c r="H472" s="59" t="n">
        <f aca="false">G472*8/$D$468</f>
        <v>0.266666666666667</v>
      </c>
      <c r="I472" s="30" t="n">
        <v>22.66</v>
      </c>
      <c r="J472" s="30" t="n">
        <f aca="false">H472*I472</f>
        <v>6.04266666666667</v>
      </c>
      <c r="K472" s="1" t="n">
        <v>47</v>
      </c>
    </row>
    <row r="473" customFormat="false" ht="15" hidden="false" customHeight="false" outlineLevel="0" collapsed="false">
      <c r="B473" s="1" t="s">
        <v>292</v>
      </c>
      <c r="F473" s="57" t="s">
        <v>290</v>
      </c>
      <c r="G473" s="58" t="n">
        <v>3</v>
      </c>
      <c r="H473" s="59" t="n">
        <f aca="false">G473*8/$D$468</f>
        <v>0.8</v>
      </c>
      <c r="I473" s="30" t="n">
        <v>20.51</v>
      </c>
      <c r="J473" s="30" t="n">
        <f aca="false">H473*I473</f>
        <v>16.408</v>
      </c>
      <c r="K473" s="1" t="n">
        <v>47</v>
      </c>
    </row>
    <row r="474" customFormat="false" ht="15" hidden="false" customHeight="false" outlineLevel="0" collapsed="false">
      <c r="J474" s="55" t="n">
        <f aca="false">ROUND(SUM(J471:J473),2)</f>
        <v>30.17</v>
      </c>
    </row>
    <row r="475" customFormat="false" ht="15" hidden="false" customHeight="false" outlineLevel="0" collapsed="false">
      <c r="B475" s="56" t="s">
        <v>293</v>
      </c>
    </row>
    <row r="476" customFormat="false" ht="15" hidden="false" customHeight="false" outlineLevel="0" collapsed="false">
      <c r="B476" s="1" t="s">
        <v>294</v>
      </c>
      <c r="F476" s="57" t="s">
        <v>295</v>
      </c>
      <c r="H476" s="1" t="n">
        <v>0.25</v>
      </c>
      <c r="I476" s="1" t="n">
        <v>2.64</v>
      </c>
      <c r="J476" s="30" t="n">
        <f aca="false">H476*I476</f>
        <v>0.66</v>
      </c>
      <c r="K476" s="1" t="n">
        <v>2</v>
      </c>
    </row>
    <row r="477" customFormat="false" ht="15" hidden="false" customHeight="false" outlineLevel="0" collapsed="false">
      <c r="B477" s="1" t="s">
        <v>426</v>
      </c>
      <c r="F477" s="57" t="s">
        <v>148</v>
      </c>
      <c r="G477" s="58"/>
      <c r="H477" s="1" t="n">
        <v>1.05</v>
      </c>
      <c r="I477" s="1" t="n">
        <v>25.25</v>
      </c>
      <c r="J477" s="30" t="n">
        <f aca="false">H477*I477</f>
        <v>26.5125</v>
      </c>
      <c r="K477" s="1" t="n">
        <v>56</v>
      </c>
    </row>
    <row r="478" customFormat="false" ht="15" hidden="false" customHeight="false" outlineLevel="0" collapsed="false">
      <c r="B478" s="1" t="s">
        <v>300</v>
      </c>
      <c r="F478" s="57" t="s">
        <v>295</v>
      </c>
      <c r="G478" s="58"/>
      <c r="H478" s="1" t="n">
        <v>0.071</v>
      </c>
      <c r="I478" s="1" t="n">
        <v>5.51</v>
      </c>
      <c r="J478" s="30" t="n">
        <f aca="false">H478*I478</f>
        <v>0.39121</v>
      </c>
      <c r="K478" s="1" t="n">
        <v>2</v>
      </c>
    </row>
    <row r="479" customFormat="false" ht="15" hidden="false" customHeight="false" outlineLevel="0" collapsed="false">
      <c r="B479" s="1" t="s">
        <v>301</v>
      </c>
      <c r="F479" s="57" t="s">
        <v>427</v>
      </c>
      <c r="H479" s="1" t="n">
        <v>0.019</v>
      </c>
      <c r="I479" s="1" t="n">
        <v>70.92</v>
      </c>
      <c r="J479" s="30" t="n">
        <f aca="false">H479*I479</f>
        <v>1.34748</v>
      </c>
      <c r="K479" s="1" t="n">
        <v>38</v>
      </c>
    </row>
    <row r="480" customFormat="false" ht="15" hidden="false" customHeight="false" outlineLevel="0" collapsed="false">
      <c r="B480" s="1" t="s">
        <v>428</v>
      </c>
      <c r="F480" s="57" t="s">
        <v>429</v>
      </c>
      <c r="H480" s="1" t="n">
        <v>0.25</v>
      </c>
      <c r="I480" s="1" t="n">
        <v>23.31</v>
      </c>
      <c r="J480" s="30" t="n">
        <f aca="false">H480*I480</f>
        <v>5.8275</v>
      </c>
      <c r="K480" s="1" t="n">
        <v>21</v>
      </c>
    </row>
    <row r="481" customFormat="false" ht="15" hidden="false" customHeight="false" outlineLevel="0" collapsed="false">
      <c r="B481" s="1" t="s">
        <v>430</v>
      </c>
      <c r="F481" s="57" t="s">
        <v>431</v>
      </c>
      <c r="H481" s="1" t="n">
        <v>2.5</v>
      </c>
      <c r="I481" s="1" t="n">
        <v>5.51</v>
      </c>
      <c r="J481" s="30" t="n">
        <f aca="false">H481*I481</f>
        <v>13.775</v>
      </c>
      <c r="K481" s="1" t="n">
        <v>43</v>
      </c>
    </row>
    <row r="482" customFormat="false" ht="15" hidden="false" customHeight="false" outlineLevel="0" collapsed="false">
      <c r="J482" s="55" t="n">
        <f aca="false">ROUND(SUM(J476:J481),2)</f>
        <v>48.51</v>
      </c>
    </row>
    <row r="483" customFormat="false" ht="15" hidden="false" customHeight="false" outlineLevel="0" collapsed="false">
      <c r="B483" s="56" t="s">
        <v>317</v>
      </c>
    </row>
    <row r="484" customFormat="false" ht="15" hidden="false" customHeight="false" outlineLevel="0" collapsed="false">
      <c r="B484" s="1" t="s">
        <v>309</v>
      </c>
      <c r="F484" s="57" t="s">
        <v>310</v>
      </c>
      <c r="H484" s="59" t="n">
        <v>5</v>
      </c>
      <c r="I484" s="30" t="n">
        <f aca="false">J474</f>
        <v>30.17</v>
      </c>
      <c r="J484" s="30" t="n">
        <f aca="false">H484%*I484</f>
        <v>1.5085</v>
      </c>
      <c r="K484" s="1" t="n">
        <v>37</v>
      </c>
    </row>
    <row r="485" customFormat="false" ht="15" hidden="false" customHeight="false" outlineLevel="0" collapsed="false">
      <c r="A485" s="62"/>
      <c r="B485" s="62"/>
      <c r="C485" s="62"/>
      <c r="D485" s="62"/>
      <c r="E485" s="62"/>
      <c r="F485" s="62"/>
      <c r="G485" s="62"/>
      <c r="H485" s="62"/>
      <c r="I485" s="62"/>
      <c r="J485" s="63" t="n">
        <f aca="false">ROUND(SUM(J484),2)</f>
        <v>1.51</v>
      </c>
    </row>
    <row r="486" customFormat="false" ht="15" hidden="false" customHeight="false" outlineLevel="0" collapsed="false">
      <c r="F486" s="57"/>
      <c r="H486" s="59"/>
      <c r="J486" s="30"/>
    </row>
    <row r="487" customFormat="false" ht="15" hidden="false" customHeight="false" outlineLevel="0" collapsed="false">
      <c r="A487" s="14" t="s">
        <v>276</v>
      </c>
      <c r="B487" s="14" t="str">
        <f aca="false">PROVISIONALES!A53</f>
        <v>1.4.4.2.2</v>
      </c>
      <c r="C487" s="14" t="s">
        <v>229</v>
      </c>
      <c r="D487" s="14"/>
      <c r="E487" s="14"/>
      <c r="F487" s="14"/>
      <c r="G487" s="14"/>
      <c r="H487" s="14"/>
      <c r="I487" s="14"/>
    </row>
    <row r="488" customFormat="false" ht="15" hidden="false" customHeight="false" outlineLevel="0" collapsed="false">
      <c r="A488" s="14" t="s">
        <v>277</v>
      </c>
      <c r="B488" s="14" t="s">
        <v>325</v>
      </c>
      <c r="C488" s="38" t="s">
        <v>279</v>
      </c>
      <c r="D488" s="54" t="n">
        <v>41</v>
      </c>
      <c r="E488" s="38" t="s">
        <v>280</v>
      </c>
      <c r="F488" s="54" t="n">
        <f aca="false">D488</f>
        <v>41</v>
      </c>
      <c r="G488" s="14" t="s">
        <v>281</v>
      </c>
      <c r="I488" s="38" t="s">
        <v>148</v>
      </c>
      <c r="J488" s="55" t="n">
        <f aca="false">J492++J495+J498</f>
        <v>148.27</v>
      </c>
    </row>
    <row r="489" customFormat="false" ht="15" hidden="false" customHeight="false" outlineLevel="0" collapsed="false">
      <c r="A489" s="14" t="s">
        <v>282</v>
      </c>
      <c r="B489" s="14" t="s">
        <v>283</v>
      </c>
      <c r="F489" s="38" t="s">
        <v>121</v>
      </c>
      <c r="G489" s="38" t="s">
        <v>284</v>
      </c>
      <c r="H489" s="38" t="s">
        <v>285</v>
      </c>
      <c r="I489" s="38" t="s">
        <v>286</v>
      </c>
      <c r="J489" s="38" t="s">
        <v>287</v>
      </c>
    </row>
    <row r="490" customFormat="false" ht="15" hidden="false" customHeight="false" outlineLevel="0" collapsed="false">
      <c r="B490" s="56" t="s">
        <v>288</v>
      </c>
    </row>
    <row r="491" customFormat="false" ht="15" hidden="false" customHeight="false" outlineLevel="0" collapsed="false">
      <c r="B491" s="1" t="s">
        <v>292</v>
      </c>
      <c r="F491" s="57" t="s">
        <v>290</v>
      </c>
      <c r="G491" s="58" t="n">
        <v>1</v>
      </c>
      <c r="H491" s="59" t="n">
        <f aca="false">G491*8/$D$488</f>
        <v>0.195121951219512</v>
      </c>
      <c r="I491" s="30" t="n">
        <v>20.51</v>
      </c>
      <c r="J491" s="30" t="n">
        <f aca="false">H491*I491</f>
        <v>4.0019512195122</v>
      </c>
      <c r="K491" s="1" t="n">
        <v>47</v>
      </c>
    </row>
    <row r="492" customFormat="false" ht="15" hidden="false" customHeight="false" outlineLevel="0" collapsed="false">
      <c r="J492" s="55" t="n">
        <f aca="false">ROUND(SUM(J491),2)</f>
        <v>4</v>
      </c>
    </row>
    <row r="493" customFormat="false" ht="15" hidden="false" customHeight="false" outlineLevel="0" collapsed="false">
      <c r="B493" s="56" t="s">
        <v>293</v>
      </c>
    </row>
    <row r="494" customFormat="false" ht="15" hidden="false" customHeight="false" outlineLevel="0" collapsed="false">
      <c r="B494" s="1" t="s">
        <v>414</v>
      </c>
      <c r="F494" s="57" t="s">
        <v>148</v>
      </c>
      <c r="H494" s="58" t="n">
        <v>1</v>
      </c>
      <c r="I494" s="59" t="n">
        <v>144.07</v>
      </c>
      <c r="J494" s="30" t="n">
        <f aca="false">H494*I494</f>
        <v>144.07</v>
      </c>
      <c r="K494" s="1" t="n">
        <v>39</v>
      </c>
    </row>
    <row r="495" customFormat="false" ht="15" hidden="false" customHeight="false" outlineLevel="0" collapsed="false">
      <c r="J495" s="55" t="n">
        <f aca="false">ROUND(SUM(J494),2)</f>
        <v>144.07</v>
      </c>
    </row>
    <row r="496" customFormat="false" ht="15" hidden="false" customHeight="false" outlineLevel="0" collapsed="false">
      <c r="B496" s="56" t="s">
        <v>317</v>
      </c>
    </row>
    <row r="497" customFormat="false" ht="15" hidden="false" customHeight="false" outlineLevel="0" collapsed="false">
      <c r="B497" s="1" t="s">
        <v>309</v>
      </c>
      <c r="F497" s="57" t="s">
        <v>310</v>
      </c>
      <c r="H497" s="59" t="n">
        <v>5</v>
      </c>
      <c r="I497" s="30" t="n">
        <f aca="false">J492</f>
        <v>4</v>
      </c>
      <c r="J497" s="30" t="n">
        <f aca="false">H497%*I497</f>
        <v>0.2</v>
      </c>
      <c r="K497" s="1" t="n">
        <v>37</v>
      </c>
    </row>
    <row r="498" customFormat="false" ht="15" hidden="false" customHeight="false" outlineLevel="0" collapsed="false">
      <c r="A498" s="62"/>
      <c r="B498" s="62"/>
      <c r="C498" s="62"/>
      <c r="D498" s="62"/>
      <c r="E498" s="62"/>
      <c r="F498" s="62"/>
      <c r="G498" s="62"/>
      <c r="H498" s="62"/>
      <c r="I498" s="62"/>
      <c r="J498" s="63" t="n">
        <f aca="false">ROUND(SUM(J497),2)</f>
        <v>0.2</v>
      </c>
    </row>
    <row r="500" customFormat="false" ht="15" hidden="false" customHeight="false" outlineLevel="0" collapsed="false">
      <c r="A500" s="14" t="s">
        <v>276</v>
      </c>
      <c r="B500" s="14" t="str">
        <f aca="false">PROVISIONALES!A54</f>
        <v>1.4.4.2.3</v>
      </c>
      <c r="C500" s="14" t="s">
        <v>231</v>
      </c>
      <c r="D500" s="14"/>
      <c r="E500" s="14"/>
      <c r="F500" s="14"/>
      <c r="G500" s="14"/>
      <c r="H500" s="14"/>
      <c r="I500" s="14"/>
    </row>
    <row r="501" customFormat="false" ht="15" hidden="false" customHeight="false" outlineLevel="0" collapsed="false">
      <c r="A501" s="14" t="s">
        <v>277</v>
      </c>
      <c r="B501" s="14" t="s">
        <v>415</v>
      </c>
      <c r="C501" s="38" t="s">
        <v>279</v>
      </c>
      <c r="D501" s="54" t="n">
        <v>45</v>
      </c>
      <c r="E501" s="38" t="s">
        <v>280</v>
      </c>
      <c r="F501" s="54" t="n">
        <f aca="false">D501</f>
        <v>45</v>
      </c>
      <c r="G501" s="14" t="s">
        <v>281</v>
      </c>
      <c r="I501" s="38" t="s">
        <v>202</v>
      </c>
      <c r="J501" s="55" t="n">
        <f aca="false">J507++J513+J516</f>
        <v>43.21</v>
      </c>
    </row>
    <row r="502" customFormat="false" ht="15" hidden="false" customHeight="false" outlineLevel="0" collapsed="false">
      <c r="A502" s="14" t="s">
        <v>282</v>
      </c>
      <c r="B502" s="14" t="s">
        <v>283</v>
      </c>
      <c r="F502" s="38" t="s">
        <v>121</v>
      </c>
      <c r="G502" s="38" t="s">
        <v>284</v>
      </c>
      <c r="H502" s="38" t="s">
        <v>285</v>
      </c>
      <c r="I502" s="38" t="s">
        <v>286</v>
      </c>
      <c r="J502" s="38" t="s">
        <v>287</v>
      </c>
    </row>
    <row r="503" customFormat="false" ht="15" hidden="false" customHeight="false" outlineLevel="0" collapsed="false">
      <c r="B503" s="56" t="s">
        <v>288</v>
      </c>
    </row>
    <row r="504" customFormat="false" ht="15" hidden="false" customHeight="false" outlineLevel="0" collapsed="false">
      <c r="B504" s="1" t="s">
        <v>289</v>
      </c>
      <c r="F504" s="57" t="s">
        <v>290</v>
      </c>
      <c r="G504" s="58" t="n">
        <v>1</v>
      </c>
      <c r="H504" s="59" t="n">
        <f aca="false">G504*8/$D$501</f>
        <v>0.177777777777778</v>
      </c>
      <c r="I504" s="30" t="n">
        <v>28.94</v>
      </c>
      <c r="J504" s="30" t="n">
        <f aca="false">H504*I504</f>
        <v>5.14488888888889</v>
      </c>
      <c r="K504" s="1" t="n">
        <v>47</v>
      </c>
    </row>
    <row r="505" customFormat="false" ht="15" hidden="false" customHeight="false" outlineLevel="0" collapsed="false">
      <c r="B505" s="1" t="s">
        <v>291</v>
      </c>
      <c r="F505" s="57" t="s">
        <v>290</v>
      </c>
      <c r="G505" s="58" t="n">
        <v>1</v>
      </c>
      <c r="H505" s="59" t="n">
        <f aca="false">G505*8/$D$501</f>
        <v>0.177777777777778</v>
      </c>
      <c r="I505" s="30" t="n">
        <v>22.66</v>
      </c>
      <c r="J505" s="30" t="n">
        <f aca="false">H505*I505</f>
        <v>4.02844444444444</v>
      </c>
      <c r="K505" s="1" t="n">
        <v>47</v>
      </c>
    </row>
    <row r="506" customFormat="false" ht="15" hidden="false" customHeight="false" outlineLevel="0" collapsed="false">
      <c r="B506" s="1" t="s">
        <v>292</v>
      </c>
      <c r="F506" s="57" t="s">
        <v>290</v>
      </c>
      <c r="G506" s="58" t="n">
        <v>4</v>
      </c>
      <c r="H506" s="59" t="n">
        <f aca="false">G506*8/$D$501</f>
        <v>0.711111111111111</v>
      </c>
      <c r="I506" s="30" t="n">
        <v>20.51</v>
      </c>
      <c r="J506" s="30" t="n">
        <f aca="false">H506*I506</f>
        <v>14.5848888888889</v>
      </c>
      <c r="K506" s="1" t="n">
        <v>47</v>
      </c>
    </row>
    <row r="507" customFormat="false" ht="15" hidden="false" customHeight="false" outlineLevel="0" collapsed="false">
      <c r="J507" s="55" t="n">
        <f aca="false">ROUND(SUM(J504:J506),2)</f>
        <v>23.76</v>
      </c>
    </row>
    <row r="508" customFormat="false" ht="15" hidden="false" customHeight="false" outlineLevel="0" collapsed="false">
      <c r="B508" s="56" t="s">
        <v>293</v>
      </c>
    </row>
    <row r="509" customFormat="false" ht="15" hidden="false" customHeight="false" outlineLevel="0" collapsed="false">
      <c r="B509" s="1" t="s">
        <v>432</v>
      </c>
      <c r="F509" s="57" t="s">
        <v>418</v>
      </c>
      <c r="G509" s="58"/>
      <c r="H509" s="1" t="n">
        <v>0.1</v>
      </c>
      <c r="I509" s="1" t="n">
        <v>0.42</v>
      </c>
      <c r="J509" s="30" t="n">
        <f aca="false">H509*I509</f>
        <v>0.042</v>
      </c>
      <c r="K509" s="1" t="n">
        <v>39</v>
      </c>
    </row>
    <row r="510" customFormat="false" ht="15" hidden="false" customHeight="false" outlineLevel="0" collapsed="false">
      <c r="B510" s="1" t="s">
        <v>433</v>
      </c>
      <c r="F510" s="57" t="s">
        <v>148</v>
      </c>
      <c r="G510" s="58"/>
      <c r="H510" s="1" t="n">
        <v>0.5</v>
      </c>
      <c r="I510" s="1" t="n">
        <v>10.17</v>
      </c>
      <c r="J510" s="30" t="n">
        <f aca="false">H510*I510</f>
        <v>5.085</v>
      </c>
      <c r="K510" s="1" t="n">
        <v>39</v>
      </c>
    </row>
    <row r="511" customFormat="false" ht="15" hidden="false" customHeight="false" outlineLevel="0" collapsed="false">
      <c r="B511" s="1" t="s">
        <v>356</v>
      </c>
      <c r="F511" s="57" t="s">
        <v>350</v>
      </c>
      <c r="G511" s="58"/>
      <c r="H511" s="1" t="n">
        <v>0.5</v>
      </c>
      <c r="I511" s="1" t="n">
        <v>14.41</v>
      </c>
      <c r="J511" s="30" t="n">
        <f aca="false">H511*I511</f>
        <v>7.205</v>
      </c>
      <c r="K511" s="1" t="n">
        <v>39</v>
      </c>
    </row>
    <row r="512" customFormat="false" ht="15" hidden="false" customHeight="false" outlineLevel="0" collapsed="false">
      <c r="B512" s="1" t="s">
        <v>434</v>
      </c>
      <c r="F512" s="57" t="s">
        <v>148</v>
      </c>
      <c r="H512" s="1" t="n">
        <v>0.5</v>
      </c>
      <c r="I512" s="1" t="n">
        <v>11.86</v>
      </c>
      <c r="J512" s="30" t="n">
        <f aca="false">H512*I512</f>
        <v>5.93</v>
      </c>
      <c r="K512" s="1" t="n">
        <v>39</v>
      </c>
    </row>
    <row r="513" customFormat="false" ht="15" hidden="false" customHeight="false" outlineLevel="0" collapsed="false">
      <c r="F513" s="57"/>
      <c r="H513" s="59"/>
      <c r="I513" s="30"/>
      <c r="J513" s="55" t="n">
        <f aca="false">ROUND(SUM(J509:J512),2)</f>
        <v>18.26</v>
      </c>
    </row>
    <row r="514" customFormat="false" ht="15" hidden="false" customHeight="false" outlineLevel="0" collapsed="false">
      <c r="B514" s="56" t="s">
        <v>308</v>
      </c>
    </row>
    <row r="515" customFormat="false" ht="15" hidden="false" customHeight="false" outlineLevel="0" collapsed="false">
      <c r="B515" s="1" t="s">
        <v>309</v>
      </c>
      <c r="F515" s="57" t="s">
        <v>310</v>
      </c>
      <c r="H515" s="59" t="n">
        <v>5</v>
      </c>
      <c r="I515" s="30" t="n">
        <f aca="false">J507</f>
        <v>23.76</v>
      </c>
      <c r="J515" s="30" t="n">
        <f aca="false">H515%*I515</f>
        <v>1.188</v>
      </c>
      <c r="K515" s="1" t="n">
        <v>37</v>
      </c>
    </row>
    <row r="516" customFormat="false" ht="15" hidden="false" customHeight="false" outlineLevel="0" collapsed="false">
      <c r="A516" s="62"/>
      <c r="B516" s="62"/>
      <c r="C516" s="62"/>
      <c r="D516" s="62"/>
      <c r="E516" s="62"/>
      <c r="F516" s="62"/>
      <c r="G516" s="62"/>
      <c r="H516" s="62"/>
      <c r="I516" s="62"/>
      <c r="J516" s="63" t="n">
        <f aca="false">ROUND(SUM(J515),2)</f>
        <v>1.19</v>
      </c>
    </row>
    <row r="517" customFormat="false" ht="15" hidden="false" customHeight="false" outlineLevel="0" collapsed="false">
      <c r="F517" s="57"/>
      <c r="H517" s="59"/>
      <c r="I517" s="30"/>
      <c r="J517" s="30"/>
    </row>
    <row r="518" customFormat="false" ht="15" hidden="false" customHeight="false" outlineLevel="0" collapsed="false">
      <c r="A518" s="14" t="s">
        <v>276</v>
      </c>
      <c r="B518" s="14" t="str">
        <f aca="false">PROVISIONALES!A55</f>
        <v>1.4.4.2.4</v>
      </c>
      <c r="C518" s="14" t="s">
        <v>233</v>
      </c>
      <c r="D518" s="14"/>
      <c r="E518" s="14"/>
      <c r="F518" s="14"/>
      <c r="G518" s="14"/>
      <c r="H518" s="14"/>
      <c r="I518" s="14"/>
    </row>
    <row r="519" customFormat="false" ht="15" hidden="false" customHeight="false" outlineLevel="0" collapsed="false">
      <c r="A519" s="14" t="s">
        <v>277</v>
      </c>
      <c r="B519" s="14" t="s">
        <v>415</v>
      </c>
      <c r="C519" s="38" t="s">
        <v>279</v>
      </c>
      <c r="D519" s="54" t="n">
        <v>250</v>
      </c>
      <c r="E519" s="38" t="s">
        <v>280</v>
      </c>
      <c r="F519" s="54" t="n">
        <f aca="false">D519</f>
        <v>250</v>
      </c>
      <c r="G519" s="14" t="s">
        <v>281</v>
      </c>
      <c r="I519" s="38" t="s">
        <v>202</v>
      </c>
      <c r="J519" s="55" t="n">
        <f aca="false">J524++J527+J531</f>
        <v>13.79</v>
      </c>
    </row>
    <row r="520" customFormat="false" ht="15" hidden="false" customHeight="false" outlineLevel="0" collapsed="false">
      <c r="A520" s="14" t="s">
        <v>282</v>
      </c>
      <c r="B520" s="14" t="s">
        <v>283</v>
      </c>
      <c r="F520" s="38" t="s">
        <v>121</v>
      </c>
      <c r="G520" s="38" t="s">
        <v>284</v>
      </c>
      <c r="H520" s="38" t="s">
        <v>285</v>
      </c>
      <c r="I520" s="38" t="s">
        <v>286</v>
      </c>
      <c r="J520" s="38" t="s">
        <v>287</v>
      </c>
    </row>
    <row r="521" customFormat="false" ht="15" hidden="false" customHeight="false" outlineLevel="0" collapsed="false">
      <c r="B521" s="56" t="s">
        <v>288</v>
      </c>
    </row>
    <row r="522" customFormat="false" ht="15" hidden="false" customHeight="false" outlineLevel="0" collapsed="false">
      <c r="B522" s="1" t="s">
        <v>435</v>
      </c>
      <c r="F522" s="57" t="s">
        <v>290</v>
      </c>
      <c r="G522" s="58" t="n">
        <v>2</v>
      </c>
      <c r="H522" s="59" t="n">
        <f aca="false">G522*8/$D$519</f>
        <v>0.064</v>
      </c>
      <c r="I522" s="30" t="n">
        <v>28.94</v>
      </c>
      <c r="J522" s="30" t="n">
        <f aca="false">H522*I522</f>
        <v>1.85216</v>
      </c>
      <c r="K522" s="1" t="n">
        <v>47</v>
      </c>
    </row>
    <row r="523" customFormat="false" ht="15" hidden="false" customHeight="false" outlineLevel="0" collapsed="false">
      <c r="B523" s="1" t="s">
        <v>292</v>
      </c>
      <c r="F523" s="57" t="s">
        <v>290</v>
      </c>
      <c r="G523" s="58" t="n">
        <v>1</v>
      </c>
      <c r="H523" s="59" t="n">
        <f aca="false">G523*8/$D$519</f>
        <v>0.032</v>
      </c>
      <c r="I523" s="30" t="n">
        <v>20.51</v>
      </c>
      <c r="J523" s="30" t="n">
        <f aca="false">H523*I523</f>
        <v>0.65632</v>
      </c>
      <c r="K523" s="1" t="n">
        <v>47</v>
      </c>
    </row>
    <row r="524" customFormat="false" ht="15" hidden="false" customHeight="false" outlineLevel="0" collapsed="false">
      <c r="J524" s="55" t="n">
        <f aca="false">ROUND(SUM(J522:J523),2)</f>
        <v>2.51</v>
      </c>
    </row>
    <row r="525" customFormat="false" ht="15" hidden="false" customHeight="false" outlineLevel="0" collapsed="false">
      <c r="B525" s="56" t="s">
        <v>293</v>
      </c>
    </row>
    <row r="526" customFormat="false" ht="15" hidden="false" customHeight="false" outlineLevel="0" collapsed="false">
      <c r="B526" s="1" t="s">
        <v>436</v>
      </c>
      <c r="F526" s="57" t="s">
        <v>437</v>
      </c>
      <c r="G526" s="58"/>
      <c r="H526" s="59" t="n">
        <v>0.24</v>
      </c>
      <c r="I526" s="1" t="n">
        <v>14.83</v>
      </c>
      <c r="J526" s="30" t="n">
        <f aca="false">H526*I526</f>
        <v>3.5592</v>
      </c>
      <c r="K526" s="1" t="n">
        <v>53</v>
      </c>
    </row>
    <row r="527" customFormat="false" ht="15" hidden="false" customHeight="false" outlineLevel="0" collapsed="false">
      <c r="F527" s="57"/>
      <c r="H527" s="59"/>
      <c r="I527" s="30"/>
      <c r="J527" s="55" t="n">
        <f aca="false">ROUND(SUM(J526),2)</f>
        <v>3.56</v>
      </c>
    </row>
    <row r="528" customFormat="false" ht="15" hidden="false" customHeight="false" outlineLevel="0" collapsed="false">
      <c r="B528" s="56" t="s">
        <v>308</v>
      </c>
    </row>
    <row r="529" customFormat="false" ht="15" hidden="false" customHeight="false" outlineLevel="0" collapsed="false">
      <c r="B529" s="1" t="s">
        <v>309</v>
      </c>
      <c r="F529" s="57" t="s">
        <v>310</v>
      </c>
      <c r="H529" s="59" t="n">
        <v>5</v>
      </c>
      <c r="I529" s="30" t="n">
        <f aca="false">J524</f>
        <v>2.51</v>
      </c>
      <c r="J529" s="30" t="n">
        <f aca="false">H529%*I529</f>
        <v>0.1255</v>
      </c>
      <c r="K529" s="1" t="n">
        <v>37</v>
      </c>
    </row>
    <row r="530" customFormat="false" ht="15" hidden="false" customHeight="false" outlineLevel="0" collapsed="false">
      <c r="B530" s="1" t="s">
        <v>438</v>
      </c>
      <c r="F530" s="57" t="s">
        <v>337</v>
      </c>
      <c r="G530" s="58" t="n">
        <v>2</v>
      </c>
      <c r="H530" s="59" t="n">
        <f aca="false">G530*8/$D$519</f>
        <v>0.064</v>
      </c>
      <c r="I530" s="30" t="n">
        <v>118.64</v>
      </c>
      <c r="J530" s="30" t="n">
        <f aca="false">H530*I530</f>
        <v>7.59296</v>
      </c>
      <c r="K530" s="1" t="n">
        <v>48</v>
      </c>
    </row>
    <row r="531" customFormat="false" ht="15" hidden="false" customHeight="false" outlineLevel="0" collapsed="false">
      <c r="A531" s="62"/>
      <c r="B531" s="62"/>
      <c r="C531" s="62"/>
      <c r="D531" s="62"/>
      <c r="E531" s="62"/>
      <c r="F531" s="62"/>
      <c r="G531" s="62"/>
      <c r="H531" s="62"/>
      <c r="I531" s="62"/>
      <c r="J531" s="63" t="n">
        <f aca="false">ROUND(SUM(J529:J530),2)</f>
        <v>7.72</v>
      </c>
    </row>
    <row r="533" customFormat="false" ht="15" hidden="false" customHeight="false" outlineLevel="0" collapsed="false">
      <c r="A533" s="14" t="s">
        <v>276</v>
      </c>
      <c r="B533" s="14" t="str">
        <f aca="false">PROVISIONALES!A57</f>
        <v>1.4.4.3.1</v>
      </c>
      <c r="C533" s="14" t="s">
        <v>237</v>
      </c>
      <c r="D533" s="14"/>
      <c r="E533" s="14"/>
      <c r="F533" s="14"/>
      <c r="G533" s="14"/>
      <c r="H533" s="14"/>
      <c r="I533" s="14"/>
    </row>
    <row r="534" customFormat="false" ht="15" hidden="false" customHeight="false" outlineLevel="0" collapsed="false">
      <c r="A534" s="14" t="s">
        <v>277</v>
      </c>
      <c r="B534" s="14" t="s">
        <v>332</v>
      </c>
      <c r="C534" s="38" t="s">
        <v>279</v>
      </c>
      <c r="D534" s="54" t="n">
        <v>1</v>
      </c>
      <c r="E534" s="38" t="s">
        <v>280</v>
      </c>
      <c r="F534" s="54" t="n">
        <f aca="false">D534</f>
        <v>1</v>
      </c>
      <c r="G534" s="14" t="s">
        <v>281</v>
      </c>
      <c r="I534" s="38" t="s">
        <v>156</v>
      </c>
      <c r="J534" s="55" t="n">
        <f aca="false">J539++J542+J545</f>
        <v>68.27</v>
      </c>
    </row>
    <row r="535" customFormat="false" ht="15" hidden="false" customHeight="false" outlineLevel="0" collapsed="false">
      <c r="A535" s="14" t="s">
        <v>282</v>
      </c>
      <c r="B535" s="14" t="s">
        <v>283</v>
      </c>
      <c r="F535" s="38" t="s">
        <v>121</v>
      </c>
      <c r="G535" s="38" t="s">
        <v>284</v>
      </c>
      <c r="H535" s="38" t="s">
        <v>285</v>
      </c>
      <c r="I535" s="38" t="s">
        <v>286</v>
      </c>
      <c r="J535" s="38" t="s">
        <v>287</v>
      </c>
    </row>
    <row r="536" customFormat="false" ht="15" hidden="false" customHeight="false" outlineLevel="0" collapsed="false">
      <c r="B536" s="56" t="s">
        <v>288</v>
      </c>
    </row>
    <row r="537" customFormat="false" ht="15" hidden="false" customHeight="false" outlineLevel="0" collapsed="false">
      <c r="F537" s="57"/>
      <c r="G537" s="58"/>
      <c r="H537" s="59"/>
      <c r="I537" s="30"/>
      <c r="J537" s="30"/>
    </row>
    <row r="538" customFormat="false" ht="15" hidden="false" customHeight="false" outlineLevel="0" collapsed="false">
      <c r="B538" s="1" t="s">
        <v>292</v>
      </c>
      <c r="F538" s="57" t="s">
        <v>290</v>
      </c>
      <c r="G538" s="58" t="n">
        <v>0.25</v>
      </c>
      <c r="H538" s="59" t="n">
        <f aca="false">G538*8/$D$534</f>
        <v>2</v>
      </c>
      <c r="I538" s="30" t="n">
        <v>20.51</v>
      </c>
      <c r="J538" s="30" t="n">
        <f aca="false">H538*I538</f>
        <v>41.02</v>
      </c>
      <c r="K538" s="1" t="n">
        <v>47</v>
      </c>
    </row>
    <row r="539" customFormat="false" ht="15" hidden="false" customHeight="false" outlineLevel="0" collapsed="false">
      <c r="J539" s="55" t="n">
        <f aca="false">ROUND(SUM(J538),2)</f>
        <v>41.02</v>
      </c>
    </row>
    <row r="540" customFormat="false" ht="15" hidden="false" customHeight="false" outlineLevel="0" collapsed="false">
      <c r="B540" s="56" t="s">
        <v>293</v>
      </c>
    </row>
    <row r="541" customFormat="false" ht="15" hidden="false" customHeight="false" outlineLevel="0" collapsed="false">
      <c r="B541" s="1" t="s">
        <v>439</v>
      </c>
      <c r="F541" s="57" t="s">
        <v>148</v>
      </c>
      <c r="G541" s="58"/>
      <c r="H541" s="59" t="n">
        <v>10</v>
      </c>
      <c r="I541" s="1" t="n">
        <v>2.52</v>
      </c>
      <c r="J541" s="30" t="n">
        <f aca="false">H541*I541</f>
        <v>25.2</v>
      </c>
      <c r="K541" s="1" t="n">
        <v>39</v>
      </c>
    </row>
    <row r="542" customFormat="false" ht="15" hidden="false" customHeight="false" outlineLevel="0" collapsed="false">
      <c r="F542" s="57"/>
      <c r="H542" s="59"/>
      <c r="I542" s="30"/>
      <c r="J542" s="55" t="n">
        <f aca="false">ROUND(SUM(J541),2)</f>
        <v>25.2</v>
      </c>
    </row>
    <row r="543" customFormat="false" ht="15" hidden="false" customHeight="false" outlineLevel="0" collapsed="false">
      <c r="B543" s="56" t="s">
        <v>308</v>
      </c>
    </row>
    <row r="544" customFormat="false" ht="15" hidden="false" customHeight="false" outlineLevel="0" collapsed="false">
      <c r="B544" s="1" t="s">
        <v>309</v>
      </c>
      <c r="F544" s="57" t="s">
        <v>310</v>
      </c>
      <c r="H544" s="59" t="n">
        <v>5</v>
      </c>
      <c r="I544" s="30" t="n">
        <f aca="false">J539</f>
        <v>41.02</v>
      </c>
      <c r="J544" s="30" t="n">
        <f aca="false">H544%*I544</f>
        <v>2.051</v>
      </c>
      <c r="K544" s="1" t="n">
        <v>37</v>
      </c>
    </row>
    <row r="545" customFormat="false" ht="15" hidden="false" customHeight="false" outlineLevel="0" collapsed="false">
      <c r="A545" s="62"/>
      <c r="B545" s="62"/>
      <c r="C545" s="62"/>
      <c r="D545" s="62"/>
      <c r="E545" s="62"/>
      <c r="F545" s="62"/>
      <c r="G545" s="62"/>
      <c r="H545" s="62"/>
      <c r="I545" s="62"/>
      <c r="J545" s="63" t="n">
        <f aca="false">ROUND(SUM(J544),2)</f>
        <v>2.05</v>
      </c>
    </row>
    <row r="547" customFormat="false" ht="15" hidden="false" customHeight="false" outlineLevel="0" collapsed="false">
      <c r="A547" s="14" t="s">
        <v>276</v>
      </c>
      <c r="B547" s="14" t="str">
        <f aca="false">PROVISIONALES!A58</f>
        <v>1.4.4.3.2</v>
      </c>
      <c r="C547" s="14" t="s">
        <v>239</v>
      </c>
      <c r="D547" s="14"/>
      <c r="E547" s="14"/>
      <c r="F547" s="14"/>
      <c r="G547" s="14"/>
      <c r="H547" s="14"/>
      <c r="I547" s="14"/>
    </row>
    <row r="548" customFormat="false" ht="15" hidden="false" customHeight="false" outlineLevel="0" collapsed="false">
      <c r="A548" s="14" t="s">
        <v>277</v>
      </c>
      <c r="B548" s="14" t="s">
        <v>415</v>
      </c>
      <c r="C548" s="38" t="s">
        <v>279</v>
      </c>
      <c r="D548" s="54" t="n">
        <v>250</v>
      </c>
      <c r="E548" s="38" t="s">
        <v>280</v>
      </c>
      <c r="F548" s="54" t="n">
        <f aca="false">D548</f>
        <v>250</v>
      </c>
      <c r="G548" s="14" t="s">
        <v>281</v>
      </c>
      <c r="I548" s="38" t="s">
        <v>202</v>
      </c>
      <c r="J548" s="55" t="n">
        <f aca="false">J553++J556+J560</f>
        <v>13.79</v>
      </c>
    </row>
    <row r="549" customFormat="false" ht="15" hidden="false" customHeight="false" outlineLevel="0" collapsed="false">
      <c r="A549" s="14" t="s">
        <v>282</v>
      </c>
      <c r="B549" s="14" t="s">
        <v>283</v>
      </c>
      <c r="F549" s="38" t="s">
        <v>121</v>
      </c>
      <c r="G549" s="38" t="s">
        <v>284</v>
      </c>
      <c r="H549" s="38" t="s">
        <v>285</v>
      </c>
      <c r="I549" s="38" t="s">
        <v>286</v>
      </c>
      <c r="J549" s="38" t="s">
        <v>287</v>
      </c>
    </row>
    <row r="550" customFormat="false" ht="15" hidden="false" customHeight="false" outlineLevel="0" collapsed="false">
      <c r="B550" s="56" t="s">
        <v>288</v>
      </c>
    </row>
    <row r="551" customFormat="false" ht="15" hidden="false" customHeight="false" outlineLevel="0" collapsed="false">
      <c r="B551" s="1" t="s">
        <v>435</v>
      </c>
      <c r="F551" s="57" t="s">
        <v>290</v>
      </c>
      <c r="G551" s="58" t="n">
        <v>2</v>
      </c>
      <c r="H551" s="59" t="n">
        <f aca="false">G551*8/$D$548</f>
        <v>0.064</v>
      </c>
      <c r="I551" s="30" t="n">
        <v>28.94</v>
      </c>
      <c r="J551" s="30" t="n">
        <f aca="false">H551*I551</f>
        <v>1.85216</v>
      </c>
      <c r="K551" s="1" t="n">
        <v>47</v>
      </c>
    </row>
    <row r="552" customFormat="false" ht="15" hidden="false" customHeight="false" outlineLevel="0" collapsed="false">
      <c r="B552" s="1" t="s">
        <v>292</v>
      </c>
      <c r="F552" s="57" t="s">
        <v>290</v>
      </c>
      <c r="G552" s="58" t="n">
        <v>1</v>
      </c>
      <c r="H552" s="59" t="n">
        <f aca="false">G552*8/$D$548</f>
        <v>0.032</v>
      </c>
      <c r="I552" s="30" t="n">
        <v>20.51</v>
      </c>
      <c r="J552" s="30" t="n">
        <f aca="false">H552*I552</f>
        <v>0.65632</v>
      </c>
      <c r="K552" s="1" t="n">
        <v>47</v>
      </c>
    </row>
    <row r="553" customFormat="false" ht="15" hidden="false" customHeight="false" outlineLevel="0" collapsed="false">
      <c r="J553" s="55" t="n">
        <f aca="false">ROUND(SUM(J551:J552),2)</f>
        <v>2.51</v>
      </c>
    </row>
    <row r="554" customFormat="false" ht="15" hidden="false" customHeight="false" outlineLevel="0" collapsed="false">
      <c r="B554" s="56" t="s">
        <v>293</v>
      </c>
    </row>
    <row r="555" customFormat="false" ht="15" hidden="false" customHeight="false" outlineLevel="0" collapsed="false">
      <c r="B555" s="1" t="s">
        <v>436</v>
      </c>
      <c r="F555" s="57" t="s">
        <v>437</v>
      </c>
      <c r="G555" s="58"/>
      <c r="H555" s="59" t="n">
        <v>0.24</v>
      </c>
      <c r="I555" s="1" t="n">
        <v>14.83</v>
      </c>
      <c r="J555" s="30" t="n">
        <f aca="false">H555*I555</f>
        <v>3.5592</v>
      </c>
      <c r="K555" s="1" t="n">
        <v>53</v>
      </c>
    </row>
    <row r="556" customFormat="false" ht="15" hidden="false" customHeight="false" outlineLevel="0" collapsed="false">
      <c r="F556" s="57"/>
      <c r="H556" s="59"/>
      <c r="I556" s="30"/>
      <c r="J556" s="55" t="n">
        <f aca="false">ROUND(SUM(J555),2)</f>
        <v>3.56</v>
      </c>
    </row>
    <row r="557" customFormat="false" ht="15" hidden="false" customHeight="false" outlineLevel="0" collapsed="false">
      <c r="B557" s="56" t="s">
        <v>308</v>
      </c>
    </row>
    <row r="558" customFormat="false" ht="15" hidden="false" customHeight="false" outlineLevel="0" collapsed="false">
      <c r="B558" s="1" t="s">
        <v>309</v>
      </c>
      <c r="F558" s="57" t="s">
        <v>310</v>
      </c>
      <c r="H558" s="59" t="n">
        <v>5</v>
      </c>
      <c r="I558" s="30" t="n">
        <f aca="false">J553</f>
        <v>2.51</v>
      </c>
      <c r="J558" s="30" t="n">
        <f aca="false">H558%*I558</f>
        <v>0.1255</v>
      </c>
      <c r="K558" s="1" t="n">
        <v>37</v>
      </c>
    </row>
    <row r="559" customFormat="false" ht="15" hidden="false" customHeight="false" outlineLevel="0" collapsed="false">
      <c r="B559" s="1" t="s">
        <v>438</v>
      </c>
      <c r="F559" s="57" t="s">
        <v>337</v>
      </c>
      <c r="G559" s="58" t="n">
        <v>2</v>
      </c>
      <c r="H559" s="59" t="n">
        <f aca="false">G559*8/$D$548</f>
        <v>0.064</v>
      </c>
      <c r="I559" s="30" t="n">
        <v>118.64</v>
      </c>
      <c r="J559" s="30" t="n">
        <f aca="false">H559*I559</f>
        <v>7.59296</v>
      </c>
      <c r="K559" s="1" t="n">
        <v>48</v>
      </c>
    </row>
    <row r="560" customFormat="false" ht="15" hidden="false" customHeight="false" outlineLevel="0" collapsed="false">
      <c r="A560" s="62"/>
      <c r="B560" s="62"/>
      <c r="C560" s="62"/>
      <c r="D560" s="62"/>
      <c r="E560" s="62"/>
      <c r="F560" s="62"/>
      <c r="G560" s="62"/>
      <c r="H560" s="62"/>
      <c r="I560" s="62"/>
      <c r="J560" s="63" t="n">
        <f aca="false">ROUND(SUM(J558:J559),2)</f>
        <v>7.72</v>
      </c>
    </row>
    <row r="562" customFormat="false" ht="15" hidden="false" customHeight="false" outlineLevel="0" collapsed="false">
      <c r="A562" s="14" t="s">
        <v>276</v>
      </c>
      <c r="B562" s="14" t="str">
        <f aca="false">PROVISIONALES!A60</f>
        <v>1.4.5.1</v>
      </c>
      <c r="C562" s="14" t="s">
        <v>243</v>
      </c>
      <c r="D562" s="14"/>
      <c r="E562" s="14"/>
      <c r="F562" s="14"/>
      <c r="G562" s="14"/>
      <c r="H562" s="14"/>
      <c r="I562" s="14"/>
    </row>
    <row r="563" customFormat="false" ht="15" hidden="false" customHeight="false" outlineLevel="0" collapsed="false">
      <c r="A563" s="14" t="s">
        <v>277</v>
      </c>
      <c r="B563" s="14" t="s">
        <v>325</v>
      </c>
      <c r="C563" s="38" t="s">
        <v>279</v>
      </c>
      <c r="D563" s="54" t="n">
        <v>5</v>
      </c>
      <c r="E563" s="38" t="s">
        <v>280</v>
      </c>
      <c r="F563" s="54" t="n">
        <f aca="false">D563</f>
        <v>5</v>
      </c>
      <c r="G563" s="14" t="s">
        <v>281</v>
      </c>
      <c r="I563" s="38" t="s">
        <v>148</v>
      </c>
      <c r="J563" s="55" t="n">
        <f aca="false">J567++J573+J576</f>
        <v>402.01</v>
      </c>
    </row>
    <row r="564" customFormat="false" ht="15" hidden="false" customHeight="false" outlineLevel="0" collapsed="false">
      <c r="A564" s="14" t="s">
        <v>282</v>
      </c>
      <c r="B564" s="14" t="s">
        <v>283</v>
      </c>
      <c r="F564" s="38" t="s">
        <v>121</v>
      </c>
      <c r="G564" s="38" t="s">
        <v>284</v>
      </c>
      <c r="H564" s="38" t="s">
        <v>285</v>
      </c>
      <c r="I564" s="38" t="s">
        <v>286</v>
      </c>
      <c r="J564" s="38" t="s">
        <v>287</v>
      </c>
    </row>
    <row r="565" customFormat="false" ht="15" hidden="false" customHeight="false" outlineLevel="0" collapsed="false">
      <c r="B565" s="56" t="s">
        <v>288</v>
      </c>
    </row>
    <row r="566" customFormat="false" ht="15" hidden="false" customHeight="false" outlineLevel="0" collapsed="false">
      <c r="B566" s="1" t="s">
        <v>292</v>
      </c>
      <c r="F566" s="57" t="s">
        <v>290</v>
      </c>
      <c r="G566" s="58" t="n">
        <v>1</v>
      </c>
      <c r="H566" s="59" t="n">
        <f aca="false">G566*8/$D$563</f>
        <v>1.6</v>
      </c>
      <c r="I566" s="30" t="n">
        <v>20.51</v>
      </c>
      <c r="J566" s="30" t="n">
        <f aca="false">H566*I566</f>
        <v>32.816</v>
      </c>
      <c r="K566" s="1" t="n">
        <v>47</v>
      </c>
    </row>
    <row r="567" customFormat="false" ht="15" hidden="false" customHeight="false" outlineLevel="0" collapsed="false">
      <c r="J567" s="55" t="n">
        <f aca="false">ROUND(SUM(J566),2)</f>
        <v>32.82</v>
      </c>
    </row>
    <row r="568" customFormat="false" ht="15" hidden="false" customHeight="false" outlineLevel="0" collapsed="false">
      <c r="B568" s="56" t="s">
        <v>293</v>
      </c>
    </row>
    <row r="569" customFormat="false" ht="15" hidden="false" customHeight="false" outlineLevel="0" collapsed="false">
      <c r="B569" s="1" t="s">
        <v>440</v>
      </c>
      <c r="F569" s="57" t="s">
        <v>418</v>
      </c>
      <c r="H569" s="59" t="n">
        <v>2</v>
      </c>
      <c r="I569" s="30" t="n">
        <v>8.22</v>
      </c>
      <c r="J569" s="30" t="n">
        <f aca="false">H569*I569</f>
        <v>16.44</v>
      </c>
      <c r="K569" s="1" t="n">
        <v>39</v>
      </c>
    </row>
    <row r="570" customFormat="false" ht="15" hidden="false" customHeight="false" outlineLevel="0" collapsed="false">
      <c r="B570" s="1" t="s">
        <v>441</v>
      </c>
      <c r="F570" s="57" t="s">
        <v>148</v>
      </c>
      <c r="G570" s="58"/>
      <c r="H570" s="59" t="n">
        <v>1</v>
      </c>
      <c r="I570" s="30" t="n">
        <v>216.34</v>
      </c>
      <c r="J570" s="30" t="n">
        <f aca="false">H570*I570</f>
        <v>216.34</v>
      </c>
      <c r="K570" s="1" t="n">
        <v>39</v>
      </c>
    </row>
    <row r="571" customFormat="false" ht="15" hidden="false" customHeight="false" outlineLevel="0" collapsed="false">
      <c r="B571" s="1" t="s">
        <v>442</v>
      </c>
      <c r="F571" s="57" t="s">
        <v>148</v>
      </c>
      <c r="H571" s="59" t="n">
        <v>25</v>
      </c>
      <c r="I571" s="30" t="n">
        <v>1.8</v>
      </c>
      <c r="J571" s="30" t="n">
        <f aca="false">H571*I571</f>
        <v>45</v>
      </c>
      <c r="K571" s="1" t="n">
        <v>39</v>
      </c>
    </row>
    <row r="572" customFormat="false" ht="15" hidden="false" customHeight="false" outlineLevel="0" collapsed="false">
      <c r="B572" s="1" t="s">
        <v>443</v>
      </c>
      <c r="F572" s="57" t="s">
        <v>372</v>
      </c>
      <c r="H572" s="59" t="n">
        <v>0.5</v>
      </c>
      <c r="I572" s="30" t="n">
        <v>179.54</v>
      </c>
      <c r="J572" s="30" t="n">
        <f aca="false">H572*I572</f>
        <v>89.77</v>
      </c>
      <c r="K572" s="1" t="n">
        <v>39</v>
      </c>
    </row>
    <row r="573" customFormat="false" ht="15" hidden="false" customHeight="false" outlineLevel="0" collapsed="false">
      <c r="F573" s="57"/>
      <c r="H573" s="59"/>
      <c r="I573" s="30"/>
      <c r="J573" s="55" t="n">
        <f aca="false">ROUND(SUM(J569:J572),2)</f>
        <v>367.55</v>
      </c>
    </row>
    <row r="574" customFormat="false" ht="15" hidden="false" customHeight="false" outlineLevel="0" collapsed="false">
      <c r="B574" s="56" t="s">
        <v>308</v>
      </c>
    </row>
    <row r="575" customFormat="false" ht="15" hidden="false" customHeight="false" outlineLevel="0" collapsed="false">
      <c r="B575" s="1" t="s">
        <v>309</v>
      </c>
      <c r="F575" s="57" t="s">
        <v>310</v>
      </c>
      <c r="H575" s="59" t="n">
        <v>5</v>
      </c>
      <c r="I575" s="30" t="n">
        <f aca="false">J567</f>
        <v>32.82</v>
      </c>
      <c r="J575" s="30" t="n">
        <f aca="false">H575%*I575</f>
        <v>1.641</v>
      </c>
      <c r="K575" s="1" t="n">
        <v>37</v>
      </c>
    </row>
    <row r="576" customFormat="false" ht="15" hidden="false" customHeight="false" outlineLevel="0" collapsed="false">
      <c r="A576" s="62"/>
      <c r="B576" s="62"/>
      <c r="C576" s="62"/>
      <c r="D576" s="62"/>
      <c r="E576" s="62"/>
      <c r="F576" s="62"/>
      <c r="G576" s="62"/>
      <c r="H576" s="62"/>
      <c r="I576" s="62"/>
      <c r="J576" s="63" t="n">
        <f aca="false">ROUND(SUM(J575),2)</f>
        <v>1.64</v>
      </c>
    </row>
    <row r="578" customFormat="false" ht="15" hidden="false" customHeight="false" outlineLevel="0" collapsed="false">
      <c r="A578" s="14" t="s">
        <v>276</v>
      </c>
      <c r="B578" s="14" t="str">
        <f aca="false">PROVISIONALES!A62</f>
        <v>1.4.6.1</v>
      </c>
      <c r="C578" s="14" t="s">
        <v>247</v>
      </c>
      <c r="D578" s="14"/>
      <c r="E578" s="14"/>
      <c r="F578" s="14"/>
      <c r="G578" s="14"/>
      <c r="H578" s="14"/>
      <c r="I578" s="14"/>
    </row>
    <row r="579" customFormat="false" ht="15" hidden="false" customHeight="false" outlineLevel="0" collapsed="false">
      <c r="A579" s="14" t="s">
        <v>277</v>
      </c>
      <c r="B579" s="14" t="s">
        <v>278</v>
      </c>
      <c r="C579" s="38" t="s">
        <v>279</v>
      </c>
      <c r="D579" s="54" t="n">
        <v>150</v>
      </c>
      <c r="E579" s="38" t="s">
        <v>280</v>
      </c>
      <c r="F579" s="54" t="n">
        <f aca="false">D579</f>
        <v>150</v>
      </c>
      <c r="G579" s="14" t="s">
        <v>281</v>
      </c>
      <c r="I579" s="38" t="s">
        <v>132</v>
      </c>
      <c r="J579" s="55" t="n">
        <f aca="false">J584+J588</f>
        <v>6.95</v>
      </c>
    </row>
    <row r="580" customFormat="false" ht="15" hidden="false" customHeight="false" outlineLevel="0" collapsed="false">
      <c r="A580" s="14" t="s">
        <v>282</v>
      </c>
      <c r="B580" s="14" t="s">
        <v>283</v>
      </c>
      <c r="F580" s="38" t="s">
        <v>121</v>
      </c>
      <c r="G580" s="38" t="s">
        <v>284</v>
      </c>
      <c r="H580" s="38" t="s">
        <v>285</v>
      </c>
      <c r="I580" s="38" t="s">
        <v>286</v>
      </c>
      <c r="J580" s="38" t="s">
        <v>287</v>
      </c>
    </row>
    <row r="581" customFormat="false" ht="15" hidden="false" customHeight="false" outlineLevel="0" collapsed="false">
      <c r="B581" s="56" t="s">
        <v>288</v>
      </c>
    </row>
    <row r="582" customFormat="false" ht="15" hidden="false" customHeight="false" outlineLevel="0" collapsed="false">
      <c r="B582" s="1" t="s">
        <v>435</v>
      </c>
      <c r="F582" s="57" t="s">
        <v>290</v>
      </c>
      <c r="G582" s="58" t="n">
        <v>0.5</v>
      </c>
      <c r="H582" s="59" t="n">
        <f aca="false">G582*8/$D$579</f>
        <v>0.0266666666666667</v>
      </c>
      <c r="I582" s="30" t="n">
        <v>28.94</v>
      </c>
      <c r="J582" s="30" t="n">
        <f aca="false">H582*I582</f>
        <v>0.771733333333333</v>
      </c>
      <c r="K582" s="1" t="n">
        <v>47</v>
      </c>
    </row>
    <row r="583" customFormat="false" ht="15" hidden="false" customHeight="false" outlineLevel="0" collapsed="false">
      <c r="B583" s="1" t="s">
        <v>292</v>
      </c>
      <c r="F583" s="57" t="s">
        <v>290</v>
      </c>
      <c r="G583" s="58" t="n">
        <v>2</v>
      </c>
      <c r="H583" s="59" t="n">
        <f aca="false">G583*8/$D$579</f>
        <v>0.106666666666667</v>
      </c>
      <c r="I583" s="30" t="n">
        <v>20.51</v>
      </c>
      <c r="J583" s="30" t="n">
        <f aca="false">H583*I583</f>
        <v>2.18773333333333</v>
      </c>
      <c r="K583" s="1" t="n">
        <v>47</v>
      </c>
    </row>
    <row r="584" customFormat="false" ht="15" hidden="false" customHeight="false" outlineLevel="0" collapsed="false">
      <c r="J584" s="55" t="n">
        <f aca="false">ROUND(SUM(J582:J583),2)</f>
        <v>2.96</v>
      </c>
    </row>
    <row r="585" customFormat="false" ht="15" hidden="false" customHeight="false" outlineLevel="0" collapsed="false">
      <c r="B585" s="56" t="s">
        <v>308</v>
      </c>
    </row>
    <row r="586" customFormat="false" ht="15" hidden="false" customHeight="false" outlineLevel="0" collapsed="false">
      <c r="B586" s="1" t="s">
        <v>309</v>
      </c>
      <c r="F586" s="57" t="s">
        <v>310</v>
      </c>
      <c r="H586" s="59" t="n">
        <v>5</v>
      </c>
      <c r="I586" s="30" t="n">
        <f aca="false">J584</f>
        <v>2.96</v>
      </c>
      <c r="J586" s="30" t="n">
        <f aca="false">H586%*I586</f>
        <v>0.148</v>
      </c>
      <c r="K586" s="1" t="n">
        <v>37</v>
      </c>
    </row>
    <row r="587" customFormat="false" ht="15" hidden="false" customHeight="false" outlineLevel="0" collapsed="false">
      <c r="B587" s="1" t="s">
        <v>444</v>
      </c>
      <c r="F587" s="57" t="s">
        <v>337</v>
      </c>
      <c r="G587" s="58" t="n">
        <v>0.5</v>
      </c>
      <c r="H587" s="59" t="n">
        <f aca="false">G587*8/$D$579</f>
        <v>0.0266666666666667</v>
      </c>
      <c r="I587" s="30" t="n">
        <v>144.07</v>
      </c>
      <c r="J587" s="30" t="n">
        <f aca="false">H587*I587</f>
        <v>3.84186666666667</v>
      </c>
      <c r="K587" s="1" t="n">
        <v>49</v>
      </c>
    </row>
    <row r="588" customFormat="false" ht="15" hidden="false" customHeight="false" outlineLevel="0" collapsed="false">
      <c r="A588" s="62"/>
      <c r="B588" s="62"/>
      <c r="C588" s="62"/>
      <c r="D588" s="62"/>
      <c r="E588" s="62"/>
      <c r="F588" s="62"/>
      <c r="G588" s="62"/>
      <c r="H588" s="62"/>
      <c r="I588" s="62"/>
      <c r="J588" s="63" t="n">
        <f aca="false">ROUND(SUM(J586:J587),2)</f>
        <v>3.99</v>
      </c>
    </row>
    <row r="590" customFormat="false" ht="15" hidden="false" customHeight="false" outlineLevel="0" collapsed="false">
      <c r="A590" s="14" t="s">
        <v>276</v>
      </c>
      <c r="B590" s="14" t="str">
        <f aca="false">PROVISIONALES!A63</f>
        <v>1.4.6.2</v>
      </c>
      <c r="C590" s="14" t="s">
        <v>249</v>
      </c>
      <c r="D590" s="14"/>
      <c r="E590" s="14"/>
      <c r="F590" s="14"/>
      <c r="G590" s="14"/>
      <c r="H590" s="14"/>
      <c r="I590" s="14"/>
    </row>
    <row r="591" customFormat="false" ht="15" hidden="false" customHeight="false" outlineLevel="0" collapsed="false">
      <c r="A591" s="14" t="s">
        <v>277</v>
      </c>
      <c r="B591" s="14" t="s">
        <v>415</v>
      </c>
      <c r="C591" s="38" t="s">
        <v>279</v>
      </c>
      <c r="D591" s="54" t="n">
        <v>250</v>
      </c>
      <c r="E591" s="38" t="s">
        <v>280</v>
      </c>
      <c r="F591" s="54" t="n">
        <f aca="false">D591</f>
        <v>250</v>
      </c>
      <c r="G591" s="14" t="s">
        <v>281</v>
      </c>
      <c r="I591" s="38" t="s">
        <v>202</v>
      </c>
      <c r="J591" s="55" t="n">
        <f aca="false">J596+J599+J604</f>
        <v>24.08</v>
      </c>
    </row>
    <row r="592" customFormat="false" ht="15" hidden="false" customHeight="false" outlineLevel="0" collapsed="false">
      <c r="A592" s="14" t="s">
        <v>282</v>
      </c>
      <c r="B592" s="14" t="s">
        <v>283</v>
      </c>
      <c r="F592" s="38" t="s">
        <v>121</v>
      </c>
      <c r="G592" s="38" t="s">
        <v>284</v>
      </c>
      <c r="H592" s="38" t="s">
        <v>285</v>
      </c>
      <c r="I592" s="38" t="s">
        <v>286</v>
      </c>
      <c r="J592" s="38" t="s">
        <v>287</v>
      </c>
    </row>
    <row r="593" customFormat="false" ht="15" hidden="false" customHeight="false" outlineLevel="0" collapsed="false">
      <c r="B593" s="56" t="s">
        <v>288</v>
      </c>
    </row>
    <row r="594" customFormat="false" ht="15" hidden="false" customHeight="false" outlineLevel="0" collapsed="false">
      <c r="B594" s="1" t="s">
        <v>435</v>
      </c>
      <c r="F594" s="57" t="s">
        <v>290</v>
      </c>
      <c r="G594" s="58" t="n">
        <v>3</v>
      </c>
      <c r="H594" s="59" t="n">
        <f aca="false">G594*8/$D$591</f>
        <v>0.096</v>
      </c>
      <c r="I594" s="30" t="n">
        <v>28.94</v>
      </c>
      <c r="J594" s="30" t="n">
        <f aca="false">H594*I594</f>
        <v>2.77824</v>
      </c>
      <c r="K594" s="1" t="n">
        <v>47</v>
      </c>
    </row>
    <row r="595" customFormat="false" ht="15" hidden="false" customHeight="false" outlineLevel="0" collapsed="false">
      <c r="B595" s="1" t="s">
        <v>292</v>
      </c>
      <c r="F595" s="57" t="s">
        <v>290</v>
      </c>
      <c r="G595" s="58" t="n">
        <v>1</v>
      </c>
      <c r="H595" s="59" t="n">
        <f aca="false">G595*8/$D$591</f>
        <v>0.032</v>
      </c>
      <c r="I595" s="30" t="n">
        <v>20.51</v>
      </c>
      <c r="J595" s="30" t="n">
        <f aca="false">H595*I595</f>
        <v>0.65632</v>
      </c>
      <c r="K595" s="1" t="n">
        <v>47</v>
      </c>
    </row>
    <row r="596" customFormat="false" ht="15" hidden="false" customHeight="false" outlineLevel="0" collapsed="false">
      <c r="J596" s="55" t="n">
        <f aca="false">ROUND(SUM(J594:J595),2)</f>
        <v>3.43</v>
      </c>
    </row>
    <row r="597" customFormat="false" ht="15" hidden="false" customHeight="false" outlineLevel="0" collapsed="false">
      <c r="B597" s="56" t="s">
        <v>293</v>
      </c>
    </row>
    <row r="598" customFormat="false" ht="15" hidden="false" customHeight="false" outlineLevel="0" collapsed="false">
      <c r="B598" s="1" t="s">
        <v>436</v>
      </c>
      <c r="F598" s="57" t="s">
        <v>437</v>
      </c>
      <c r="G598" s="58"/>
      <c r="H598" s="59" t="n">
        <v>0.357</v>
      </c>
      <c r="I598" s="1" t="n">
        <v>14.83</v>
      </c>
      <c r="J598" s="30" t="n">
        <f aca="false">H598*I598</f>
        <v>5.29431</v>
      </c>
      <c r="K598" s="1" t="n">
        <v>53</v>
      </c>
    </row>
    <row r="599" customFormat="false" ht="15" hidden="false" customHeight="false" outlineLevel="0" collapsed="false">
      <c r="F599" s="57"/>
      <c r="H599" s="59"/>
      <c r="I599" s="30"/>
      <c r="J599" s="55" t="n">
        <f aca="false">ROUND(SUM(J598),2)</f>
        <v>5.29</v>
      </c>
    </row>
    <row r="600" customFormat="false" ht="15" hidden="false" customHeight="false" outlineLevel="0" collapsed="false">
      <c r="B600" s="56" t="s">
        <v>308</v>
      </c>
    </row>
    <row r="601" customFormat="false" ht="15" hidden="false" customHeight="false" outlineLevel="0" collapsed="false">
      <c r="B601" s="1" t="s">
        <v>309</v>
      </c>
      <c r="F601" s="57" t="s">
        <v>310</v>
      </c>
      <c r="H601" s="59" t="n">
        <v>5</v>
      </c>
      <c r="I601" s="30" t="n">
        <f aca="false">J596</f>
        <v>3.43</v>
      </c>
      <c r="J601" s="30" t="n">
        <f aca="false">H601%*I601</f>
        <v>0.1715</v>
      </c>
      <c r="K601" s="1" t="n">
        <v>37</v>
      </c>
    </row>
    <row r="602" customFormat="false" ht="15" hidden="false" customHeight="false" outlineLevel="0" collapsed="false">
      <c r="B602" s="1" t="s">
        <v>438</v>
      </c>
      <c r="F602" s="57" t="s">
        <v>337</v>
      </c>
      <c r="G602" s="58" t="n">
        <v>2</v>
      </c>
      <c r="H602" s="59" t="n">
        <f aca="false">G602*8/$D$591</f>
        <v>0.064</v>
      </c>
      <c r="I602" s="30" t="n">
        <v>118.64</v>
      </c>
      <c r="J602" s="30" t="n">
        <f aca="false">H602*I602</f>
        <v>7.59296</v>
      </c>
      <c r="K602" s="1" t="n">
        <v>48</v>
      </c>
    </row>
    <row r="603" customFormat="false" ht="15" hidden="false" customHeight="false" outlineLevel="0" collapsed="false">
      <c r="B603" s="1" t="s">
        <v>445</v>
      </c>
      <c r="F603" s="57" t="s">
        <v>337</v>
      </c>
      <c r="G603" s="58" t="n">
        <v>1</v>
      </c>
      <c r="H603" s="59" t="n">
        <f aca="false">G603*8/$D$591</f>
        <v>0.032</v>
      </c>
      <c r="I603" s="30" t="n">
        <v>237.29</v>
      </c>
      <c r="J603" s="30" t="n">
        <f aca="false">H603*I603</f>
        <v>7.59328</v>
      </c>
      <c r="K603" s="1" t="n">
        <v>48</v>
      </c>
    </row>
    <row r="604" customFormat="false" ht="15" hidden="false" customHeight="false" outlineLevel="0" collapsed="false">
      <c r="A604" s="62"/>
      <c r="B604" s="62"/>
      <c r="C604" s="62"/>
      <c r="D604" s="62"/>
      <c r="E604" s="62"/>
      <c r="F604" s="62"/>
      <c r="G604" s="62"/>
      <c r="H604" s="62"/>
      <c r="I604" s="62"/>
      <c r="J604" s="63" t="n">
        <f aca="false">ROUND(SUM(J601:J603),2)</f>
        <v>15.36</v>
      </c>
    </row>
    <row r="606" customFormat="false" ht="15" hidden="false" customHeight="false" outlineLevel="0" collapsed="false">
      <c r="A606" s="14" t="s">
        <v>276</v>
      </c>
      <c r="B606" s="14" t="str">
        <f aca="false">PROVISIONALES!A64</f>
        <v>1.4.6.3</v>
      </c>
      <c r="C606" s="14" t="s">
        <v>251</v>
      </c>
      <c r="D606" s="14"/>
      <c r="E606" s="14"/>
      <c r="F606" s="14"/>
      <c r="G606" s="14"/>
      <c r="H606" s="14"/>
      <c r="I606" s="14"/>
    </row>
    <row r="607" customFormat="false" ht="15" hidden="false" customHeight="false" outlineLevel="0" collapsed="false">
      <c r="A607" s="14" t="s">
        <v>277</v>
      </c>
      <c r="B607" s="14" t="s">
        <v>278</v>
      </c>
      <c r="C607" s="38" t="s">
        <v>279</v>
      </c>
      <c r="D607" s="54" t="n">
        <v>50</v>
      </c>
      <c r="E607" s="38" t="s">
        <v>280</v>
      </c>
      <c r="F607" s="54" t="n">
        <f aca="false">D607</f>
        <v>50</v>
      </c>
      <c r="G607" s="14" t="s">
        <v>281</v>
      </c>
      <c r="I607" s="38" t="s">
        <v>132</v>
      </c>
      <c r="J607" s="55" t="n">
        <f aca="false">J611+J615+J618</f>
        <v>7.69</v>
      </c>
    </row>
    <row r="608" customFormat="false" ht="15" hidden="false" customHeight="false" outlineLevel="0" collapsed="false">
      <c r="A608" s="14" t="s">
        <v>282</v>
      </c>
      <c r="B608" s="14" t="s">
        <v>283</v>
      </c>
      <c r="F608" s="38" t="s">
        <v>121</v>
      </c>
      <c r="G608" s="38" t="s">
        <v>284</v>
      </c>
      <c r="H608" s="38" t="s">
        <v>285</v>
      </c>
      <c r="I608" s="38" t="s">
        <v>286</v>
      </c>
      <c r="J608" s="38" t="s">
        <v>287</v>
      </c>
    </row>
    <row r="609" customFormat="false" ht="15" hidden="false" customHeight="false" outlineLevel="0" collapsed="false">
      <c r="B609" s="56" t="s">
        <v>288</v>
      </c>
    </row>
    <row r="610" customFormat="false" ht="15" hidden="false" customHeight="false" outlineLevel="0" collapsed="false">
      <c r="B610" s="1" t="s">
        <v>292</v>
      </c>
      <c r="F610" s="57" t="s">
        <v>290</v>
      </c>
      <c r="G610" s="58" t="n">
        <v>2</v>
      </c>
      <c r="H610" s="59" t="n">
        <f aca="false">G610*8/$D$607</f>
        <v>0.32</v>
      </c>
      <c r="I610" s="30" t="n">
        <v>20.51</v>
      </c>
      <c r="J610" s="30" t="n">
        <f aca="false">H610*I610</f>
        <v>6.5632</v>
      </c>
      <c r="K610" s="1" t="n">
        <v>47</v>
      </c>
    </row>
    <row r="611" customFormat="false" ht="15" hidden="false" customHeight="false" outlineLevel="0" collapsed="false">
      <c r="J611" s="55" t="n">
        <f aca="false">ROUND(SUM(J610),2)</f>
        <v>6.56</v>
      </c>
    </row>
    <row r="612" customFormat="false" ht="15" hidden="false" customHeight="false" outlineLevel="0" collapsed="false">
      <c r="B612" s="56" t="s">
        <v>293</v>
      </c>
    </row>
    <row r="613" customFormat="false" ht="15" hidden="false" customHeight="false" outlineLevel="0" collapsed="false">
      <c r="B613" s="1" t="s">
        <v>446</v>
      </c>
      <c r="F613" s="57" t="s">
        <v>295</v>
      </c>
      <c r="H613" s="59" t="n">
        <v>0.5</v>
      </c>
      <c r="I613" s="1" t="n">
        <v>0.38</v>
      </c>
      <c r="J613" s="30" t="n">
        <f aca="false">H613*I613</f>
        <v>0.19</v>
      </c>
      <c r="K613" s="1" t="n">
        <v>39</v>
      </c>
    </row>
    <row r="614" customFormat="false" ht="15" hidden="false" customHeight="false" outlineLevel="0" collapsed="false">
      <c r="B614" s="1" t="s">
        <v>447</v>
      </c>
      <c r="F614" s="57" t="s">
        <v>295</v>
      </c>
      <c r="G614" s="58"/>
      <c r="H614" s="59" t="n">
        <v>0.5</v>
      </c>
      <c r="I614" s="1" t="n">
        <v>1.22</v>
      </c>
      <c r="J614" s="30" t="n">
        <f aca="false">H614*I614</f>
        <v>0.61</v>
      </c>
      <c r="K614" s="1" t="n">
        <v>39</v>
      </c>
    </row>
    <row r="615" customFormat="false" ht="15" hidden="false" customHeight="false" outlineLevel="0" collapsed="false">
      <c r="F615" s="57"/>
      <c r="H615" s="59"/>
      <c r="I615" s="30"/>
      <c r="J615" s="55" t="n">
        <f aca="false">ROUND(SUM(J613:J614),2)</f>
        <v>0.8</v>
      </c>
    </row>
    <row r="616" customFormat="false" ht="15" hidden="false" customHeight="false" outlineLevel="0" collapsed="false">
      <c r="B616" s="56" t="s">
        <v>308</v>
      </c>
    </row>
    <row r="617" customFormat="false" ht="15" hidden="false" customHeight="false" outlineLevel="0" collapsed="false">
      <c r="B617" s="1" t="s">
        <v>309</v>
      </c>
      <c r="F617" s="57" t="s">
        <v>310</v>
      </c>
      <c r="H617" s="59" t="n">
        <v>5</v>
      </c>
      <c r="I617" s="30" t="n">
        <f aca="false">J611</f>
        <v>6.56</v>
      </c>
      <c r="J617" s="30" t="n">
        <f aca="false">H617%*I617</f>
        <v>0.328</v>
      </c>
      <c r="K617" s="1" t="n">
        <v>37</v>
      </c>
    </row>
    <row r="618" customFormat="false" ht="15" hidden="false" customHeight="false" outlineLevel="0" collapsed="false">
      <c r="A618" s="62"/>
      <c r="B618" s="62"/>
      <c r="C618" s="62"/>
      <c r="D618" s="62"/>
      <c r="E618" s="62"/>
      <c r="F618" s="62"/>
      <c r="G618" s="62"/>
      <c r="H618" s="62"/>
      <c r="I618" s="62"/>
      <c r="J618" s="63" t="n">
        <f aca="false">ROUND(SUM(J617),2)</f>
        <v>0.33</v>
      </c>
    </row>
    <row r="619" customFormat="false" ht="15" hidden="false" customHeight="false" outlineLevel="0" collapsed="false">
      <c r="F619" s="57"/>
      <c r="G619" s="58"/>
      <c r="H619" s="59"/>
      <c r="I619" s="30"/>
      <c r="J619" s="30"/>
    </row>
    <row r="620" customFormat="false" ht="15" hidden="false" customHeight="false" outlineLevel="0" collapsed="false">
      <c r="A620" s="14" t="s">
        <v>276</v>
      </c>
      <c r="B620" s="14" t="str">
        <f aca="false">PROVISIONALES!A65</f>
        <v>1.4.6.4</v>
      </c>
      <c r="C620" s="14" t="s">
        <v>448</v>
      </c>
      <c r="D620" s="14"/>
      <c r="E620" s="14"/>
      <c r="F620" s="14"/>
      <c r="G620" s="14"/>
      <c r="H620" s="14"/>
      <c r="I620" s="14"/>
    </row>
    <row r="621" customFormat="false" ht="15" hidden="false" customHeight="false" outlineLevel="0" collapsed="false">
      <c r="A621" s="14" t="s">
        <v>277</v>
      </c>
      <c r="B621" s="14" t="s">
        <v>278</v>
      </c>
      <c r="C621" s="38" t="s">
        <v>279</v>
      </c>
      <c r="D621" s="54" t="n">
        <v>100</v>
      </c>
      <c r="E621" s="38" t="s">
        <v>280</v>
      </c>
      <c r="F621" s="54" t="n">
        <f aca="false">D621</f>
        <v>100</v>
      </c>
      <c r="G621" s="14" t="s">
        <v>281</v>
      </c>
      <c r="I621" s="38" t="s">
        <v>132</v>
      </c>
      <c r="J621" s="55" t="n">
        <f aca="false">J626+J629+J633</f>
        <v>8.04</v>
      </c>
    </row>
    <row r="622" customFormat="false" ht="15" hidden="false" customHeight="false" outlineLevel="0" collapsed="false">
      <c r="A622" s="14" t="s">
        <v>282</v>
      </c>
      <c r="B622" s="14" t="s">
        <v>283</v>
      </c>
      <c r="F622" s="38" t="s">
        <v>121</v>
      </c>
      <c r="G622" s="38" t="s">
        <v>284</v>
      </c>
      <c r="H622" s="38" t="s">
        <v>285</v>
      </c>
      <c r="I622" s="38" t="s">
        <v>286</v>
      </c>
      <c r="J622" s="38" t="s">
        <v>287</v>
      </c>
    </row>
    <row r="623" customFormat="false" ht="15" hidden="false" customHeight="false" outlineLevel="0" collapsed="false">
      <c r="B623" s="56" t="s">
        <v>288</v>
      </c>
    </row>
    <row r="624" customFormat="false" ht="15" hidden="false" customHeight="false" outlineLevel="0" collapsed="false">
      <c r="B624" s="1" t="s">
        <v>449</v>
      </c>
      <c r="F624" s="57" t="s">
        <v>290</v>
      </c>
      <c r="G624" s="58" t="n">
        <v>1</v>
      </c>
      <c r="H624" s="59" t="n">
        <f aca="false">G624*8/$D$621</f>
        <v>0.08</v>
      </c>
      <c r="I624" s="30" t="n">
        <v>28.94</v>
      </c>
      <c r="J624" s="30" t="n">
        <f aca="false">H624*I624</f>
        <v>2.3152</v>
      </c>
      <c r="K624" s="1" t="n">
        <v>47</v>
      </c>
    </row>
    <row r="625" customFormat="false" ht="15" hidden="false" customHeight="false" outlineLevel="0" collapsed="false">
      <c r="B625" s="1" t="s">
        <v>292</v>
      </c>
      <c r="F625" s="57" t="s">
        <v>290</v>
      </c>
      <c r="G625" s="58" t="n">
        <v>2</v>
      </c>
      <c r="H625" s="59" t="n">
        <f aca="false">G625*8/$D$621</f>
        <v>0.16</v>
      </c>
      <c r="I625" s="30" t="n">
        <v>20.51</v>
      </c>
      <c r="J625" s="30" t="n">
        <f aca="false">H625*I625</f>
        <v>3.2816</v>
      </c>
      <c r="K625" s="1" t="n">
        <v>47</v>
      </c>
    </row>
    <row r="626" customFormat="false" ht="15" hidden="false" customHeight="false" outlineLevel="0" collapsed="false">
      <c r="J626" s="55" t="n">
        <f aca="false">ROUND(SUM(J624:J625),2)</f>
        <v>5.6</v>
      </c>
    </row>
    <row r="627" customFormat="false" ht="15" hidden="false" customHeight="false" outlineLevel="0" collapsed="false">
      <c r="B627" s="56" t="s">
        <v>293</v>
      </c>
    </row>
    <row r="628" customFormat="false" ht="15" hidden="false" customHeight="false" outlineLevel="0" collapsed="false">
      <c r="B628" s="1" t="s">
        <v>450</v>
      </c>
      <c r="F628" s="57" t="s">
        <v>437</v>
      </c>
      <c r="H628" s="59" t="n">
        <v>0.08</v>
      </c>
      <c r="I628" s="1" t="n">
        <v>14.24</v>
      </c>
      <c r="J628" s="30" t="n">
        <f aca="false">H628*I628</f>
        <v>1.1392</v>
      </c>
      <c r="K628" s="1" t="n">
        <v>34</v>
      </c>
    </row>
    <row r="629" customFormat="false" ht="15" hidden="false" customHeight="false" outlineLevel="0" collapsed="false">
      <c r="F629" s="57"/>
      <c r="H629" s="59"/>
      <c r="I629" s="30"/>
      <c r="J629" s="55" t="n">
        <f aca="false">ROUND(SUM(J628),2)</f>
        <v>1.14</v>
      </c>
    </row>
    <row r="630" customFormat="false" ht="15" hidden="false" customHeight="false" outlineLevel="0" collapsed="false">
      <c r="B630" s="56" t="s">
        <v>308</v>
      </c>
    </row>
    <row r="631" customFormat="false" ht="15" hidden="false" customHeight="false" outlineLevel="0" collapsed="false">
      <c r="B631" s="1" t="s">
        <v>309</v>
      </c>
      <c r="F631" s="57" t="s">
        <v>310</v>
      </c>
      <c r="H631" s="59" t="n">
        <v>5</v>
      </c>
      <c r="I631" s="30" t="n">
        <f aca="false">J626</f>
        <v>5.6</v>
      </c>
      <c r="J631" s="30" t="n">
        <f aca="false">H631%*I631</f>
        <v>0.28</v>
      </c>
      <c r="K631" s="1" t="n">
        <v>37</v>
      </c>
    </row>
    <row r="632" customFormat="false" ht="15" hidden="false" customHeight="false" outlineLevel="0" collapsed="false">
      <c r="B632" s="1" t="s">
        <v>451</v>
      </c>
      <c r="F632" s="57" t="s">
        <v>337</v>
      </c>
      <c r="G632" s="58" t="n">
        <v>1</v>
      </c>
      <c r="H632" s="59" t="n">
        <f aca="false">G632*8/$D$621</f>
        <v>0.08</v>
      </c>
      <c r="I632" s="30" t="n">
        <v>12.71</v>
      </c>
      <c r="J632" s="30" t="n">
        <f aca="false">H632*I632</f>
        <v>1.0168</v>
      </c>
      <c r="K632" s="1" t="n">
        <v>48</v>
      </c>
    </row>
    <row r="633" customFormat="false" ht="15" hidden="false" customHeight="false" outlineLevel="0" collapsed="false">
      <c r="A633" s="62"/>
      <c r="B633" s="62"/>
      <c r="C633" s="62"/>
      <c r="D633" s="62"/>
      <c r="E633" s="62"/>
      <c r="F633" s="62"/>
      <c r="G633" s="62"/>
      <c r="H633" s="62"/>
      <c r="I633" s="62"/>
      <c r="J633" s="63" t="n">
        <f aca="false">ROUND(SUM(J631:J632),2)</f>
        <v>1.3</v>
      </c>
    </row>
    <row r="635" customFormat="false" ht="15" hidden="false" customHeight="false" outlineLevel="0" collapsed="false">
      <c r="A635" s="14" t="s">
        <v>333</v>
      </c>
      <c r="B635" s="14" t="str">
        <f aca="false">PROVISIONALES!A68</f>
        <v>1.5.1.1</v>
      </c>
      <c r="C635" s="14" t="s">
        <v>258</v>
      </c>
      <c r="D635" s="14"/>
      <c r="E635" s="14"/>
      <c r="F635" s="14"/>
      <c r="G635" s="14"/>
      <c r="H635" s="14"/>
      <c r="I635" s="14"/>
    </row>
    <row r="636" customFormat="false" ht="15" hidden="false" customHeight="false" outlineLevel="0" collapsed="false">
      <c r="A636" s="14" t="s">
        <v>277</v>
      </c>
      <c r="B636" s="14" t="s">
        <v>278</v>
      </c>
      <c r="C636" s="38" t="s">
        <v>279</v>
      </c>
      <c r="D636" s="54" t="n">
        <v>1</v>
      </c>
      <c r="E636" s="38" t="s">
        <v>280</v>
      </c>
      <c r="F636" s="54" t="n">
        <f aca="false">D636</f>
        <v>1</v>
      </c>
      <c r="G636" s="14" t="s">
        <v>281</v>
      </c>
      <c r="I636" s="38" t="s">
        <v>132</v>
      </c>
      <c r="J636" s="55" t="n">
        <f aca="false">J640</f>
        <v>16.07</v>
      </c>
    </row>
    <row r="637" customFormat="false" ht="15" hidden="false" customHeight="false" outlineLevel="0" collapsed="false">
      <c r="A637" s="14" t="s">
        <v>282</v>
      </c>
      <c r="B637" s="14" t="s">
        <v>283</v>
      </c>
      <c r="F637" s="38" t="s">
        <v>121</v>
      </c>
      <c r="G637" s="38" t="s">
        <v>284</v>
      </c>
      <c r="H637" s="38" t="s">
        <v>285</v>
      </c>
      <c r="I637" s="38" t="s">
        <v>286</v>
      </c>
      <c r="J637" s="38" t="s">
        <v>287</v>
      </c>
    </row>
    <row r="638" customFormat="false" ht="15" hidden="false" customHeight="false" outlineLevel="0" collapsed="false">
      <c r="B638" s="56" t="s">
        <v>293</v>
      </c>
    </row>
    <row r="639" customFormat="false" ht="15" hidden="false" customHeight="false" outlineLevel="0" collapsed="false">
      <c r="B639" s="1" t="s">
        <v>258</v>
      </c>
      <c r="F639" s="57" t="s">
        <v>132</v>
      </c>
      <c r="G639" s="58"/>
      <c r="H639" s="59" t="n">
        <v>1</v>
      </c>
      <c r="I639" s="1" t="n">
        <v>16.07</v>
      </c>
      <c r="J639" s="30" t="n">
        <f aca="false">H639*I639</f>
        <v>16.07</v>
      </c>
      <c r="K639" s="1" t="n">
        <v>39</v>
      </c>
    </row>
    <row r="640" customFormat="false" ht="15" hidden="false" customHeight="false" outlineLevel="0" collapsed="false">
      <c r="A640" s="62"/>
      <c r="B640" s="62"/>
      <c r="C640" s="62"/>
      <c r="D640" s="62"/>
      <c r="E640" s="62"/>
      <c r="F640" s="66"/>
      <c r="G640" s="67"/>
      <c r="H640" s="68"/>
      <c r="I640" s="69"/>
      <c r="J640" s="63" t="n">
        <f aca="false">ROUND(SUM(J639),2)</f>
        <v>16.07</v>
      </c>
    </row>
    <row r="642" customFormat="false" ht="15" hidden="false" customHeight="false" outlineLevel="0" collapsed="false">
      <c r="A642" s="14" t="s">
        <v>333</v>
      </c>
      <c r="B642" s="14" t="str">
        <f aca="false">PROVISIONALES!A69</f>
        <v>1.5.1.2</v>
      </c>
      <c r="C642" s="14" t="s">
        <v>260</v>
      </c>
      <c r="D642" s="14"/>
      <c r="E642" s="14"/>
      <c r="F642" s="14"/>
      <c r="G642" s="14"/>
      <c r="H642" s="14"/>
      <c r="I642" s="14"/>
    </row>
    <row r="643" customFormat="false" ht="15" hidden="false" customHeight="false" outlineLevel="0" collapsed="false">
      <c r="A643" s="14" t="s">
        <v>277</v>
      </c>
      <c r="B643" s="14" t="s">
        <v>278</v>
      </c>
      <c r="C643" s="38" t="s">
        <v>279</v>
      </c>
      <c r="D643" s="54" t="n">
        <v>1</v>
      </c>
      <c r="E643" s="38" t="s">
        <v>280</v>
      </c>
      <c r="F643" s="54" t="n">
        <f aca="false">D643</f>
        <v>1</v>
      </c>
      <c r="G643" s="14" t="s">
        <v>281</v>
      </c>
      <c r="I643" s="38" t="s">
        <v>132</v>
      </c>
      <c r="J643" s="55" t="n">
        <f aca="false">J647</f>
        <v>20.09</v>
      </c>
    </row>
    <row r="644" customFormat="false" ht="15" hidden="false" customHeight="false" outlineLevel="0" collapsed="false">
      <c r="A644" s="14" t="s">
        <v>282</v>
      </c>
      <c r="B644" s="14" t="s">
        <v>283</v>
      </c>
      <c r="F644" s="38" t="s">
        <v>121</v>
      </c>
      <c r="G644" s="38" t="s">
        <v>284</v>
      </c>
      <c r="H644" s="38" t="s">
        <v>285</v>
      </c>
      <c r="I644" s="38" t="s">
        <v>286</v>
      </c>
      <c r="J644" s="38" t="s">
        <v>287</v>
      </c>
    </row>
    <row r="645" customFormat="false" ht="15" hidden="false" customHeight="false" outlineLevel="0" collapsed="false">
      <c r="B645" s="56" t="s">
        <v>293</v>
      </c>
    </row>
    <row r="646" customFormat="false" ht="15" hidden="false" customHeight="false" outlineLevel="0" collapsed="false">
      <c r="B646" s="1" t="s">
        <v>260</v>
      </c>
      <c r="F646" s="57" t="s">
        <v>132</v>
      </c>
      <c r="G646" s="58"/>
      <c r="H646" s="59" t="n">
        <v>1</v>
      </c>
      <c r="I646" s="1" t="n">
        <v>20.09</v>
      </c>
      <c r="J646" s="30" t="n">
        <f aca="false">H646*I646</f>
        <v>20.09</v>
      </c>
      <c r="K646" s="1" t="n">
        <v>39</v>
      </c>
    </row>
    <row r="647" customFormat="false" ht="15" hidden="false" customHeight="false" outlineLevel="0" collapsed="false">
      <c r="A647" s="62"/>
      <c r="B647" s="62"/>
      <c r="C647" s="62"/>
      <c r="D647" s="62"/>
      <c r="E647" s="62"/>
      <c r="F647" s="66"/>
      <c r="G647" s="67"/>
      <c r="H647" s="68"/>
      <c r="I647" s="69"/>
      <c r="J647" s="63" t="n">
        <f aca="false">ROUND(SUM(J646),2)</f>
        <v>20.09</v>
      </c>
    </row>
    <row r="649" customFormat="false" ht="15" hidden="false" customHeight="false" outlineLevel="0" collapsed="false">
      <c r="A649" s="14" t="s">
        <v>333</v>
      </c>
      <c r="B649" s="14" t="str">
        <f aca="false">PROVISIONALES!A70</f>
        <v>1.5.1.3</v>
      </c>
      <c r="C649" s="14" t="s">
        <v>262</v>
      </c>
      <c r="D649" s="14"/>
      <c r="E649" s="14"/>
      <c r="F649" s="14"/>
      <c r="G649" s="14"/>
      <c r="H649" s="14"/>
      <c r="I649" s="14"/>
    </row>
    <row r="650" customFormat="false" ht="15" hidden="false" customHeight="false" outlineLevel="0" collapsed="false">
      <c r="A650" s="14" t="s">
        <v>277</v>
      </c>
      <c r="B650" s="14" t="s">
        <v>278</v>
      </c>
      <c r="C650" s="38" t="s">
        <v>279</v>
      </c>
      <c r="D650" s="54" t="n">
        <v>1</v>
      </c>
      <c r="E650" s="38" t="s">
        <v>280</v>
      </c>
      <c r="F650" s="54" t="n">
        <f aca="false">D650</f>
        <v>1</v>
      </c>
      <c r="G650" s="14" t="s">
        <v>281</v>
      </c>
      <c r="I650" s="38" t="s">
        <v>132</v>
      </c>
      <c r="J650" s="55" t="n">
        <f aca="false">J654</f>
        <v>20.09</v>
      </c>
    </row>
    <row r="651" customFormat="false" ht="15" hidden="false" customHeight="false" outlineLevel="0" collapsed="false">
      <c r="A651" s="14" t="s">
        <v>282</v>
      </c>
      <c r="B651" s="14" t="s">
        <v>283</v>
      </c>
      <c r="F651" s="38" t="s">
        <v>121</v>
      </c>
      <c r="G651" s="38" t="s">
        <v>284</v>
      </c>
      <c r="H651" s="38" t="s">
        <v>285</v>
      </c>
      <c r="I651" s="38" t="s">
        <v>286</v>
      </c>
      <c r="J651" s="38" t="s">
        <v>287</v>
      </c>
    </row>
    <row r="652" customFormat="false" ht="15" hidden="false" customHeight="false" outlineLevel="0" collapsed="false">
      <c r="B652" s="56" t="s">
        <v>293</v>
      </c>
    </row>
    <row r="653" customFormat="false" ht="15" hidden="false" customHeight="false" outlineLevel="0" collapsed="false">
      <c r="B653" s="1" t="s">
        <v>262</v>
      </c>
      <c r="F653" s="57" t="s">
        <v>132</v>
      </c>
      <c r="G653" s="58"/>
      <c r="H653" s="59" t="n">
        <v>1</v>
      </c>
      <c r="I653" s="1" t="n">
        <v>20.09</v>
      </c>
      <c r="J653" s="30" t="n">
        <f aca="false">H653*I653</f>
        <v>20.09</v>
      </c>
      <c r="K653" s="1" t="n">
        <v>39</v>
      </c>
    </row>
    <row r="654" customFormat="false" ht="15" hidden="false" customHeight="false" outlineLevel="0" collapsed="false">
      <c r="A654" s="62"/>
      <c r="B654" s="62"/>
      <c r="C654" s="62"/>
      <c r="D654" s="62"/>
      <c r="E654" s="62"/>
      <c r="F654" s="66"/>
      <c r="G654" s="67"/>
      <c r="H654" s="68"/>
      <c r="I654" s="69"/>
      <c r="J654" s="63" t="n">
        <f aca="false">ROUND(SUM(J653),2)</f>
        <v>20.09</v>
      </c>
    </row>
    <row r="656" customFormat="false" ht="15" hidden="false" customHeight="false" outlineLevel="0" collapsed="false">
      <c r="A656" s="14" t="s">
        <v>333</v>
      </c>
      <c r="B656" s="14" t="str">
        <f aca="false">PROVISIONALES!A71</f>
        <v>1.5.1.4</v>
      </c>
      <c r="C656" s="14" t="s">
        <v>264</v>
      </c>
      <c r="D656" s="14"/>
      <c r="E656" s="14"/>
      <c r="F656" s="14"/>
      <c r="G656" s="14"/>
      <c r="H656" s="14"/>
      <c r="I656" s="14"/>
    </row>
    <row r="657" customFormat="false" ht="15" hidden="false" customHeight="false" outlineLevel="0" collapsed="false">
      <c r="A657" s="14" t="s">
        <v>277</v>
      </c>
      <c r="B657" s="14" t="s">
        <v>278</v>
      </c>
      <c r="C657" s="38" t="s">
        <v>279</v>
      </c>
      <c r="D657" s="54" t="n">
        <v>1</v>
      </c>
      <c r="E657" s="38" t="s">
        <v>280</v>
      </c>
      <c r="F657" s="54" t="n">
        <f aca="false">D657</f>
        <v>1</v>
      </c>
      <c r="G657" s="14" t="s">
        <v>281</v>
      </c>
      <c r="I657" s="38" t="s">
        <v>132</v>
      </c>
      <c r="J657" s="55" t="n">
        <f aca="false">J661</f>
        <v>20.09</v>
      </c>
    </row>
    <row r="658" customFormat="false" ht="15" hidden="false" customHeight="false" outlineLevel="0" collapsed="false">
      <c r="A658" s="14" t="s">
        <v>282</v>
      </c>
      <c r="B658" s="14" t="s">
        <v>283</v>
      </c>
      <c r="F658" s="38" t="s">
        <v>121</v>
      </c>
      <c r="G658" s="38" t="s">
        <v>284</v>
      </c>
      <c r="H658" s="38" t="s">
        <v>285</v>
      </c>
      <c r="I658" s="38" t="s">
        <v>286</v>
      </c>
      <c r="J658" s="38" t="s">
        <v>287</v>
      </c>
    </row>
    <row r="659" customFormat="false" ht="15" hidden="false" customHeight="false" outlineLevel="0" collapsed="false">
      <c r="B659" s="56" t="s">
        <v>293</v>
      </c>
    </row>
    <row r="660" customFormat="false" ht="15" hidden="false" customHeight="false" outlineLevel="0" collapsed="false">
      <c r="B660" s="1" t="s">
        <v>264</v>
      </c>
      <c r="F660" s="57" t="s">
        <v>132</v>
      </c>
      <c r="G660" s="58"/>
      <c r="H660" s="59" t="n">
        <v>1</v>
      </c>
      <c r="I660" s="1" t="n">
        <v>20.09</v>
      </c>
      <c r="J660" s="30" t="n">
        <f aca="false">H660*I660</f>
        <v>20.09</v>
      </c>
      <c r="K660" s="1" t="n">
        <v>39</v>
      </c>
    </row>
    <row r="661" customFormat="false" ht="15" hidden="false" customHeight="false" outlineLevel="0" collapsed="false">
      <c r="A661" s="62"/>
      <c r="B661" s="62"/>
      <c r="C661" s="62"/>
      <c r="D661" s="62"/>
      <c r="E661" s="62"/>
      <c r="F661" s="66"/>
      <c r="G661" s="67"/>
      <c r="H661" s="68"/>
      <c r="I661" s="69"/>
      <c r="J661" s="63" t="n">
        <f aca="false">ROUND(SUM(J660),2)</f>
        <v>20.09</v>
      </c>
    </row>
    <row r="663" customFormat="false" ht="15" hidden="false" customHeight="false" outlineLevel="0" collapsed="false">
      <c r="A663" s="14" t="s">
        <v>333</v>
      </c>
      <c r="B663" s="14" t="str">
        <f aca="false">PROVISIONALES!A72</f>
        <v>1.5.1.5</v>
      </c>
      <c r="C663" s="14" t="s">
        <v>266</v>
      </c>
      <c r="D663" s="14"/>
      <c r="E663" s="14"/>
      <c r="F663" s="14"/>
      <c r="G663" s="14"/>
      <c r="H663" s="14"/>
      <c r="I663" s="14"/>
    </row>
    <row r="664" customFormat="false" ht="15" hidden="false" customHeight="false" outlineLevel="0" collapsed="false">
      <c r="A664" s="14" t="s">
        <v>277</v>
      </c>
      <c r="B664" s="14" t="s">
        <v>278</v>
      </c>
      <c r="C664" s="38" t="s">
        <v>279</v>
      </c>
      <c r="D664" s="54" t="n">
        <v>1</v>
      </c>
      <c r="E664" s="38" t="s">
        <v>280</v>
      </c>
      <c r="F664" s="54" t="n">
        <f aca="false">D664</f>
        <v>1</v>
      </c>
      <c r="G664" s="14" t="s">
        <v>281</v>
      </c>
      <c r="I664" s="38" t="s">
        <v>132</v>
      </c>
      <c r="J664" s="55" t="n">
        <f aca="false">J668</f>
        <v>20.09</v>
      </c>
    </row>
    <row r="665" customFormat="false" ht="15" hidden="false" customHeight="false" outlineLevel="0" collapsed="false">
      <c r="A665" s="14" t="s">
        <v>282</v>
      </c>
      <c r="B665" s="14" t="s">
        <v>283</v>
      </c>
      <c r="F665" s="38" t="s">
        <v>121</v>
      </c>
      <c r="G665" s="38" t="s">
        <v>284</v>
      </c>
      <c r="H665" s="38" t="s">
        <v>285</v>
      </c>
      <c r="I665" s="38" t="s">
        <v>286</v>
      </c>
      <c r="J665" s="38" t="s">
        <v>287</v>
      </c>
    </row>
    <row r="666" customFormat="false" ht="15" hidden="false" customHeight="false" outlineLevel="0" collapsed="false">
      <c r="B666" s="56" t="s">
        <v>293</v>
      </c>
    </row>
    <row r="667" customFormat="false" ht="15" hidden="false" customHeight="false" outlineLevel="0" collapsed="false">
      <c r="B667" s="1" t="s">
        <v>266</v>
      </c>
      <c r="F667" s="57" t="s">
        <v>132</v>
      </c>
      <c r="G667" s="58"/>
      <c r="H667" s="59" t="n">
        <v>1</v>
      </c>
      <c r="I667" s="1" t="n">
        <v>20.09</v>
      </c>
      <c r="J667" s="30" t="n">
        <f aca="false">H667*I667</f>
        <v>20.09</v>
      </c>
      <c r="K667" s="1" t="n">
        <v>39</v>
      </c>
    </row>
    <row r="668" customFormat="false" ht="15" hidden="false" customHeight="false" outlineLevel="0" collapsed="false">
      <c r="A668" s="62"/>
      <c r="B668" s="62"/>
      <c r="C668" s="62"/>
      <c r="D668" s="62"/>
      <c r="E668" s="62"/>
      <c r="F668" s="66"/>
      <c r="G668" s="67"/>
      <c r="H668" s="68"/>
      <c r="I668" s="69"/>
      <c r="J668" s="63" t="n">
        <f aca="false">ROUND(SUM(J667),2)</f>
        <v>20.09</v>
      </c>
    </row>
    <row r="670" customFormat="false" ht="15" hidden="false" customHeight="false" outlineLevel="0" collapsed="false">
      <c r="A670" s="14" t="s">
        <v>333</v>
      </c>
      <c r="B670" s="14" t="str">
        <f aca="false">PROVISIONALES!A73</f>
        <v>1.5.1.6</v>
      </c>
      <c r="C670" s="14" t="s">
        <v>268</v>
      </c>
      <c r="D670" s="14"/>
      <c r="E670" s="14"/>
      <c r="F670" s="14"/>
      <c r="G670" s="14"/>
      <c r="H670" s="14"/>
      <c r="I670" s="14"/>
    </row>
    <row r="671" customFormat="false" ht="15" hidden="false" customHeight="false" outlineLevel="0" collapsed="false">
      <c r="A671" s="14" t="s">
        <v>277</v>
      </c>
      <c r="B671" s="14" t="s">
        <v>278</v>
      </c>
      <c r="C671" s="38" t="s">
        <v>279</v>
      </c>
      <c r="D671" s="54" t="n">
        <v>1</v>
      </c>
      <c r="E671" s="38" t="s">
        <v>280</v>
      </c>
      <c r="F671" s="54" t="n">
        <f aca="false">D671</f>
        <v>1</v>
      </c>
      <c r="G671" s="14" t="s">
        <v>281</v>
      </c>
      <c r="I671" s="38" t="s">
        <v>132</v>
      </c>
      <c r="J671" s="55" t="n">
        <f aca="false">J675</f>
        <v>20.09</v>
      </c>
    </row>
    <row r="672" customFormat="false" ht="15" hidden="false" customHeight="false" outlineLevel="0" collapsed="false">
      <c r="A672" s="14" t="s">
        <v>282</v>
      </c>
      <c r="B672" s="14" t="s">
        <v>283</v>
      </c>
      <c r="F672" s="38" t="s">
        <v>121</v>
      </c>
      <c r="G672" s="38" t="s">
        <v>284</v>
      </c>
      <c r="H672" s="38" t="s">
        <v>285</v>
      </c>
      <c r="I672" s="38" t="s">
        <v>286</v>
      </c>
      <c r="J672" s="38" t="s">
        <v>287</v>
      </c>
    </row>
    <row r="673" customFormat="false" ht="15" hidden="false" customHeight="false" outlineLevel="0" collapsed="false">
      <c r="B673" s="56" t="s">
        <v>293</v>
      </c>
    </row>
    <row r="674" customFormat="false" ht="15" hidden="false" customHeight="false" outlineLevel="0" collapsed="false">
      <c r="B674" s="1" t="s">
        <v>268</v>
      </c>
      <c r="F674" s="57" t="s">
        <v>132</v>
      </c>
      <c r="G674" s="58"/>
      <c r="H674" s="59" t="n">
        <v>1</v>
      </c>
      <c r="I674" s="1" t="n">
        <v>20.09</v>
      </c>
      <c r="J674" s="30" t="n">
        <f aca="false">H674*I674</f>
        <v>20.09</v>
      </c>
      <c r="K674" s="1" t="n">
        <v>39</v>
      </c>
    </row>
    <row r="675" customFormat="false" ht="15" hidden="false" customHeight="false" outlineLevel="0" collapsed="false">
      <c r="A675" s="62"/>
      <c r="B675" s="62"/>
      <c r="C675" s="62"/>
      <c r="D675" s="62"/>
      <c r="E675" s="62"/>
      <c r="F675" s="66"/>
      <c r="G675" s="67"/>
      <c r="H675" s="68"/>
      <c r="I675" s="69"/>
      <c r="J675" s="63" t="n">
        <f aca="false">ROUND(SUM(J674),2)</f>
        <v>20.09</v>
      </c>
    </row>
    <row r="677" customFormat="false" ht="15" hidden="false" customHeight="false" outlineLevel="0" collapsed="false">
      <c r="A677" s="14" t="s">
        <v>333</v>
      </c>
      <c r="B677" s="14" t="str">
        <f aca="false">PROVISIONALES!A74</f>
        <v>1.5.1.7</v>
      </c>
      <c r="C677" s="14" t="s">
        <v>270</v>
      </c>
      <c r="D677" s="14"/>
      <c r="E677" s="14"/>
      <c r="F677" s="14"/>
      <c r="G677" s="14"/>
      <c r="H677" s="14"/>
      <c r="I677" s="14"/>
    </row>
    <row r="678" customFormat="false" ht="15" hidden="false" customHeight="false" outlineLevel="0" collapsed="false">
      <c r="A678" s="14" t="s">
        <v>277</v>
      </c>
      <c r="B678" s="14" t="s">
        <v>278</v>
      </c>
      <c r="C678" s="38" t="s">
        <v>279</v>
      </c>
      <c r="D678" s="54" t="n">
        <v>1</v>
      </c>
      <c r="E678" s="38" t="s">
        <v>280</v>
      </c>
      <c r="F678" s="54" t="n">
        <f aca="false">D678</f>
        <v>1</v>
      </c>
      <c r="G678" s="14" t="s">
        <v>281</v>
      </c>
      <c r="I678" s="38" t="s">
        <v>132</v>
      </c>
      <c r="J678" s="55" t="n">
        <f aca="false">J682</f>
        <v>20.09</v>
      </c>
    </row>
    <row r="679" customFormat="false" ht="15" hidden="false" customHeight="false" outlineLevel="0" collapsed="false">
      <c r="A679" s="14" t="s">
        <v>282</v>
      </c>
      <c r="B679" s="14" t="s">
        <v>283</v>
      </c>
      <c r="F679" s="38" t="s">
        <v>121</v>
      </c>
      <c r="G679" s="38" t="s">
        <v>284</v>
      </c>
      <c r="H679" s="38" t="s">
        <v>285</v>
      </c>
      <c r="I679" s="38" t="s">
        <v>286</v>
      </c>
      <c r="J679" s="38" t="s">
        <v>287</v>
      </c>
    </row>
    <row r="680" customFormat="false" ht="15" hidden="false" customHeight="false" outlineLevel="0" collapsed="false">
      <c r="B680" s="56" t="s">
        <v>293</v>
      </c>
    </row>
    <row r="681" customFormat="false" ht="15" hidden="false" customHeight="false" outlineLevel="0" collapsed="false">
      <c r="B681" s="1" t="s">
        <v>270</v>
      </c>
      <c r="F681" s="57" t="s">
        <v>132</v>
      </c>
      <c r="G681" s="58"/>
      <c r="H681" s="59" t="n">
        <v>1</v>
      </c>
      <c r="I681" s="1" t="n">
        <v>20.09</v>
      </c>
      <c r="J681" s="30" t="n">
        <f aca="false">H681*I681</f>
        <v>20.09</v>
      </c>
      <c r="K681" s="1" t="n">
        <v>39</v>
      </c>
    </row>
    <row r="682" customFormat="false" ht="15" hidden="false" customHeight="false" outlineLevel="0" collapsed="false">
      <c r="A682" s="62"/>
      <c r="B682" s="62"/>
      <c r="C682" s="62"/>
      <c r="D682" s="62"/>
      <c r="E682" s="62"/>
      <c r="F682" s="66"/>
      <c r="G682" s="67"/>
      <c r="H682" s="68"/>
      <c r="I682" s="69"/>
      <c r="J682" s="63" t="n">
        <f aca="false">ROUND(SUM(J681),2)</f>
        <v>20.09</v>
      </c>
    </row>
    <row r="684" customFormat="false" ht="15" hidden="false" customHeight="false" outlineLevel="0" collapsed="false">
      <c r="A684" s="14" t="s">
        <v>333</v>
      </c>
      <c r="B684" s="14" t="str">
        <f aca="false">PROVISIONALES!A76</f>
        <v>1.5.2.1</v>
      </c>
      <c r="C684" s="14" t="s">
        <v>273</v>
      </c>
      <c r="D684" s="14"/>
      <c r="E684" s="14"/>
      <c r="F684" s="14"/>
      <c r="G684" s="14"/>
      <c r="H684" s="14"/>
      <c r="I684" s="14"/>
    </row>
    <row r="685" customFormat="false" ht="15" hidden="false" customHeight="false" outlineLevel="0" collapsed="false">
      <c r="A685" s="14" t="s">
        <v>277</v>
      </c>
      <c r="B685" s="14" t="s">
        <v>278</v>
      </c>
      <c r="C685" s="38" t="s">
        <v>279</v>
      </c>
      <c r="D685" s="54" t="n">
        <v>1</v>
      </c>
      <c r="E685" s="38" t="s">
        <v>280</v>
      </c>
      <c r="F685" s="54" t="n">
        <f aca="false">D685</f>
        <v>1</v>
      </c>
      <c r="G685" s="14" t="s">
        <v>281</v>
      </c>
      <c r="I685" s="38" t="s">
        <v>132</v>
      </c>
      <c r="J685" s="55" t="n">
        <f aca="false">J689</f>
        <v>54.2</v>
      </c>
    </row>
    <row r="686" customFormat="false" ht="15" hidden="false" customHeight="false" outlineLevel="0" collapsed="false">
      <c r="A686" s="14" t="s">
        <v>282</v>
      </c>
      <c r="B686" s="14" t="s">
        <v>283</v>
      </c>
      <c r="F686" s="38" t="s">
        <v>121</v>
      </c>
      <c r="G686" s="38" t="s">
        <v>284</v>
      </c>
      <c r="H686" s="38" t="s">
        <v>285</v>
      </c>
      <c r="I686" s="38" t="s">
        <v>286</v>
      </c>
      <c r="J686" s="38" t="s">
        <v>287</v>
      </c>
    </row>
    <row r="687" customFormat="false" ht="15" hidden="false" customHeight="false" outlineLevel="0" collapsed="false">
      <c r="B687" s="56" t="s">
        <v>293</v>
      </c>
    </row>
    <row r="688" customFormat="false" ht="15" hidden="false" customHeight="false" outlineLevel="0" collapsed="false">
      <c r="B688" s="1" t="s">
        <v>273</v>
      </c>
      <c r="F688" s="57" t="s">
        <v>132</v>
      </c>
      <c r="G688" s="58"/>
      <c r="H688" s="59" t="n">
        <v>1</v>
      </c>
      <c r="I688" s="1" t="n">
        <v>54.2</v>
      </c>
      <c r="J688" s="30" t="n">
        <f aca="false">H688*I688</f>
        <v>54.2</v>
      </c>
      <c r="K688" s="1" t="n">
        <v>39</v>
      </c>
    </row>
    <row r="689" customFormat="false" ht="15" hidden="false" customHeight="false" outlineLevel="0" collapsed="false">
      <c r="A689" s="62"/>
      <c r="B689" s="62"/>
      <c r="C689" s="62"/>
      <c r="D689" s="62"/>
      <c r="E689" s="62"/>
      <c r="F689" s="66"/>
      <c r="G689" s="67"/>
      <c r="H689" s="68"/>
      <c r="I689" s="69"/>
      <c r="J689" s="63" t="n">
        <f aca="false">ROUND(SUM(J688),2)</f>
        <v>54.2</v>
      </c>
    </row>
    <row r="691" customFormat="false" ht="15" hidden="false" customHeight="false" outlineLevel="0" collapsed="false">
      <c r="A691" s="14" t="s">
        <v>333</v>
      </c>
      <c r="B691" s="14" t="str">
        <f aca="false">PROVISIONALES!A77</f>
        <v>1.5.2.2</v>
      </c>
      <c r="C691" s="14" t="s">
        <v>275</v>
      </c>
      <c r="D691" s="14"/>
      <c r="E691" s="14"/>
      <c r="F691" s="14"/>
      <c r="G691" s="14"/>
      <c r="H691" s="14"/>
      <c r="I691" s="14"/>
    </row>
    <row r="692" customFormat="false" ht="15" hidden="false" customHeight="false" outlineLevel="0" collapsed="false">
      <c r="A692" s="14" t="s">
        <v>277</v>
      </c>
      <c r="B692" s="14" t="s">
        <v>278</v>
      </c>
      <c r="C692" s="38" t="s">
        <v>279</v>
      </c>
      <c r="D692" s="54" t="n">
        <v>1</v>
      </c>
      <c r="E692" s="38" t="s">
        <v>280</v>
      </c>
      <c r="F692" s="54" t="n">
        <f aca="false">D692</f>
        <v>1</v>
      </c>
      <c r="G692" s="14" t="s">
        <v>281</v>
      </c>
      <c r="I692" s="38" t="s">
        <v>132</v>
      </c>
      <c r="J692" s="55" t="n">
        <f aca="false">J696</f>
        <v>40.17</v>
      </c>
    </row>
    <row r="693" customFormat="false" ht="15" hidden="false" customHeight="false" outlineLevel="0" collapsed="false">
      <c r="A693" s="14" t="s">
        <v>282</v>
      </c>
      <c r="B693" s="14" t="s">
        <v>283</v>
      </c>
      <c r="F693" s="38" t="s">
        <v>121</v>
      </c>
      <c r="G693" s="38" t="s">
        <v>284</v>
      </c>
      <c r="H693" s="38" t="s">
        <v>285</v>
      </c>
      <c r="I693" s="38" t="s">
        <v>286</v>
      </c>
      <c r="J693" s="38" t="s">
        <v>287</v>
      </c>
    </row>
    <row r="694" customFormat="false" ht="15" hidden="false" customHeight="false" outlineLevel="0" collapsed="false">
      <c r="B694" s="56" t="s">
        <v>293</v>
      </c>
    </row>
    <row r="695" customFormat="false" ht="15" hidden="false" customHeight="false" outlineLevel="0" collapsed="false">
      <c r="B695" s="1" t="s">
        <v>275</v>
      </c>
      <c r="F695" s="57" t="s">
        <v>132</v>
      </c>
      <c r="G695" s="58"/>
      <c r="H695" s="59" t="n">
        <v>1</v>
      </c>
      <c r="I695" s="1" t="n">
        <v>40.17</v>
      </c>
      <c r="J695" s="30" t="n">
        <f aca="false">H695*I695</f>
        <v>40.17</v>
      </c>
      <c r="K695" s="1" t="n">
        <v>39</v>
      </c>
    </row>
    <row r="696" customFormat="false" ht="15" hidden="false" customHeight="false" outlineLevel="0" collapsed="false">
      <c r="A696" s="62"/>
      <c r="B696" s="62"/>
      <c r="C696" s="62"/>
      <c r="D696" s="62"/>
      <c r="E696" s="62"/>
      <c r="F696" s="66"/>
      <c r="G696" s="67"/>
      <c r="H696" s="68"/>
      <c r="I696" s="69"/>
      <c r="J696" s="63" t="n">
        <f aca="false">ROUND(SUM(J695),2)</f>
        <v>40.17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AI115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H33" activeCellId="0" sqref="H3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.29"/>
    <col collapsed="false" customWidth="true" hidden="false" outlineLevel="0" max="8" min="8" style="1" width="11"/>
    <col collapsed="false" customWidth="true" hidden="false" outlineLevel="0" max="9" min="9" style="1" width="11.57"/>
    <col collapsed="false" customWidth="true" hidden="false" outlineLevel="0" max="10" min="10" style="1" width="14.29"/>
    <col collapsed="false" customWidth="true" hidden="false" outlineLevel="0" max="11" min="11" style="1" width="14"/>
    <col collapsed="false" customWidth="true" hidden="false" outlineLevel="0" max="12" min="12" style="1" width="17.3"/>
    <col collapsed="false" customWidth="true" hidden="false" outlineLevel="0" max="15" min="14" style="1" width="15.15"/>
    <col collapsed="false" customWidth="true" hidden="false" outlineLevel="0" max="31" min="31" style="1" width="27"/>
  </cols>
  <sheetData>
    <row r="2" customFormat="false" ht="15" hidden="false" customHeight="false" outlineLevel="0" collapsed="false">
      <c r="A2" s="57"/>
      <c r="G2" s="38" t="s">
        <v>121</v>
      </c>
      <c r="H2" s="38" t="s">
        <v>122</v>
      </c>
      <c r="I2" s="38" t="s">
        <v>123</v>
      </c>
      <c r="J2" s="38" t="s">
        <v>452</v>
      </c>
      <c r="K2" s="38" t="s">
        <v>453</v>
      </c>
    </row>
    <row r="3" customFormat="false" ht="15" hidden="false" customHeight="false" outlineLevel="0" collapsed="false">
      <c r="A3" s="14" t="n">
        <v>2</v>
      </c>
      <c r="B3" s="72" t="s">
        <v>454</v>
      </c>
      <c r="H3" s="9"/>
      <c r="I3" s="9"/>
      <c r="J3" s="9"/>
      <c r="K3" s="73" t="n">
        <f aca="false">J4+J14+J23+J72</f>
        <v>375611.9751</v>
      </c>
      <c r="M3" s="9"/>
    </row>
    <row r="4" customFormat="false" ht="15" hidden="false" customHeight="false" outlineLevel="0" collapsed="false">
      <c r="A4" s="14" t="n">
        <v>2.01</v>
      </c>
      <c r="B4" s="74" t="s">
        <v>455</v>
      </c>
      <c r="C4" s="14"/>
      <c r="H4" s="9"/>
      <c r="I4" s="9"/>
      <c r="J4" s="42" t="n">
        <f aca="false">SUM(J5:J13)</f>
        <v>53189.2317</v>
      </c>
      <c r="K4" s="9"/>
      <c r="N4" s="14"/>
      <c r="O4" s="14"/>
    </row>
    <row r="5" customFormat="false" ht="15" hidden="false" customHeight="false" outlineLevel="0" collapsed="false">
      <c r="A5" s="1" t="s">
        <v>456</v>
      </c>
      <c r="B5" s="1" t="s">
        <v>457</v>
      </c>
      <c r="G5" s="6" t="s">
        <v>202</v>
      </c>
      <c r="H5" s="9" t="n">
        <f aca="false">ROUND('Cimentación 1 piso'!H9+'Cimentación 2 pisos '!H9+'Cimentación 3 pisos'!H9+'Cimentación 4 pisos'!H9+'Platea de Cimentacion'!H9,2)</f>
        <v>1057.48</v>
      </c>
      <c r="I5" s="9" t="n">
        <f aca="false">ROUND('APU ESTRUCTURAS'!J2,2)</f>
        <v>8.46</v>
      </c>
      <c r="J5" s="9" t="n">
        <f aca="false">H5*I5</f>
        <v>8946.2808</v>
      </c>
      <c r="K5" s="9"/>
      <c r="O5" s="14"/>
      <c r="U5" s="27"/>
    </row>
    <row r="6" customFormat="false" ht="15" hidden="false" customHeight="false" outlineLevel="0" collapsed="false">
      <c r="A6" s="1" t="s">
        <v>458</v>
      </c>
      <c r="B6" s="1" t="s">
        <v>459</v>
      </c>
      <c r="G6" s="6" t="s">
        <v>202</v>
      </c>
      <c r="H6" s="9" t="n">
        <f aca="false">ROUND('Cimentación 1 piso'!H10+'Cimentación 2 pisos '!H10+'Cimentación 3 pisos'!H10+'Cimentación 4 pisos'!H10+'Platea de Cimentacion'!H10,2)</f>
        <v>14.23</v>
      </c>
      <c r="I6" s="9" t="n">
        <f aca="false">ROUND('APU ESTRUCTURAS'!J18,2)</f>
        <v>49.41</v>
      </c>
      <c r="J6" s="9" t="n">
        <f aca="false">H6*I6</f>
        <v>703.1043</v>
      </c>
      <c r="K6" s="9"/>
      <c r="O6" s="14"/>
      <c r="T6" s="6"/>
      <c r="U6" s="9"/>
      <c r="V6" s="9"/>
      <c r="W6" s="43"/>
      <c r="AE6" s="15"/>
      <c r="AI6" s="27"/>
    </row>
    <row r="7" customFormat="false" ht="15" hidden="false" customHeight="false" outlineLevel="0" collapsed="false">
      <c r="A7" s="1" t="s">
        <v>460</v>
      </c>
      <c r="B7" s="1" t="s">
        <v>461</v>
      </c>
      <c r="G7" s="6" t="s">
        <v>202</v>
      </c>
      <c r="H7" s="9" t="n">
        <f aca="false">ROUND('Cimentación 1 piso'!H11+'Cimentación 2 pisos '!H11+'Cimentación 3 pisos'!H11+'Cimentación 4 pisos'!H11+'Platea de Cimentacion'!H11,2)</f>
        <v>65.23</v>
      </c>
      <c r="I7" s="9" t="n">
        <f aca="false">ROUND('APU ESTRUCTURAS'!J29,2)</f>
        <v>66.23</v>
      </c>
      <c r="J7" s="9" t="n">
        <f aca="false">H7*I7</f>
        <v>4320.1829</v>
      </c>
      <c r="K7" s="9"/>
      <c r="L7" s="57"/>
      <c r="M7" s="57"/>
      <c r="Q7" s="57"/>
      <c r="U7" s="27"/>
    </row>
    <row r="8" customFormat="false" ht="15" hidden="false" customHeight="false" outlineLevel="0" collapsed="false">
      <c r="A8" s="1" t="s">
        <v>462</v>
      </c>
      <c r="B8" s="1" t="s">
        <v>463</v>
      </c>
      <c r="G8" s="6" t="s">
        <v>202</v>
      </c>
      <c r="H8" s="9" t="n">
        <f aca="false">ROUND('Cimentación 1 piso'!H12+'Cimentación 2 pisos '!H12+'Cimentación 3 pisos'!H12+'Cimentación 4 pisos'!H12+'Platea de Cimentacion'!H12,2)</f>
        <v>624.29</v>
      </c>
      <c r="I8" s="9" t="n">
        <f aca="false">ROUND('APU ESTRUCTURAS'!J46,2)</f>
        <v>19.79</v>
      </c>
      <c r="J8" s="9" t="n">
        <f aca="false">H8*I8</f>
        <v>12354.6991</v>
      </c>
      <c r="K8" s="9"/>
      <c r="L8" s="57"/>
      <c r="M8" s="57"/>
      <c r="T8" s="6"/>
      <c r="U8" s="9"/>
      <c r="V8" s="9"/>
      <c r="W8" s="43"/>
    </row>
    <row r="9" customFormat="false" ht="15" hidden="false" customHeight="false" outlineLevel="0" collapsed="false">
      <c r="A9" s="1" t="s">
        <v>464</v>
      </c>
      <c r="B9" s="1" t="s">
        <v>465</v>
      </c>
      <c r="G9" s="6" t="s">
        <v>132</v>
      </c>
      <c r="H9" s="9" t="n">
        <f aca="false">ROUND('Cimentación 1 piso'!H13+'Cimentación 2 pisos '!H13+'Cimentación 3 pisos'!H13+'Cimentación 4 pisos'!H13+'Platea de Cimentacion'!H13,2)</f>
        <v>496.99</v>
      </c>
      <c r="I9" s="9" t="n">
        <f aca="false">ROUND('APU ESTRUCTURAS'!J63,2)</f>
        <v>7.98</v>
      </c>
      <c r="J9" s="9" t="n">
        <f aca="false">H9*I9</f>
        <v>3965.9802</v>
      </c>
      <c r="K9" s="9"/>
      <c r="L9" s="57"/>
      <c r="M9" s="57"/>
    </row>
    <row r="10" customFormat="false" ht="15" hidden="false" customHeight="false" outlineLevel="0" collapsed="false">
      <c r="A10" s="1" t="s">
        <v>466</v>
      </c>
      <c r="B10" s="1" t="s">
        <v>467</v>
      </c>
      <c r="G10" s="6" t="s">
        <v>132</v>
      </c>
      <c r="H10" s="9" t="n">
        <f aca="false">ROUND('Cimentación 1 piso'!H14+'Cimentación 2 pisos '!H14+'Cimentación 3 pisos'!H14+'Cimentación 4 pisos'!H14+'Platea de Cimentacion'!H14,2)</f>
        <v>559.28</v>
      </c>
      <c r="I10" s="9" t="n">
        <f aca="false">ROUND('APU ESTRUCTURAS'!J78,2)</f>
        <v>12.11</v>
      </c>
      <c r="J10" s="9" t="n">
        <f aca="false">H10*I10</f>
        <v>6772.8808</v>
      </c>
      <c r="K10" s="9"/>
      <c r="L10" s="57"/>
      <c r="M10" s="57"/>
      <c r="P10" s="59"/>
      <c r="Q10" s="57"/>
      <c r="AE10" s="15"/>
    </row>
    <row r="11" customFormat="false" ht="15" hidden="false" customHeight="false" outlineLevel="0" collapsed="false">
      <c r="A11" s="1" t="s">
        <v>468</v>
      </c>
      <c r="B11" s="1" t="s">
        <v>469</v>
      </c>
      <c r="G11" s="6" t="s">
        <v>202</v>
      </c>
      <c r="H11" s="9" t="n">
        <f aca="false">ROUND('Cimentación 1 piso'!H15+'Cimentación 2 pisos '!H15+'Cimentación 3 pisos'!H15+'Cimentación 4 pisos'!H15+'Platea de Cimentacion'!H15,2)</f>
        <v>559.28</v>
      </c>
      <c r="I11" s="9" t="n">
        <f aca="false">ROUND('APU ESTRUCTURAS'!J89,2)</f>
        <v>22.87</v>
      </c>
      <c r="J11" s="9" t="n">
        <f aca="false">H11*I11</f>
        <v>12790.7336</v>
      </c>
      <c r="K11" s="9"/>
      <c r="L11" s="57"/>
      <c r="M11" s="57"/>
      <c r="P11" s="59"/>
      <c r="Q11" s="57"/>
    </row>
    <row r="12" customFormat="false" ht="15" hidden="false" customHeight="false" outlineLevel="0" collapsed="false">
      <c r="A12" s="1" t="s">
        <v>470</v>
      </c>
      <c r="B12" s="1" t="s">
        <v>471</v>
      </c>
      <c r="G12" s="6" t="s">
        <v>202</v>
      </c>
      <c r="H12" s="9" t="n">
        <f aca="false">ROUND('Obras exteriores '!D11+'Obras exteriores '!D27+'Obras exteriores '!D45,2)</f>
        <v>100</v>
      </c>
      <c r="I12" s="9" t="n">
        <f aca="false">ROUND('APU ESTRUCTURAS'!J102,2)</f>
        <v>7.98</v>
      </c>
      <c r="J12" s="9" t="n">
        <f aca="false">H12*I12</f>
        <v>798</v>
      </c>
      <c r="K12" s="9"/>
      <c r="L12" s="57"/>
      <c r="M12" s="57"/>
      <c r="P12" s="59"/>
      <c r="Q12" s="57"/>
    </row>
    <row r="13" customFormat="false" ht="15" hidden="false" customHeight="false" outlineLevel="0" collapsed="false">
      <c r="A13" s="1" t="s">
        <v>472</v>
      </c>
      <c r="B13" s="1" t="s">
        <v>473</v>
      </c>
      <c r="G13" s="6" t="s">
        <v>202</v>
      </c>
      <c r="H13" s="9" t="n">
        <f aca="false">ROUND('Obras exteriores '!D12+'Obras exteriores '!D28+'Obras exteriores '!D46+'Obras exteriores '!D59,2)</f>
        <v>33</v>
      </c>
      <c r="I13" s="9" t="n">
        <f aca="false">ROUND('APU ESTRUCTURAS'!J117,2)</f>
        <v>76.89</v>
      </c>
      <c r="J13" s="9" t="n">
        <f aca="false">H13*I13</f>
        <v>2537.37</v>
      </c>
      <c r="K13" s="9"/>
      <c r="L13" s="57"/>
      <c r="M13" s="57"/>
      <c r="P13" s="59"/>
      <c r="Q13" s="57"/>
      <c r="AI13" s="27"/>
    </row>
    <row r="14" customFormat="false" ht="15" hidden="false" customHeight="false" outlineLevel="0" collapsed="false">
      <c r="A14" s="14" t="n">
        <v>2.02</v>
      </c>
      <c r="B14" s="74" t="s">
        <v>474</v>
      </c>
      <c r="G14" s="6"/>
      <c r="H14" s="9"/>
      <c r="I14" s="9"/>
      <c r="J14" s="42" t="n">
        <f aca="false">J15+J17+J19+J21</f>
        <v>60217.3124</v>
      </c>
      <c r="L14" s="57"/>
      <c r="M14" s="57"/>
      <c r="P14" s="59"/>
      <c r="Q14" s="57"/>
      <c r="AE14" s="15"/>
    </row>
    <row r="15" customFormat="false" ht="15" hidden="false" customHeight="false" outlineLevel="0" collapsed="false">
      <c r="A15" s="14" t="s">
        <v>475</v>
      </c>
      <c r="B15" s="43" t="s">
        <v>476</v>
      </c>
      <c r="G15" s="6"/>
      <c r="H15" s="9"/>
      <c r="I15" s="9"/>
      <c r="J15" s="45" t="n">
        <f aca="false">SUM(J16)</f>
        <v>0</v>
      </c>
      <c r="L15" s="57"/>
      <c r="M15" s="57"/>
      <c r="P15" s="59"/>
      <c r="Q15" s="57"/>
      <c r="AE15" s="15"/>
    </row>
    <row r="16" customFormat="false" ht="15" hidden="false" customHeight="false" outlineLevel="0" collapsed="false">
      <c r="A16" s="1" t="s">
        <v>477</v>
      </c>
      <c r="B16" s="75" t="s">
        <v>478</v>
      </c>
      <c r="G16" s="6" t="s">
        <v>132</v>
      </c>
      <c r="H16" s="9" t="n">
        <f aca="false">'Platea de Cimentacion'!H17</f>
        <v>0</v>
      </c>
      <c r="I16" s="9" t="n">
        <f aca="false">ROUND('APU ESTRUCTURAS'!J139,2)</f>
        <v>237.34</v>
      </c>
      <c r="J16" s="9" t="n">
        <f aca="false">H16*I16</f>
        <v>0</v>
      </c>
      <c r="L16" s="57"/>
      <c r="M16" s="57"/>
      <c r="O16" s="14"/>
      <c r="P16" s="59"/>
      <c r="Q16" s="57"/>
      <c r="AE16" s="15"/>
    </row>
    <row r="17" customFormat="false" ht="15" hidden="false" customHeight="false" outlineLevel="0" collapsed="false">
      <c r="A17" s="14" t="s">
        <v>479</v>
      </c>
      <c r="B17" s="43" t="s">
        <v>480</v>
      </c>
      <c r="G17" s="6"/>
      <c r="H17" s="9"/>
      <c r="I17" s="9"/>
      <c r="J17" s="45" t="n">
        <f aca="false">SUM(J18)</f>
        <v>51730.6264</v>
      </c>
      <c r="K17" s="9"/>
      <c r="L17" s="57"/>
      <c r="M17" s="57"/>
      <c r="P17" s="59"/>
      <c r="Q17" s="57"/>
      <c r="U17" s="27"/>
      <c r="AE17" s="76"/>
    </row>
    <row r="18" customFormat="false" ht="15" hidden="false" customHeight="false" outlineLevel="0" collapsed="false">
      <c r="A18" s="1" t="s">
        <v>481</v>
      </c>
      <c r="B18" s="1" t="s">
        <v>482</v>
      </c>
      <c r="G18" s="6" t="s">
        <v>132</v>
      </c>
      <c r="H18" s="9" t="n">
        <f aca="false">ROUND('Cimentación 1 piso'!H17+'Cimentación 2 pisos '!H17+'Cimentación 3 pisos'!H17+'Cimentación 4 pisos'!H17+Escalera!D7,2)</f>
        <v>217.96</v>
      </c>
      <c r="I18" s="9" t="n">
        <f aca="false">ROUND('APU ESTRUCTURAS'!J161,2)</f>
        <v>237.34</v>
      </c>
      <c r="J18" s="9" t="n">
        <f aca="false">H18*I18</f>
        <v>51730.6264</v>
      </c>
      <c r="K18" s="9"/>
      <c r="L18" s="57"/>
      <c r="M18" s="57"/>
      <c r="P18" s="59"/>
      <c r="Q18" s="57"/>
      <c r="AE18" s="76"/>
      <c r="AI18" s="27"/>
    </row>
    <row r="19" customFormat="false" ht="15" hidden="false" customHeight="false" outlineLevel="0" collapsed="false">
      <c r="A19" s="14" t="s">
        <v>483</v>
      </c>
      <c r="B19" s="43" t="s">
        <v>484</v>
      </c>
      <c r="G19" s="6"/>
      <c r="H19" s="9"/>
      <c r="I19" s="9"/>
      <c r="J19" s="45" t="n">
        <f aca="false">SUM(J20)</f>
        <v>8177.1292</v>
      </c>
      <c r="K19" s="9"/>
      <c r="P19" s="59"/>
      <c r="Q19" s="57"/>
      <c r="U19" s="15"/>
      <c r="AE19" s="76"/>
      <c r="AI19" s="27"/>
    </row>
    <row r="20" customFormat="false" ht="15" hidden="false" customHeight="false" outlineLevel="0" collapsed="false">
      <c r="A20" s="1" t="s">
        <v>485</v>
      </c>
      <c r="B20" s="1" t="s">
        <v>486</v>
      </c>
      <c r="G20" s="6" t="s">
        <v>132</v>
      </c>
      <c r="H20" s="9" t="n">
        <f aca="false">ROUND('Cimentación 1 piso'!H19+'Cimentación 2 pisos '!H19+'Cimentación 3 pisos'!H19+'Cimentación 4 pisos'!H19+Escalera!D8,2)</f>
        <v>208.76</v>
      </c>
      <c r="I20" s="9" t="n">
        <f aca="false">ROUND('APU ESTRUCTURAS'!J183,2)</f>
        <v>39.17</v>
      </c>
      <c r="J20" s="9" t="n">
        <f aca="false">H20*I20</f>
        <v>8177.1292</v>
      </c>
      <c r="K20" s="9"/>
      <c r="L20" s="57"/>
      <c r="P20" s="59"/>
      <c r="Q20" s="57"/>
      <c r="AE20" s="76"/>
    </row>
    <row r="21" customFormat="false" ht="15" hidden="false" customHeight="false" outlineLevel="0" collapsed="false">
      <c r="A21" s="14" t="s">
        <v>487</v>
      </c>
      <c r="B21" s="43" t="s">
        <v>488</v>
      </c>
      <c r="G21" s="6"/>
      <c r="H21" s="9"/>
      <c r="I21" s="9"/>
      <c r="J21" s="45" t="n">
        <f aca="false">SUM(J22)</f>
        <v>309.5568</v>
      </c>
      <c r="K21" s="9"/>
      <c r="P21" s="59"/>
      <c r="Q21" s="57"/>
      <c r="U21" s="15"/>
      <c r="AE21" s="77"/>
      <c r="AF21" s="75"/>
    </row>
    <row r="22" customFormat="false" ht="15" hidden="false" customHeight="false" outlineLevel="0" collapsed="false">
      <c r="A22" s="1" t="s">
        <v>489</v>
      </c>
      <c r="B22" s="1" t="s">
        <v>490</v>
      </c>
      <c r="G22" s="6" t="s">
        <v>132</v>
      </c>
      <c r="H22" s="9" t="n">
        <f aca="false">ROUND('Cimentación 1 piso'!H21+'Cimentación 2 pisos '!H21+'Cimentación 3 pisos'!H21+'Cimentación 4 pisos'!H21,2)</f>
        <v>11.62</v>
      </c>
      <c r="I22" s="9" t="n">
        <f aca="false">ROUND('APU ESTRUCTURAS'!J202,2)</f>
        <v>26.64</v>
      </c>
      <c r="J22" s="9" t="n">
        <f aca="false">H22*I22</f>
        <v>309.5568</v>
      </c>
      <c r="K22" s="9"/>
      <c r="P22" s="59"/>
      <c r="Q22" s="57"/>
      <c r="AE22" s="75"/>
      <c r="AF22" s="75"/>
    </row>
    <row r="23" customFormat="false" ht="15" hidden="false" customHeight="false" outlineLevel="0" collapsed="false">
      <c r="A23" s="14" t="n">
        <v>2.03</v>
      </c>
      <c r="B23" s="13" t="s">
        <v>491</v>
      </c>
      <c r="G23" s="6"/>
      <c r="H23" s="9"/>
      <c r="I23" s="9"/>
      <c r="J23" s="42" t="n">
        <f aca="false">J24+J27+J31+J35+J39+J43+J47+J51+J55+J60+J64+J68</f>
        <v>252875.7406</v>
      </c>
      <c r="P23" s="59"/>
      <c r="Q23" s="57"/>
      <c r="U23" s="15"/>
      <c r="AE23" s="75"/>
      <c r="AF23" s="75"/>
      <c r="AI23" s="27"/>
    </row>
    <row r="24" customFormat="false" ht="15" hidden="false" customHeight="false" outlineLevel="0" collapsed="false">
      <c r="A24" s="14" t="s">
        <v>492</v>
      </c>
      <c r="B24" s="43" t="s">
        <v>493</v>
      </c>
      <c r="G24" s="6"/>
      <c r="H24" s="9"/>
      <c r="I24" s="9"/>
      <c r="J24" s="45" t="n">
        <f aca="false">SUM(J25:J26)</f>
        <v>85030.6879</v>
      </c>
      <c r="K24" s="9"/>
      <c r="Q24" s="57"/>
      <c r="U24" s="15"/>
      <c r="AE24" s="75"/>
      <c r="AF24" s="75"/>
    </row>
    <row r="25" customFormat="false" ht="15" hidden="false" customHeight="false" outlineLevel="0" collapsed="false">
      <c r="A25" s="1" t="s">
        <v>494</v>
      </c>
      <c r="B25" s="1" t="s">
        <v>495</v>
      </c>
      <c r="G25" s="6" t="s">
        <v>202</v>
      </c>
      <c r="H25" s="9" t="n">
        <f aca="false">ROUND('Cimentación 1 piso'!H24+'Cimentación 2 pisos '!H24+'Cimentación 3 pisos'!H24+'Cimentación 4 pisos'!H24,2)</f>
        <v>140.1</v>
      </c>
      <c r="I25" s="9" t="n">
        <f aca="false">ROUND('APU ESTRUCTURAS'!J221,2)</f>
        <v>424.09</v>
      </c>
      <c r="J25" s="9" t="n">
        <f aca="false">H25*I25</f>
        <v>59415.009</v>
      </c>
      <c r="K25" s="9"/>
      <c r="O25" s="14"/>
    </row>
    <row r="26" customFormat="false" ht="16.4" hidden="false" customHeight="false" outlineLevel="0" collapsed="false">
      <c r="A26" s="1" t="s">
        <v>496</v>
      </c>
      <c r="B26" s="1" t="s">
        <v>497</v>
      </c>
      <c r="G26" s="78" t="s">
        <v>295</v>
      </c>
      <c r="H26" s="9" t="n">
        <f aca="false">ROUND('Cimentación 1 piso'!H25+'Cimentación 2 pisos '!H25+'Cimentación 3 pisos'!H25+'Cimentación 4 pisos'!H25,2)</f>
        <v>4632.13</v>
      </c>
      <c r="I26" s="9" t="n">
        <f aca="false">ROUND('APU ESTRUCTURAS'!J244,2)</f>
        <v>5.53</v>
      </c>
      <c r="J26" s="9" t="n">
        <f aca="false">H26*I26</f>
        <v>25615.6789</v>
      </c>
      <c r="K26" s="9"/>
      <c r="AI26" s="27"/>
    </row>
    <row r="27" customFormat="false" ht="15" hidden="false" customHeight="false" outlineLevel="0" collapsed="false">
      <c r="A27" s="14" t="s">
        <v>498</v>
      </c>
      <c r="B27" s="43" t="s">
        <v>499</v>
      </c>
      <c r="G27" s="6"/>
      <c r="H27" s="9"/>
      <c r="I27" s="9"/>
      <c r="J27" s="45" t="n">
        <f aca="false">SUM(J28:J30)</f>
        <v>0</v>
      </c>
      <c r="K27" s="9"/>
      <c r="AI27" s="27"/>
    </row>
    <row r="28" customFormat="false" ht="15" hidden="false" customHeight="false" outlineLevel="0" collapsed="false">
      <c r="A28" s="1" t="s">
        <v>500</v>
      </c>
      <c r="B28" s="79" t="s">
        <v>501</v>
      </c>
      <c r="C28" s="79"/>
      <c r="D28" s="79"/>
      <c r="G28" s="80" t="s">
        <v>202</v>
      </c>
      <c r="H28" s="9" t="n">
        <f aca="false">ROUND('Platea de Cimentacion'!H24,2)</f>
        <v>0</v>
      </c>
      <c r="I28" s="9" t="n">
        <f aca="false">ROUND('APU ESTRUCTURAS'!J260,2)</f>
        <v>424.09</v>
      </c>
      <c r="J28" s="9" t="n">
        <f aca="false">H28*I28</f>
        <v>0</v>
      </c>
      <c r="K28" s="9"/>
      <c r="AI28" s="27"/>
    </row>
    <row r="29" customFormat="false" ht="15" hidden="false" customHeight="false" outlineLevel="0" collapsed="false">
      <c r="A29" s="1" t="s">
        <v>502</v>
      </c>
      <c r="B29" s="79" t="s">
        <v>503</v>
      </c>
      <c r="C29" s="79"/>
      <c r="D29" s="79"/>
      <c r="G29" s="80" t="s">
        <v>132</v>
      </c>
      <c r="H29" s="9" t="n">
        <f aca="false">ROUND('Platea de Cimentacion'!H25,2)</f>
        <v>0</v>
      </c>
      <c r="I29" s="9" t="n">
        <f aca="false">ROUND('APU ESTRUCTURAS'!J282,2)</f>
        <v>74.15</v>
      </c>
      <c r="J29" s="9" t="n">
        <f aca="false">H29*I29</f>
        <v>0</v>
      </c>
      <c r="K29" s="9"/>
      <c r="AI29" s="27"/>
    </row>
    <row r="30" customFormat="false" ht="16.4" hidden="false" customHeight="false" outlineLevel="0" collapsed="false">
      <c r="A30" s="1" t="s">
        <v>504</v>
      </c>
      <c r="B30" s="79" t="s">
        <v>505</v>
      </c>
      <c r="C30" s="79"/>
      <c r="D30" s="79"/>
      <c r="G30" s="78" t="s">
        <v>295</v>
      </c>
      <c r="H30" s="9" t="n">
        <f aca="false">ROUND('Platea de Cimentacion'!H26,2)</f>
        <v>0</v>
      </c>
      <c r="I30" s="9" t="n">
        <f aca="false">ROUND('APU ESTRUCTURAS'!J298,2)</f>
        <v>5.53</v>
      </c>
      <c r="J30" s="9" t="n">
        <f aca="false">H30*I30</f>
        <v>0</v>
      </c>
      <c r="K30" s="9"/>
      <c r="AI30" s="27"/>
    </row>
    <row r="31" customFormat="false" ht="15" hidden="false" customHeight="false" outlineLevel="0" collapsed="false">
      <c r="A31" s="14" t="s">
        <v>506</v>
      </c>
      <c r="B31" s="43" t="s">
        <v>507</v>
      </c>
      <c r="G31" s="6"/>
      <c r="H31" s="9"/>
      <c r="I31" s="9"/>
      <c r="J31" s="45" t="n">
        <f aca="false">SUM(J32:J34)</f>
        <v>27506.6041</v>
      </c>
      <c r="K31" s="9"/>
      <c r="P31" s="59"/>
      <c r="Q31" s="57"/>
      <c r="U31" s="27"/>
      <c r="AI31" s="76"/>
    </row>
    <row r="32" customFormat="false" ht="16.4" hidden="false" customHeight="false" outlineLevel="0" collapsed="false">
      <c r="A32" s="1" t="s">
        <v>508</v>
      </c>
      <c r="B32" s="1" t="s">
        <v>509</v>
      </c>
      <c r="G32" s="78" t="s">
        <v>202</v>
      </c>
      <c r="H32" s="9" t="n">
        <f aca="false">ROUND('Cimentación 1 piso'!H27+'Cimentación 2 pisos '!H27+'Cimentación 3 pisos'!H27+'Cimentación 4 pisos'!H27+'Platea de Cimentacion'!H28,2)</f>
        <v>27.21</v>
      </c>
      <c r="I32" s="9" t="n">
        <f aca="false">ROUND('APU ESTRUCTURAS'!J314,2)</f>
        <v>435.74</v>
      </c>
      <c r="J32" s="9" t="n">
        <f aca="false">H32*I32</f>
        <v>11856.4854</v>
      </c>
      <c r="K32" s="9"/>
      <c r="P32" s="59"/>
      <c r="Q32" s="57"/>
      <c r="AI32" s="76"/>
    </row>
    <row r="33" customFormat="false" ht="16.4" hidden="false" customHeight="false" outlineLevel="0" collapsed="false">
      <c r="A33" s="1" t="s">
        <v>510</v>
      </c>
      <c r="B33" s="1" t="s">
        <v>511</v>
      </c>
      <c r="G33" s="78" t="s">
        <v>132</v>
      </c>
      <c r="H33" s="9" t="n">
        <f aca="false">ROUND('Cimentación 1 piso'!H28+'Cimentación 2 pisos '!H28+'Cimentación 3 pisos'!H28+'Cimentación 4 pisos'!H28+'Platea de Cimentacion'!H29,2)</f>
        <v>150.84</v>
      </c>
      <c r="I33" s="9" t="n">
        <f aca="false">ROUND('APU ESTRUCTURAS'!J336,2)</f>
        <v>63.25</v>
      </c>
      <c r="J33" s="9" t="n">
        <f aca="false">H33*I33</f>
        <v>9540.63</v>
      </c>
      <c r="K33" s="9"/>
      <c r="P33" s="59"/>
      <c r="Q33" s="57"/>
      <c r="AI33" s="76"/>
    </row>
    <row r="34" customFormat="false" ht="16.4" hidden="false" customHeight="false" outlineLevel="0" collapsed="false">
      <c r="A34" s="1" t="s">
        <v>512</v>
      </c>
      <c r="B34" s="1" t="s">
        <v>513</v>
      </c>
      <c r="G34" s="78" t="s">
        <v>295</v>
      </c>
      <c r="H34" s="9" t="n">
        <f aca="false">ROUND('Cimentación 1 piso'!H29+'Cimentación 2 pisos '!H29+'Cimentación 3 pisos'!H29+'Cimentación 4 pisos'!H29+'Platea de Cimentacion'!H30,2)</f>
        <v>1104.79</v>
      </c>
      <c r="I34" s="9" t="n">
        <f aca="false">ROUND('APU ESTRUCTURAS'!J352,2)</f>
        <v>5.53</v>
      </c>
      <c r="J34" s="9" t="n">
        <f aca="false">H34*I34</f>
        <v>6109.4887</v>
      </c>
      <c r="K34" s="9"/>
      <c r="P34" s="59"/>
      <c r="Q34" s="57"/>
      <c r="AI34" s="76"/>
    </row>
    <row r="35" customFormat="false" ht="15" hidden="false" customHeight="false" outlineLevel="0" collapsed="false">
      <c r="A35" s="14" t="s">
        <v>514</v>
      </c>
      <c r="B35" s="43" t="s">
        <v>515</v>
      </c>
      <c r="G35" s="6"/>
      <c r="H35" s="9"/>
      <c r="I35" s="9"/>
      <c r="J35" s="45" t="n">
        <f aca="false">SUM(J36:J38)</f>
        <v>20048.0133</v>
      </c>
      <c r="K35" s="9"/>
      <c r="P35" s="59"/>
      <c r="Q35" s="57"/>
      <c r="U35" s="27"/>
      <c r="AI35" s="27"/>
    </row>
    <row r="36" customFormat="false" ht="15" hidden="false" customHeight="false" outlineLevel="0" collapsed="false">
      <c r="A36" s="1" t="s">
        <v>516</v>
      </c>
      <c r="B36" s="1" t="s">
        <v>517</v>
      </c>
      <c r="G36" s="6" t="s">
        <v>202</v>
      </c>
      <c r="H36" s="9" t="n">
        <f aca="false">ROUND('Cimentación 1 piso'!H31+'Cimentación 2 pisos '!H31+'Cimentación 3 pisos'!H31+'Cimentación 4 pisos'!H31+Escalera!D11,2)</f>
        <v>17.87</v>
      </c>
      <c r="I36" s="9" t="n">
        <f aca="false">ROUND('APU ESTRUCTURAS'!J370,2)</f>
        <v>421.14</v>
      </c>
      <c r="J36" s="9" t="n">
        <f aca="false">H36*I36</f>
        <v>7525.7718</v>
      </c>
      <c r="K36" s="9"/>
      <c r="L36" s="57"/>
      <c r="P36" s="59"/>
      <c r="Q36" s="57"/>
      <c r="AI36" s="76"/>
    </row>
    <row r="37" customFormat="false" ht="15" hidden="false" customHeight="false" outlineLevel="0" collapsed="false">
      <c r="A37" s="1" t="s">
        <v>518</v>
      </c>
      <c r="B37" s="1" t="s">
        <v>519</v>
      </c>
      <c r="G37" s="6" t="s">
        <v>132</v>
      </c>
      <c r="H37" s="9" t="n">
        <f aca="false">ROUND('Cimentación 1 piso'!H32+'Cimentación 2 pisos '!H32+'Cimentación 3 pisos'!H32+'Cimentación 4 pisos'!H32+Escalera!D12,2)</f>
        <v>91.86</v>
      </c>
      <c r="I37" s="9" t="n">
        <f aca="false">ROUND('APU ESTRUCTURAS'!J391,2)</f>
        <v>42.26</v>
      </c>
      <c r="J37" s="9" t="n">
        <f aca="false">H37*I37</f>
        <v>3882.0036</v>
      </c>
      <c r="K37" s="9"/>
      <c r="L37" s="57"/>
      <c r="P37" s="59"/>
      <c r="Q37" s="57"/>
      <c r="AI37" s="76"/>
    </row>
    <row r="38" customFormat="false" ht="15" hidden="false" customHeight="false" outlineLevel="0" collapsed="false">
      <c r="A38" s="1" t="s">
        <v>520</v>
      </c>
      <c r="B38" s="1" t="s">
        <v>521</v>
      </c>
      <c r="G38" s="6" t="s">
        <v>295</v>
      </c>
      <c r="H38" s="9" t="n">
        <f aca="false">ROUND('Cimentación 1 piso'!H33+'Cimentación 2 pisos '!H33+'Cimentación 3 pisos'!H33+'Cimentación 4 pisos'!H33+Escalera!D13,2)</f>
        <v>1562.43</v>
      </c>
      <c r="I38" s="9" t="n">
        <f aca="false">ROUND('APU ESTRUCTURAS'!J407,2)</f>
        <v>5.53</v>
      </c>
      <c r="J38" s="9" t="n">
        <f aca="false">H38*I38</f>
        <v>8640.2379</v>
      </c>
      <c r="K38" s="9"/>
      <c r="L38" s="57"/>
      <c r="P38" s="59"/>
      <c r="Q38" s="57"/>
      <c r="AI38" s="76"/>
    </row>
    <row r="39" customFormat="false" ht="15" hidden="false" customHeight="false" outlineLevel="0" collapsed="false">
      <c r="A39" s="14" t="s">
        <v>522</v>
      </c>
      <c r="B39" s="43" t="s">
        <v>523</v>
      </c>
      <c r="G39" s="6"/>
      <c r="H39" s="9"/>
      <c r="I39" s="9"/>
      <c r="J39" s="45" t="n">
        <f aca="false">SUM(J40:J42)</f>
        <v>40327.0709</v>
      </c>
      <c r="K39" s="9"/>
      <c r="P39" s="59"/>
      <c r="Q39" s="57"/>
      <c r="AI39" s="27"/>
    </row>
    <row r="40" customFormat="false" ht="16.4" hidden="false" customHeight="false" outlineLevel="0" collapsed="false">
      <c r="A40" s="1" t="s">
        <v>524</v>
      </c>
      <c r="B40" s="1" t="s">
        <v>525</v>
      </c>
      <c r="G40" s="81" t="s">
        <v>202</v>
      </c>
      <c r="H40" s="9" t="n">
        <f aca="false">ROUND('Estructura 1'!G6,2)</f>
        <v>24.02</v>
      </c>
      <c r="I40" s="9" t="n">
        <f aca="false">ROUND('APU ESTRUCTURAS'!J423,2)</f>
        <v>399.79</v>
      </c>
      <c r="J40" s="9" t="n">
        <f aca="false">H40*I40</f>
        <v>9602.9558</v>
      </c>
      <c r="K40" s="9"/>
      <c r="P40" s="59"/>
      <c r="Q40" s="57"/>
    </row>
    <row r="41" customFormat="false" ht="16.4" hidden="false" customHeight="false" outlineLevel="0" collapsed="false">
      <c r="A41" s="1" t="s">
        <v>526</v>
      </c>
      <c r="B41" s="1" t="s">
        <v>527</v>
      </c>
      <c r="G41" s="81" t="s">
        <v>132</v>
      </c>
      <c r="H41" s="9" t="n">
        <f aca="false">ROUND('Estructura 1'!G7,2)</f>
        <v>174.79</v>
      </c>
      <c r="I41" s="9" t="n">
        <f aca="false">ROUND('APU ESTRUCTURAS'!J444,2)</f>
        <v>46.59</v>
      </c>
      <c r="J41" s="9" t="n">
        <f aca="false">H41*I41</f>
        <v>8143.4661</v>
      </c>
      <c r="K41" s="9"/>
      <c r="P41" s="59"/>
      <c r="Q41" s="57"/>
    </row>
    <row r="42" customFormat="false" ht="16.4" hidden="false" customHeight="false" outlineLevel="0" collapsed="false">
      <c r="A42" s="1" t="s">
        <v>528</v>
      </c>
      <c r="B42" s="1" t="s">
        <v>529</v>
      </c>
      <c r="G42" s="81" t="s">
        <v>295</v>
      </c>
      <c r="H42" s="9" t="n">
        <f aca="false">ROUND('Estructura 1'!G8,2)</f>
        <v>4083.3</v>
      </c>
      <c r="I42" s="9" t="n">
        <f aca="false">ROUND('APU ESTRUCTURAS'!J461,2)</f>
        <v>5.53</v>
      </c>
      <c r="J42" s="9" t="n">
        <f aca="false">H42*I42</f>
        <v>22580.649</v>
      </c>
      <c r="K42" s="9"/>
      <c r="P42" s="59"/>
      <c r="Q42" s="57"/>
    </row>
    <row r="43" customFormat="false" ht="15" hidden="false" customHeight="false" outlineLevel="0" collapsed="false">
      <c r="A43" s="14" t="s">
        <v>530</v>
      </c>
      <c r="B43" s="43" t="s">
        <v>531</v>
      </c>
      <c r="G43" s="6"/>
      <c r="H43" s="9"/>
      <c r="I43" s="9"/>
      <c r="J43" s="45" t="n">
        <f aca="false">SUM(J44:J46)</f>
        <v>0</v>
      </c>
      <c r="K43" s="9"/>
      <c r="P43" s="59"/>
      <c r="Q43" s="57"/>
    </row>
    <row r="44" customFormat="false" ht="16.4" hidden="false" customHeight="false" outlineLevel="0" collapsed="false">
      <c r="A44" s="1" t="s">
        <v>532</v>
      </c>
      <c r="B44" s="1" t="s">
        <v>533</v>
      </c>
      <c r="G44" s="81" t="s">
        <v>202</v>
      </c>
      <c r="H44" s="9" t="n">
        <f aca="false">ROUND('Estructura 2'!G6,2)</f>
        <v>0</v>
      </c>
      <c r="I44" s="9" t="n">
        <f aca="false">ROUND('APU ESTRUCTURAS'!J477,2)</f>
        <v>356.19</v>
      </c>
      <c r="J44" s="9" t="n">
        <f aca="false">H44*I44</f>
        <v>0</v>
      </c>
      <c r="K44" s="9"/>
      <c r="P44" s="59"/>
      <c r="Q44" s="57"/>
    </row>
    <row r="45" customFormat="false" ht="16.4" hidden="false" customHeight="false" outlineLevel="0" collapsed="false">
      <c r="A45" s="1" t="s">
        <v>534</v>
      </c>
      <c r="B45" s="1" t="s">
        <v>535</v>
      </c>
      <c r="G45" s="81" t="s">
        <v>132</v>
      </c>
      <c r="H45" s="9" t="n">
        <f aca="false">ROUND('Estructura 2'!G7,2)</f>
        <v>0</v>
      </c>
      <c r="I45" s="9" t="n">
        <f aca="false">ROUND('APU ESTRUCTURAS'!J498,2)</f>
        <v>46.59</v>
      </c>
      <c r="J45" s="9" t="n">
        <f aca="false">H45*I45</f>
        <v>0</v>
      </c>
      <c r="K45" s="9"/>
      <c r="M45" s="9"/>
      <c r="N45" s="9"/>
      <c r="P45" s="59"/>
      <c r="Q45" s="57"/>
    </row>
    <row r="46" customFormat="false" ht="16.4" hidden="false" customHeight="false" outlineLevel="0" collapsed="false">
      <c r="A46" s="1" t="s">
        <v>536</v>
      </c>
      <c r="B46" s="1" t="s">
        <v>537</v>
      </c>
      <c r="G46" s="81" t="s">
        <v>295</v>
      </c>
      <c r="H46" s="9" t="n">
        <f aca="false">ROUND('Estructura 2'!G8,2)</f>
        <v>0</v>
      </c>
      <c r="I46" s="9" t="n">
        <f aca="false">ROUND('APU ESTRUCTURAS'!J515,2)</f>
        <v>5.53</v>
      </c>
      <c r="J46" s="9" t="n">
        <f aca="false">H46*I46</f>
        <v>0</v>
      </c>
      <c r="K46" s="9"/>
      <c r="M46" s="9"/>
      <c r="N46" s="9"/>
      <c r="P46" s="59"/>
      <c r="Q46" s="57"/>
    </row>
    <row r="47" customFormat="false" ht="15" hidden="false" customHeight="false" outlineLevel="0" collapsed="false">
      <c r="A47" s="14" t="s">
        <v>538</v>
      </c>
      <c r="B47" s="43" t="s">
        <v>539</v>
      </c>
      <c r="G47" s="6"/>
      <c r="H47" s="9"/>
      <c r="I47" s="9"/>
      <c r="J47" s="45" t="n">
        <f aca="false">SUM(J48:J50)</f>
        <v>35645.5659</v>
      </c>
      <c r="K47" s="9"/>
      <c r="M47" s="45"/>
      <c r="N47" s="9"/>
      <c r="Q47" s="57"/>
    </row>
    <row r="48" customFormat="false" ht="16.4" hidden="false" customHeight="false" outlineLevel="0" collapsed="false">
      <c r="A48" s="1" t="s">
        <v>540</v>
      </c>
      <c r="B48" s="1" t="s">
        <v>541</v>
      </c>
      <c r="G48" s="81" t="s">
        <v>202</v>
      </c>
      <c r="H48" s="9" t="n">
        <f aca="false">ROUND('Estructura 1'!G10,2)</f>
        <v>25.27</v>
      </c>
      <c r="I48" s="9" t="n">
        <f aca="false">ROUND('APU ESTRUCTURAS'!J531,2)</f>
        <v>390.28</v>
      </c>
      <c r="J48" s="9" t="n">
        <f aca="false">H48*I48</f>
        <v>9862.3756</v>
      </c>
      <c r="K48" s="9"/>
    </row>
    <row r="49" customFormat="false" ht="16.4" hidden="false" customHeight="false" outlineLevel="0" collapsed="false">
      <c r="A49" s="1" t="s">
        <v>542</v>
      </c>
      <c r="B49" s="1" t="s">
        <v>543</v>
      </c>
      <c r="G49" s="81" t="s">
        <v>132</v>
      </c>
      <c r="H49" s="9" t="n">
        <f aca="false">ROUND('Estructura 1'!G11,2)</f>
        <v>123.34</v>
      </c>
      <c r="I49" s="9" t="n">
        <f aca="false">ROUND('APU ESTRUCTURAS'!J553,2)</f>
        <v>50.4</v>
      </c>
      <c r="J49" s="9" t="n">
        <f aca="false">H49*I49</f>
        <v>6216.336</v>
      </c>
      <c r="K49" s="9"/>
      <c r="O49" s="14"/>
      <c r="P49" s="14"/>
    </row>
    <row r="50" customFormat="false" ht="16.4" hidden="false" customHeight="false" outlineLevel="0" collapsed="false">
      <c r="A50" s="1" t="s">
        <v>544</v>
      </c>
      <c r="B50" s="1" t="s">
        <v>545</v>
      </c>
      <c r="G50" s="81" t="s">
        <v>295</v>
      </c>
      <c r="H50" s="9" t="n">
        <f aca="false">ROUND('Estructura 1'!G12,2)</f>
        <v>3538.31</v>
      </c>
      <c r="I50" s="9" t="n">
        <f aca="false">ROUND('APU ESTRUCTURAS'!J569,2)</f>
        <v>5.53</v>
      </c>
      <c r="J50" s="9" t="n">
        <f aca="false">H50*I50</f>
        <v>19566.8543</v>
      </c>
      <c r="K50" s="9"/>
      <c r="P50" s="14"/>
    </row>
    <row r="51" customFormat="false" ht="15" hidden="false" customHeight="false" outlineLevel="0" collapsed="false">
      <c r="A51" s="14" t="s">
        <v>546</v>
      </c>
      <c r="B51" s="43" t="s">
        <v>547</v>
      </c>
      <c r="G51" s="6"/>
      <c r="H51" s="9"/>
      <c r="I51" s="9"/>
      <c r="J51" s="45" t="n">
        <f aca="false">SUM(J52:J54)</f>
        <v>0</v>
      </c>
      <c r="K51" s="9"/>
    </row>
    <row r="52" customFormat="false" ht="16.4" hidden="false" customHeight="false" outlineLevel="0" collapsed="false">
      <c r="A52" s="1" t="s">
        <v>548</v>
      </c>
      <c r="B52" s="1" t="s">
        <v>549</v>
      </c>
      <c r="G52" s="81" t="s">
        <v>202</v>
      </c>
      <c r="H52" s="9" t="n">
        <f aca="false">ROUND('Estructura 2'!G10,2)</f>
        <v>0</v>
      </c>
      <c r="I52" s="9" t="n">
        <f aca="false">ROUND('APU ESTRUCTURAS'!J585,2)</f>
        <v>348.19</v>
      </c>
      <c r="J52" s="9" t="n">
        <f aca="false">H52*I52</f>
        <v>0</v>
      </c>
      <c r="K52" s="9"/>
    </row>
    <row r="53" customFormat="false" ht="16.4" hidden="false" customHeight="false" outlineLevel="0" collapsed="false">
      <c r="A53" s="1" t="s">
        <v>550</v>
      </c>
      <c r="B53" s="1" t="s">
        <v>551</v>
      </c>
      <c r="G53" s="81" t="s">
        <v>132</v>
      </c>
      <c r="H53" s="9" t="n">
        <f aca="false">ROUND('Estructura 2'!G11,2)</f>
        <v>0</v>
      </c>
      <c r="I53" s="9" t="n">
        <f aca="false">ROUND('APU ESTRUCTURAS'!J607,2)</f>
        <v>50.4</v>
      </c>
      <c r="J53" s="9" t="n">
        <f aca="false">H53*I53</f>
        <v>0</v>
      </c>
      <c r="K53" s="9"/>
    </row>
    <row r="54" customFormat="false" ht="16.4" hidden="false" customHeight="false" outlineLevel="0" collapsed="false">
      <c r="A54" s="1" t="s">
        <v>552</v>
      </c>
      <c r="B54" s="1" t="s">
        <v>553</v>
      </c>
      <c r="G54" s="81" t="s">
        <v>295</v>
      </c>
      <c r="H54" s="9" t="n">
        <f aca="false">ROUND('Estructura 2'!G12,2)</f>
        <v>0</v>
      </c>
      <c r="I54" s="9" t="n">
        <f aca="false">ROUND('APU ESTRUCTURAS'!J623,2)</f>
        <v>5.53</v>
      </c>
      <c r="J54" s="9" t="n">
        <f aca="false">H54*I54</f>
        <v>0</v>
      </c>
      <c r="K54" s="9"/>
      <c r="P54" s="14"/>
    </row>
    <row r="55" customFormat="false" ht="15" hidden="false" customHeight="false" outlineLevel="0" collapsed="false">
      <c r="A55" s="14" t="s">
        <v>554</v>
      </c>
      <c r="B55" s="43" t="s">
        <v>555</v>
      </c>
      <c r="G55" s="6"/>
      <c r="H55" s="9"/>
      <c r="I55" s="9"/>
      <c r="J55" s="45" t="n">
        <f aca="false">SUM(J56:J59)</f>
        <v>23430.363</v>
      </c>
      <c r="K55" s="9"/>
    </row>
    <row r="56" customFormat="false" ht="15" hidden="false" customHeight="false" outlineLevel="0" collapsed="false">
      <c r="A56" s="1" t="s">
        <v>556</v>
      </c>
      <c r="B56" s="76" t="s">
        <v>557</v>
      </c>
      <c r="G56" s="6" t="s">
        <v>202</v>
      </c>
      <c r="H56" s="9" t="n">
        <f aca="false">ROUND('Estructura 1'!G14,2)</f>
        <v>17.53</v>
      </c>
      <c r="I56" s="9" t="n">
        <f aca="false">ROUND('APU ESTRUCTURAS'!J639,2)</f>
        <v>394.57</v>
      </c>
      <c r="J56" s="9" t="n">
        <f aca="false">H56*I56</f>
        <v>6916.8121</v>
      </c>
      <c r="K56" s="9"/>
    </row>
    <row r="57" customFormat="false" ht="15" hidden="false" customHeight="false" outlineLevel="0" collapsed="false">
      <c r="A57" s="1" t="s">
        <v>558</v>
      </c>
      <c r="B57" s="76" t="s">
        <v>559</v>
      </c>
      <c r="G57" s="6" t="s">
        <v>132</v>
      </c>
      <c r="H57" s="9" t="n">
        <f aca="false">ROUND('Estructura 1'!G15,2)</f>
        <v>192.2</v>
      </c>
      <c r="I57" s="9" t="n">
        <f aca="false">ROUND('APU ESTRUCTURAS'!J664,2)</f>
        <v>43.06</v>
      </c>
      <c r="J57" s="9" t="n">
        <f aca="false">H57*I57</f>
        <v>8276.132</v>
      </c>
      <c r="K57" s="9"/>
      <c r="Q57" s="57"/>
    </row>
    <row r="58" customFormat="false" ht="15" hidden="false" customHeight="false" outlineLevel="0" collapsed="false">
      <c r="A58" s="1" t="s">
        <v>560</v>
      </c>
      <c r="B58" s="76" t="s">
        <v>561</v>
      </c>
      <c r="G58" s="6" t="s">
        <v>295</v>
      </c>
      <c r="H58" s="9" t="n">
        <f aca="false">ROUND('Estructura 1'!G16,2)</f>
        <v>788.91</v>
      </c>
      <c r="I58" s="9" t="n">
        <f aca="false">ROUND('APU ESTRUCTURAS'!J681,2)</f>
        <v>5.48</v>
      </c>
      <c r="J58" s="9" t="n">
        <f aca="false">H58*I58</f>
        <v>4323.2268</v>
      </c>
      <c r="K58" s="9"/>
      <c r="P58" s="14"/>
      <c r="Q58" s="57"/>
    </row>
    <row r="59" customFormat="false" ht="15" hidden="false" customHeight="false" outlineLevel="0" collapsed="false">
      <c r="A59" s="1" t="s">
        <v>562</v>
      </c>
      <c r="B59" s="76" t="s">
        <v>563</v>
      </c>
      <c r="G59" s="6" t="s">
        <v>564</v>
      </c>
      <c r="H59" s="9" t="n">
        <f aca="false">ROUND('Estructura 1'!G17,2)</f>
        <v>1455.09</v>
      </c>
      <c r="I59" s="9" t="n">
        <f aca="false">ROUND('APU ESTRUCTURAS'!J697,2)</f>
        <v>2.69</v>
      </c>
      <c r="J59" s="9" t="n">
        <f aca="false">H59*I59</f>
        <v>3914.1921</v>
      </c>
      <c r="K59" s="9"/>
      <c r="Q59" s="57"/>
    </row>
    <row r="60" customFormat="false" ht="15" hidden="false" customHeight="false" outlineLevel="0" collapsed="false">
      <c r="A60" s="14" t="s">
        <v>565</v>
      </c>
      <c r="B60" s="43" t="s">
        <v>566</v>
      </c>
      <c r="G60" s="6"/>
      <c r="H60" s="9"/>
      <c r="I60" s="9"/>
      <c r="J60" s="45" t="n">
        <f aca="false">SUM(J61:J63)</f>
        <v>0</v>
      </c>
      <c r="K60" s="9"/>
      <c r="Q60" s="57"/>
    </row>
    <row r="61" customFormat="false" ht="15" hidden="false" customHeight="false" outlineLevel="0" collapsed="false">
      <c r="A61" s="1" t="s">
        <v>567</v>
      </c>
      <c r="B61" s="76" t="s">
        <v>568</v>
      </c>
      <c r="C61" s="76"/>
      <c r="G61" s="6" t="s">
        <v>202</v>
      </c>
      <c r="H61" s="9" t="n">
        <f aca="false">ROUND(Escalera!D15,2)</f>
        <v>0</v>
      </c>
      <c r="I61" s="9" t="n">
        <f aca="false">ROUND('APU ESTRUCTURAS'!J713,2)</f>
        <v>491.81</v>
      </c>
      <c r="J61" s="9" t="n">
        <f aca="false">H61*I61</f>
        <v>0</v>
      </c>
      <c r="K61" s="9"/>
      <c r="Q61" s="57"/>
    </row>
    <row r="62" customFormat="false" ht="15" hidden="false" customHeight="false" outlineLevel="0" collapsed="false">
      <c r="A62" s="1" t="s">
        <v>569</v>
      </c>
      <c r="B62" s="76" t="s">
        <v>570</v>
      </c>
      <c r="C62" s="76"/>
      <c r="G62" s="6" t="s">
        <v>132</v>
      </c>
      <c r="H62" s="9" t="n">
        <f aca="false">ROUND(Escalera!D16,2)</f>
        <v>0</v>
      </c>
      <c r="I62" s="9" t="n">
        <f aca="false">ROUND('APU ESTRUCTURAS'!J738,2)</f>
        <v>67.02</v>
      </c>
      <c r="J62" s="9" t="n">
        <f aca="false">H62*I62</f>
        <v>0</v>
      </c>
      <c r="K62" s="9"/>
      <c r="Q62" s="57"/>
    </row>
    <row r="63" customFormat="false" ht="15" hidden="false" customHeight="false" outlineLevel="0" collapsed="false">
      <c r="A63" s="1" t="s">
        <v>571</v>
      </c>
      <c r="B63" s="76" t="s">
        <v>572</v>
      </c>
      <c r="C63" s="76"/>
      <c r="G63" s="6" t="s">
        <v>295</v>
      </c>
      <c r="H63" s="9" t="n">
        <f aca="false">ROUND(Escalera!D17,2)</f>
        <v>0</v>
      </c>
      <c r="I63" s="9" t="n">
        <f aca="false">ROUND('APU ESTRUCTURAS'!J755,2)</f>
        <v>5.48</v>
      </c>
      <c r="J63" s="9" t="n">
        <f aca="false">H63*I63</f>
        <v>0</v>
      </c>
      <c r="K63" s="9"/>
      <c r="P63" s="14"/>
      <c r="Q63" s="57"/>
    </row>
    <row r="64" customFormat="false" ht="15" hidden="false" customHeight="false" outlineLevel="0" collapsed="false">
      <c r="A64" s="14" t="s">
        <v>573</v>
      </c>
      <c r="B64" s="43" t="s">
        <v>574</v>
      </c>
      <c r="G64" s="6"/>
      <c r="H64" s="9"/>
      <c r="I64" s="9"/>
      <c r="J64" s="45" t="n">
        <f aca="false">SUM(J65:J67)</f>
        <v>20887.4355</v>
      </c>
      <c r="K64" s="9"/>
      <c r="Q64" s="57"/>
    </row>
    <row r="65" customFormat="false" ht="15" hidden="false" customHeight="false" outlineLevel="0" collapsed="false">
      <c r="A65" s="1" t="s">
        <v>575</v>
      </c>
      <c r="B65" s="76" t="s">
        <v>576</v>
      </c>
      <c r="C65" s="76"/>
      <c r="G65" s="6" t="s">
        <v>202</v>
      </c>
      <c r="H65" s="9" t="n">
        <f aca="false">ROUND('Estructura 1'!G19,2)</f>
        <v>12</v>
      </c>
      <c r="I65" s="9" t="n">
        <f aca="false">ROUND('APU ESTRUCTURAS'!J771,2)</f>
        <v>399.79</v>
      </c>
      <c r="J65" s="9" t="n">
        <f aca="false">H65*I65</f>
        <v>4797.48</v>
      </c>
      <c r="K65" s="9"/>
      <c r="Q65" s="57"/>
    </row>
    <row r="66" customFormat="false" ht="15" hidden="false" customHeight="false" outlineLevel="0" collapsed="false">
      <c r="A66" s="1" t="s">
        <v>577</v>
      </c>
      <c r="B66" s="76" t="s">
        <v>578</v>
      </c>
      <c r="C66" s="76"/>
      <c r="G66" s="6" t="s">
        <v>132</v>
      </c>
      <c r="H66" s="9" t="n">
        <f aca="false">ROUND('Estructura 1'!G20,2)</f>
        <v>144.15</v>
      </c>
      <c r="I66" s="9" t="n">
        <f aca="false">ROUND('APU ESTRUCTURAS'!J792,2)</f>
        <v>47.17</v>
      </c>
      <c r="J66" s="9" t="n">
        <f aca="false">H66*I66</f>
        <v>6799.5555</v>
      </c>
      <c r="K66" s="9"/>
      <c r="Q66" s="57"/>
    </row>
    <row r="67" customFormat="false" ht="15" hidden="false" customHeight="false" outlineLevel="0" collapsed="false">
      <c r="A67" s="1" t="s">
        <v>579</v>
      </c>
      <c r="B67" s="76" t="s">
        <v>580</v>
      </c>
      <c r="C67" s="76"/>
      <c r="G67" s="6" t="s">
        <v>295</v>
      </c>
      <c r="H67" s="9" t="n">
        <f aca="false">ROUND('Estructura 1'!G21,2)</f>
        <v>1680</v>
      </c>
      <c r="I67" s="9" t="n">
        <f aca="false">ROUND('APU ESTRUCTURAS'!J809,2)</f>
        <v>5.53</v>
      </c>
      <c r="J67" s="9" t="n">
        <f aca="false">H67*I67</f>
        <v>9290.4</v>
      </c>
      <c r="K67" s="9"/>
      <c r="P67" s="14"/>
      <c r="Q67" s="57"/>
    </row>
    <row r="68" customFormat="false" ht="15" hidden="false" customHeight="false" outlineLevel="0" collapsed="false">
      <c r="A68" s="14" t="s">
        <v>581</v>
      </c>
      <c r="B68" s="43" t="s">
        <v>582</v>
      </c>
      <c r="G68" s="6"/>
      <c r="H68" s="9"/>
      <c r="I68" s="9"/>
      <c r="J68" s="45" t="n">
        <f aca="false">SUM(J69:J71)</f>
        <v>0</v>
      </c>
      <c r="K68" s="9"/>
    </row>
    <row r="69" customFormat="false" ht="15" hidden="false" customHeight="false" outlineLevel="0" collapsed="false">
      <c r="A69" s="1" t="s">
        <v>583</v>
      </c>
      <c r="B69" s="1" t="s">
        <v>584</v>
      </c>
      <c r="G69" s="6" t="s">
        <v>202</v>
      </c>
      <c r="H69" s="9" t="n">
        <f aca="false">ROUND(Escalera!D19,2)</f>
        <v>0</v>
      </c>
      <c r="I69" s="9" t="n">
        <f aca="false">ROUND('APU ESTRUCTURAS'!J825,2)</f>
        <v>547.51</v>
      </c>
      <c r="J69" s="9" t="n">
        <f aca="false">H69*I69</f>
        <v>0</v>
      </c>
      <c r="K69" s="9"/>
    </row>
    <row r="70" customFormat="false" ht="15" hidden="false" customHeight="false" outlineLevel="0" collapsed="false">
      <c r="A70" s="1" t="s">
        <v>585</v>
      </c>
      <c r="B70" s="1" t="s">
        <v>586</v>
      </c>
      <c r="G70" s="6" t="s">
        <v>132</v>
      </c>
      <c r="H70" s="9" t="n">
        <f aca="false">ROUND(Escalera!D20,2)</f>
        <v>0</v>
      </c>
      <c r="I70" s="9" t="n">
        <f aca="false">ROUND('APU ESTRUCTURAS'!J849,2)</f>
        <v>110.13</v>
      </c>
      <c r="J70" s="9" t="n">
        <f aca="false">H70*I70</f>
        <v>0</v>
      </c>
      <c r="K70" s="9"/>
      <c r="Q70" s="57"/>
    </row>
    <row r="71" customFormat="false" ht="15" hidden="false" customHeight="false" outlineLevel="0" collapsed="false">
      <c r="A71" s="1" t="s">
        <v>587</v>
      </c>
      <c r="B71" s="1" t="s">
        <v>588</v>
      </c>
      <c r="G71" s="6" t="s">
        <v>295</v>
      </c>
      <c r="H71" s="9" t="n">
        <f aca="false">ROUND(Escalera!D21,2)</f>
        <v>0</v>
      </c>
      <c r="I71" s="9" t="n">
        <f aca="false">ROUND('APU ESTRUCTURAS'!J866,2)</f>
        <v>5.47</v>
      </c>
      <c r="J71" s="9" t="n">
        <f aca="false">H71*I71</f>
        <v>0</v>
      </c>
      <c r="K71" s="9"/>
      <c r="P71" s="14"/>
      <c r="Q71" s="57"/>
    </row>
    <row r="72" customFormat="false" ht="15" hidden="false" customHeight="false" outlineLevel="0" collapsed="false">
      <c r="A72" s="14" t="n">
        <v>2.04</v>
      </c>
      <c r="B72" s="74" t="s">
        <v>589</v>
      </c>
      <c r="G72" s="6"/>
      <c r="H72" s="9"/>
      <c r="I72" s="9"/>
      <c r="J72" s="42" t="n">
        <f aca="false">J73+J82+J91+J98+J104+J106+J111</f>
        <v>9329.6904</v>
      </c>
      <c r="K72" s="9"/>
      <c r="N72" s="9"/>
      <c r="Q72" s="57"/>
    </row>
    <row r="73" customFormat="false" ht="15" hidden="false" customHeight="false" outlineLevel="0" collapsed="false">
      <c r="A73" s="14" t="s">
        <v>590</v>
      </c>
      <c r="B73" s="43" t="s">
        <v>75</v>
      </c>
      <c r="G73" s="6"/>
      <c r="H73" s="9"/>
      <c r="I73" s="9"/>
      <c r="J73" s="45" t="n">
        <f aca="false">SUM(J74:J81)</f>
        <v>0</v>
      </c>
      <c r="K73" s="9"/>
      <c r="Q73" s="57"/>
    </row>
    <row r="74" customFormat="false" ht="15" hidden="false" customHeight="false" outlineLevel="0" collapsed="false">
      <c r="A74" s="1" t="s">
        <v>591</v>
      </c>
      <c r="B74" s="1" t="s">
        <v>592</v>
      </c>
      <c r="G74" s="6" t="s">
        <v>132</v>
      </c>
      <c r="H74" s="9" t="n">
        <f aca="false">ROUND('Obras exteriores '!D13,2)</f>
        <v>0</v>
      </c>
      <c r="I74" s="9" t="n">
        <f aca="false">ROUND('APU ESTRUCTURAS'!J883,2)</f>
        <v>445.67</v>
      </c>
      <c r="J74" s="9" t="n">
        <f aca="false">H74*I74</f>
        <v>0</v>
      </c>
      <c r="K74" s="9"/>
      <c r="Q74" s="57"/>
    </row>
    <row r="75" customFormat="false" ht="15" hidden="false" customHeight="false" outlineLevel="0" collapsed="false">
      <c r="A75" s="1" t="s">
        <v>593</v>
      </c>
      <c r="B75" s="1" t="s">
        <v>594</v>
      </c>
      <c r="G75" s="6" t="s">
        <v>202</v>
      </c>
      <c r="H75" s="9" t="n">
        <f aca="false">ROUND('Obras exteriores '!D14,2)</f>
        <v>0</v>
      </c>
      <c r="I75" s="9" t="n">
        <f aca="false">ROUND('APU ESTRUCTURAS'!J902,2)</f>
        <v>445.67</v>
      </c>
      <c r="J75" s="9" t="n">
        <f aca="false">H75*I75</f>
        <v>0</v>
      </c>
      <c r="K75" s="9"/>
      <c r="P75" s="14"/>
      <c r="Q75" s="57"/>
    </row>
    <row r="76" customFormat="false" ht="15" hidden="false" customHeight="false" outlineLevel="0" collapsed="false">
      <c r="A76" s="1" t="s">
        <v>595</v>
      </c>
      <c r="B76" s="1" t="s">
        <v>596</v>
      </c>
      <c r="G76" s="6" t="s">
        <v>132</v>
      </c>
      <c r="H76" s="9" t="n">
        <f aca="false">ROUND('Obras exteriores '!D15,2)</f>
        <v>0</v>
      </c>
      <c r="I76" s="9" t="n">
        <f aca="false">ROUND('APU ESTRUCTURAS'!J921,2)</f>
        <v>118.01</v>
      </c>
      <c r="J76" s="9" t="n">
        <f aca="false">H76*I76</f>
        <v>0</v>
      </c>
      <c r="K76" s="9"/>
      <c r="L76" s="9"/>
      <c r="P76" s="14"/>
      <c r="Q76" s="57"/>
    </row>
    <row r="77" customFormat="false" ht="15" hidden="false" customHeight="false" outlineLevel="0" collapsed="false">
      <c r="A77" s="1" t="s">
        <v>597</v>
      </c>
      <c r="B77" s="1" t="s">
        <v>598</v>
      </c>
      <c r="G77" s="6" t="s">
        <v>202</v>
      </c>
      <c r="H77" s="9" t="n">
        <f aca="false">ROUND('Obras exteriores '!D16,2)</f>
        <v>0</v>
      </c>
      <c r="I77" s="9" t="n">
        <f aca="false">ROUND('APU ESTRUCTURAS'!J940,2)</f>
        <v>358</v>
      </c>
      <c r="J77" s="9" t="n">
        <f aca="false">H77*I77</f>
        <v>0</v>
      </c>
      <c r="K77" s="9"/>
      <c r="L77" s="9"/>
      <c r="Q77" s="57"/>
    </row>
    <row r="78" customFormat="false" ht="15" hidden="false" customHeight="false" outlineLevel="0" collapsed="false">
      <c r="A78" s="1" t="s">
        <v>599</v>
      </c>
      <c r="B78" s="1" t="s">
        <v>600</v>
      </c>
      <c r="G78" s="6" t="s">
        <v>132</v>
      </c>
      <c r="H78" s="9" t="n">
        <f aca="false">ROUND('Obras exteriores '!D17,2)</f>
        <v>0</v>
      </c>
      <c r="I78" s="9" t="n">
        <f aca="false">ROUND('APU ESTRUCTURAS'!J947,2)</f>
        <v>2.95</v>
      </c>
      <c r="J78" s="9" t="n">
        <f aca="false">H78*I78</f>
        <v>0</v>
      </c>
      <c r="K78" s="9"/>
      <c r="Q78" s="57"/>
    </row>
    <row r="79" customFormat="false" ht="15" hidden="false" customHeight="false" outlineLevel="0" collapsed="false">
      <c r="A79" s="1" t="s">
        <v>601</v>
      </c>
      <c r="B79" s="1" t="s">
        <v>602</v>
      </c>
      <c r="G79" s="6" t="s">
        <v>143</v>
      </c>
      <c r="H79" s="9" t="n">
        <f aca="false">ROUND('Obras exteriores '!D18,2)</f>
        <v>0</v>
      </c>
      <c r="I79" s="9" t="n">
        <f aca="false">ROUND('APU ESTRUCTURAS'!J960,2)</f>
        <v>19.24</v>
      </c>
      <c r="J79" s="9" t="n">
        <f aca="false">H79*I79</f>
        <v>0</v>
      </c>
      <c r="K79" s="9"/>
      <c r="Q79" s="57"/>
    </row>
    <row r="80" customFormat="false" ht="15" hidden="false" customHeight="false" outlineLevel="0" collapsed="false">
      <c r="A80" s="1" t="s">
        <v>603</v>
      </c>
      <c r="B80" s="1" t="s">
        <v>604</v>
      </c>
      <c r="G80" s="6" t="s">
        <v>143</v>
      </c>
      <c r="H80" s="9" t="n">
        <f aca="false">ROUND('Obras exteriores '!D19,2)</f>
        <v>0</v>
      </c>
      <c r="I80" s="9" t="n">
        <f aca="false">ROUND('APU ESTRUCTURAS'!J975,2)</f>
        <v>19.24</v>
      </c>
      <c r="J80" s="9" t="n">
        <f aca="false">H80*I80</f>
        <v>0</v>
      </c>
      <c r="K80" s="9"/>
    </row>
    <row r="81" customFormat="false" ht="15" hidden="false" customHeight="false" outlineLevel="0" collapsed="false">
      <c r="A81" s="1" t="s">
        <v>605</v>
      </c>
      <c r="B81" s="1" t="s">
        <v>606</v>
      </c>
      <c r="G81" s="6" t="s">
        <v>143</v>
      </c>
      <c r="H81" s="9" t="n">
        <f aca="false">ROUND('Obras exteriores '!D20,2)</f>
        <v>0</v>
      </c>
      <c r="I81" s="9" t="n">
        <f aca="false">ROUND('APU ESTRUCTURAS'!J990,2)</f>
        <v>616.64</v>
      </c>
      <c r="J81" s="9" t="n">
        <f aca="false">H81*I81</f>
        <v>0</v>
      </c>
      <c r="K81" s="9"/>
    </row>
    <row r="82" customFormat="false" ht="15" hidden="false" customHeight="false" outlineLevel="0" collapsed="false">
      <c r="A82" s="14" t="s">
        <v>607</v>
      </c>
      <c r="B82" s="43" t="s">
        <v>107</v>
      </c>
      <c r="G82" s="6"/>
      <c r="H82" s="9"/>
      <c r="I82" s="9"/>
      <c r="J82" s="45" t="n">
        <f aca="false">SUM(J83:J90)</f>
        <v>0</v>
      </c>
      <c r="K82" s="9"/>
    </row>
    <row r="83" customFormat="false" ht="15" hidden="false" customHeight="false" outlineLevel="0" collapsed="false">
      <c r="A83" s="1" t="s">
        <v>608</v>
      </c>
      <c r="B83" s="1" t="s">
        <v>609</v>
      </c>
      <c r="G83" s="6" t="s">
        <v>132</v>
      </c>
      <c r="H83" s="9" t="n">
        <f aca="false">ROUND('Obras exteriores '!D29,2)</f>
        <v>0</v>
      </c>
      <c r="I83" s="9" t="n">
        <f aca="false">ROUND('APU ESTRUCTURAS'!J997,2)</f>
        <v>445.67</v>
      </c>
      <c r="J83" s="9" t="n">
        <f aca="false">H83*I83</f>
        <v>0</v>
      </c>
      <c r="K83" s="9"/>
    </row>
    <row r="84" customFormat="false" ht="15" hidden="false" customHeight="false" outlineLevel="0" collapsed="false">
      <c r="A84" s="1" t="s">
        <v>610</v>
      </c>
      <c r="B84" s="1" t="s">
        <v>594</v>
      </c>
      <c r="G84" s="6" t="s">
        <v>202</v>
      </c>
      <c r="H84" s="9" t="n">
        <f aca="false">ROUND('Obras exteriores '!D30,2)</f>
        <v>0</v>
      </c>
      <c r="I84" s="9" t="n">
        <f aca="false">ROUND('APU ESTRUCTURAS'!J1016,2)</f>
        <v>445.67</v>
      </c>
      <c r="J84" s="9" t="n">
        <f aca="false">H84*I84</f>
        <v>0</v>
      </c>
      <c r="K84" s="9"/>
    </row>
    <row r="85" customFormat="false" ht="15" hidden="false" customHeight="false" outlineLevel="0" collapsed="false">
      <c r="A85" s="1" t="s">
        <v>611</v>
      </c>
      <c r="B85" s="1" t="s">
        <v>596</v>
      </c>
      <c r="G85" s="6" t="s">
        <v>132</v>
      </c>
      <c r="H85" s="9" t="n">
        <f aca="false">ROUND('Obras exteriores '!D31,2)</f>
        <v>0</v>
      </c>
      <c r="I85" s="9" t="n">
        <f aca="false">ROUND('APU ESTRUCTURAS'!J1035,2)</f>
        <v>118.01</v>
      </c>
      <c r="J85" s="9" t="n">
        <f aca="false">H85*I85</f>
        <v>0</v>
      </c>
      <c r="K85" s="9"/>
      <c r="P85" s="14"/>
    </row>
    <row r="86" customFormat="false" ht="15" hidden="false" customHeight="false" outlineLevel="0" collapsed="false">
      <c r="A86" s="1" t="s">
        <v>612</v>
      </c>
      <c r="B86" s="1" t="s">
        <v>598</v>
      </c>
      <c r="G86" s="6" t="s">
        <v>202</v>
      </c>
      <c r="H86" s="9" t="n">
        <f aca="false">ROUND('Obras exteriores '!D32,2)</f>
        <v>0</v>
      </c>
      <c r="I86" s="9" t="n">
        <f aca="false">ROUND('APU ESTRUCTURAS'!J1054,2)</f>
        <v>358</v>
      </c>
      <c r="J86" s="9" t="n">
        <f aca="false">H86*I86</f>
        <v>0</v>
      </c>
      <c r="K86" s="9"/>
    </row>
    <row r="87" customFormat="false" ht="15" hidden="false" customHeight="false" outlineLevel="0" collapsed="false">
      <c r="A87" s="1" t="s">
        <v>613</v>
      </c>
      <c r="B87" s="1" t="s">
        <v>600</v>
      </c>
      <c r="G87" s="6" t="s">
        <v>132</v>
      </c>
      <c r="H87" s="9" t="n">
        <f aca="false">ROUND('Obras exteriores '!D33,2)</f>
        <v>0</v>
      </c>
      <c r="I87" s="9" t="n">
        <f aca="false">ROUND('APU ESTRUCTURAS'!J1061,2)</f>
        <v>2.95</v>
      </c>
      <c r="J87" s="9" t="n">
        <f aca="false">H87*I87</f>
        <v>0</v>
      </c>
      <c r="K87" s="9"/>
    </row>
    <row r="88" customFormat="false" ht="15" hidden="false" customHeight="false" outlineLevel="0" collapsed="false">
      <c r="A88" s="1" t="s">
        <v>614</v>
      </c>
      <c r="B88" s="1" t="s">
        <v>602</v>
      </c>
      <c r="G88" s="6" t="s">
        <v>143</v>
      </c>
      <c r="H88" s="9" t="n">
        <f aca="false">ROUND('Obras exteriores '!D34,2)</f>
        <v>0</v>
      </c>
      <c r="I88" s="9" t="n">
        <f aca="false">ROUND('APU ESTRUCTURAS'!J1074,2)</f>
        <v>19.24</v>
      </c>
      <c r="J88" s="9" t="n">
        <f aca="false">H88*I88</f>
        <v>0</v>
      </c>
      <c r="K88" s="9"/>
    </row>
    <row r="89" customFormat="false" ht="15" hidden="false" customHeight="false" outlineLevel="0" collapsed="false">
      <c r="A89" s="1" t="s">
        <v>615</v>
      </c>
      <c r="B89" s="1" t="s">
        <v>604</v>
      </c>
      <c r="G89" s="6" t="s">
        <v>143</v>
      </c>
      <c r="H89" s="9" t="n">
        <f aca="false">ROUND('Obras exteriores '!D35,2)</f>
        <v>0</v>
      </c>
      <c r="I89" s="9" t="n">
        <f aca="false">ROUND('APU ESTRUCTURAS'!J1089,2)</f>
        <v>19.24</v>
      </c>
      <c r="J89" s="9" t="n">
        <f aca="false">H89*I89</f>
        <v>0</v>
      </c>
      <c r="K89" s="9"/>
    </row>
    <row r="90" customFormat="false" ht="15" hidden="false" customHeight="false" outlineLevel="0" collapsed="false">
      <c r="A90" s="1" t="s">
        <v>616</v>
      </c>
      <c r="B90" s="1" t="s">
        <v>606</v>
      </c>
      <c r="G90" s="6" t="s">
        <v>143</v>
      </c>
      <c r="H90" s="9" t="n">
        <f aca="false">ROUND('Obras exteriores '!D36,2)</f>
        <v>0</v>
      </c>
      <c r="I90" s="9" t="n">
        <f aca="false">ROUND('APU ESTRUCTURAS'!J1104,2)</f>
        <v>616.64</v>
      </c>
      <c r="J90" s="9" t="n">
        <f aca="false">H90*I90</f>
        <v>0</v>
      </c>
      <c r="K90" s="9"/>
    </row>
    <row r="91" customFormat="false" ht="15" hidden="false" customHeight="false" outlineLevel="0" collapsed="false">
      <c r="A91" s="14" t="s">
        <v>617</v>
      </c>
      <c r="B91" s="43" t="s">
        <v>80</v>
      </c>
      <c r="G91" s="6"/>
      <c r="H91" s="9"/>
      <c r="I91" s="9"/>
      <c r="J91" s="45" t="n">
        <f aca="false">SUM(J92:J97)</f>
        <v>9329.6904</v>
      </c>
      <c r="K91" s="9"/>
    </row>
    <row r="92" customFormat="false" ht="15" hidden="false" customHeight="false" outlineLevel="0" collapsed="false">
      <c r="A92" s="1" t="s">
        <v>618</v>
      </c>
      <c r="B92" s="1" t="s">
        <v>619</v>
      </c>
      <c r="C92" s="82"/>
      <c r="G92" s="6" t="s">
        <v>132</v>
      </c>
      <c r="H92" s="9" t="n">
        <f aca="false">ROUND('Obras exteriores '!D47,2)</f>
        <v>12</v>
      </c>
      <c r="I92" s="9" t="n">
        <f aca="false">ROUND('APU ESTRUCTURAS'!J1111,2)</f>
        <v>447.9</v>
      </c>
      <c r="J92" s="9" t="n">
        <f aca="false">H92*I92</f>
        <v>5374.8</v>
      </c>
      <c r="K92" s="9"/>
    </row>
    <row r="93" customFormat="false" ht="15" hidden="false" customHeight="false" outlineLevel="0" collapsed="false">
      <c r="A93" s="1" t="s">
        <v>620</v>
      </c>
      <c r="B93" s="1" t="s">
        <v>621</v>
      </c>
      <c r="C93" s="82"/>
      <c r="G93" s="6" t="s">
        <v>202</v>
      </c>
      <c r="H93" s="9" t="n">
        <f aca="false">ROUND('Obras exteriores '!D48,2)</f>
        <v>1.4</v>
      </c>
      <c r="I93" s="9" t="n">
        <f aca="false">ROUND('APU ESTRUCTURAS'!J1130,2)</f>
        <v>447.9</v>
      </c>
      <c r="J93" s="9" t="n">
        <f aca="false">H93*I93</f>
        <v>627.06</v>
      </c>
      <c r="K93" s="9"/>
    </row>
    <row r="94" customFormat="false" ht="15" hidden="false" customHeight="false" outlineLevel="0" collapsed="false">
      <c r="A94" s="1" t="s">
        <v>622</v>
      </c>
      <c r="B94" s="1" t="s">
        <v>596</v>
      </c>
      <c r="C94" s="82"/>
      <c r="G94" s="6" t="s">
        <v>132</v>
      </c>
      <c r="H94" s="9" t="n">
        <f aca="false">ROUND('Obras exteriores '!D49,2)</f>
        <v>20</v>
      </c>
      <c r="I94" s="9" t="n">
        <f aca="false">ROUND('APU ESTRUCTURAS'!J1149,2)</f>
        <v>118.01</v>
      </c>
      <c r="J94" s="9" t="n">
        <f aca="false">H94*I94</f>
        <v>2360.2</v>
      </c>
      <c r="K94" s="9"/>
      <c r="P94" s="14"/>
    </row>
    <row r="95" customFormat="false" ht="15" hidden="false" customHeight="false" outlineLevel="0" collapsed="false">
      <c r="A95" s="1" t="s">
        <v>623</v>
      </c>
      <c r="B95" s="1" t="s">
        <v>600</v>
      </c>
      <c r="C95" s="82"/>
      <c r="G95" s="6" t="s">
        <v>132</v>
      </c>
      <c r="H95" s="9" t="n">
        <f aca="false">ROUND('Obras exteriores '!D50,2)</f>
        <v>100</v>
      </c>
      <c r="I95" s="9" t="n">
        <f aca="false">ROUND('APU ESTRUCTURAS'!J1168,2)</f>
        <v>2.95</v>
      </c>
      <c r="J95" s="9" t="n">
        <f aca="false">H95*I95</f>
        <v>295</v>
      </c>
      <c r="K95" s="9"/>
    </row>
    <row r="96" customFormat="false" ht="15" hidden="false" customHeight="false" outlineLevel="0" collapsed="false">
      <c r="A96" s="1" t="s">
        <v>624</v>
      </c>
      <c r="B96" s="1" t="s">
        <v>602</v>
      </c>
      <c r="C96" s="82"/>
      <c r="G96" s="6" t="s">
        <v>143</v>
      </c>
      <c r="H96" s="9" t="n">
        <f aca="false">ROUND('Obras exteriores '!D52,2)</f>
        <v>16.07</v>
      </c>
      <c r="I96" s="9" t="n">
        <f aca="false">ROUND('APU ESTRUCTURAS'!J1181,2)</f>
        <v>19.24</v>
      </c>
      <c r="J96" s="9" t="n">
        <f aca="false">H96*I96</f>
        <v>309.1868</v>
      </c>
      <c r="K96" s="9"/>
    </row>
    <row r="97" customFormat="false" ht="15" hidden="false" customHeight="false" outlineLevel="0" collapsed="false">
      <c r="A97" s="1" t="s">
        <v>625</v>
      </c>
      <c r="B97" s="1" t="s">
        <v>604</v>
      </c>
      <c r="C97" s="82"/>
      <c r="G97" s="6" t="s">
        <v>143</v>
      </c>
      <c r="H97" s="9" t="n">
        <f aca="false">ROUND('Obras exteriores '!D53,2)</f>
        <v>18.89</v>
      </c>
      <c r="I97" s="9" t="n">
        <f aca="false">ROUND('APU ESTRUCTURAS'!J1196,2)</f>
        <v>19.24</v>
      </c>
      <c r="J97" s="9" t="n">
        <f aca="false">H97*I97</f>
        <v>363.4436</v>
      </c>
      <c r="K97" s="9"/>
    </row>
    <row r="98" customFormat="false" ht="15" hidden="false" customHeight="false" outlineLevel="0" collapsed="false">
      <c r="A98" s="14" t="s">
        <v>626</v>
      </c>
      <c r="B98" s="43" t="s">
        <v>81</v>
      </c>
      <c r="G98" s="6"/>
      <c r="H98" s="9"/>
      <c r="I98" s="9"/>
      <c r="J98" s="45" t="n">
        <f aca="false">SUM(J99:J103)</f>
        <v>0</v>
      </c>
      <c r="K98" s="9"/>
    </row>
    <row r="99" customFormat="false" ht="15" hidden="false" customHeight="false" outlineLevel="0" collapsed="false">
      <c r="A99" s="1" t="s">
        <v>627</v>
      </c>
      <c r="B99" s="1" t="s">
        <v>628</v>
      </c>
      <c r="G99" s="6" t="s">
        <v>132</v>
      </c>
      <c r="H99" s="9" t="n">
        <f aca="false">ROUND('Obras exteriores '!D61,2)</f>
        <v>0</v>
      </c>
      <c r="I99" s="9" t="n">
        <f aca="false">ROUND('APU ESTRUCTURAS'!J1211,2)</f>
        <v>101.29</v>
      </c>
      <c r="J99" s="9" t="n">
        <f aca="false">H99*I99</f>
        <v>0</v>
      </c>
      <c r="K99" s="9"/>
    </row>
    <row r="100" customFormat="false" ht="15" hidden="false" customHeight="false" outlineLevel="0" collapsed="false">
      <c r="A100" s="1" t="s">
        <v>629</v>
      </c>
      <c r="B100" s="1" t="s">
        <v>630</v>
      </c>
      <c r="G100" s="6" t="s">
        <v>295</v>
      </c>
      <c r="H100" s="9" t="n">
        <f aca="false">ROUND('Obras exteriores '!D62,2)</f>
        <v>0</v>
      </c>
      <c r="I100" s="9" t="n">
        <f aca="false">ROUND('APU ESTRUCTURAS'!J1230,2)</f>
        <v>7.5</v>
      </c>
      <c r="J100" s="9" t="n">
        <f aca="false">H100*I100</f>
        <v>0</v>
      </c>
      <c r="K100" s="9"/>
    </row>
    <row r="101" customFormat="false" ht="15" hidden="false" customHeight="false" outlineLevel="0" collapsed="false">
      <c r="A101" s="1" t="s">
        <v>631</v>
      </c>
      <c r="B101" s="1" t="s">
        <v>600</v>
      </c>
      <c r="G101" s="6" t="s">
        <v>132</v>
      </c>
      <c r="H101" s="9" t="n">
        <f aca="false">ROUND('Obras exteriores '!D63,2)</f>
        <v>0</v>
      </c>
      <c r="I101" s="9" t="n">
        <f aca="false">ROUND('APU ESTRUCTURAS'!J1246,2)</f>
        <v>2.95</v>
      </c>
      <c r="J101" s="9" t="n">
        <f aca="false">H101*I101</f>
        <v>0</v>
      </c>
      <c r="K101" s="9"/>
      <c r="P101" s="14"/>
    </row>
    <row r="102" customFormat="false" ht="15" hidden="false" customHeight="false" outlineLevel="0" collapsed="false">
      <c r="A102" s="1" t="s">
        <v>632</v>
      </c>
      <c r="B102" s="1" t="s">
        <v>633</v>
      </c>
      <c r="G102" s="6" t="s">
        <v>202</v>
      </c>
      <c r="H102" s="9" t="n">
        <f aca="false">ROUND('Obras exteriores '!D64,2)</f>
        <v>0</v>
      </c>
      <c r="I102" s="9" t="n">
        <f aca="false">ROUND('APU ESTRUCTURAS'!J1259,2)</f>
        <v>445.67</v>
      </c>
      <c r="J102" s="9" t="n">
        <f aca="false">H102*I102</f>
        <v>0</v>
      </c>
      <c r="K102" s="9"/>
    </row>
    <row r="103" customFormat="false" ht="15" hidden="false" customHeight="false" outlineLevel="0" collapsed="false">
      <c r="A103" s="1" t="s">
        <v>634</v>
      </c>
      <c r="B103" s="1" t="s">
        <v>604</v>
      </c>
      <c r="G103" s="6" t="s">
        <v>143</v>
      </c>
      <c r="H103" s="9" t="n">
        <f aca="false">ROUND('Obras exteriores '!D65,2)</f>
        <v>0</v>
      </c>
      <c r="I103" s="9" t="n">
        <f aca="false">ROUND('APU ESTRUCTURAS'!J1278,2)</f>
        <v>19.24</v>
      </c>
      <c r="J103" s="9" t="n">
        <f aca="false">H103*I103</f>
        <v>0</v>
      </c>
      <c r="K103" s="9"/>
    </row>
    <row r="104" customFormat="false" ht="15" hidden="false" customHeight="false" outlineLevel="0" collapsed="false">
      <c r="A104" s="14" t="s">
        <v>635</v>
      </c>
      <c r="B104" s="43" t="s">
        <v>83</v>
      </c>
      <c r="G104" s="6"/>
      <c r="H104" s="9"/>
      <c r="I104" s="9"/>
      <c r="J104" s="45" t="n">
        <f aca="false">SUM(J105)</f>
        <v>0</v>
      </c>
      <c r="K104" s="9"/>
    </row>
    <row r="105" customFormat="false" ht="15" hidden="false" customHeight="false" outlineLevel="0" collapsed="false">
      <c r="A105" s="1" t="s">
        <v>636</v>
      </c>
      <c r="B105" s="1" t="s">
        <v>83</v>
      </c>
      <c r="G105" s="6" t="s">
        <v>564</v>
      </c>
      <c r="H105" s="9" t="n">
        <f aca="false">ROUND('Obras exteriores '!D68,2)</f>
        <v>0</v>
      </c>
      <c r="I105" s="9" t="n">
        <f aca="false">ROUND('APU ESTRUCTURAS'!J1293,2)</f>
        <v>69.41</v>
      </c>
      <c r="J105" s="9" t="n">
        <f aca="false">H105*I105</f>
        <v>0</v>
      </c>
      <c r="K105" s="9"/>
    </row>
    <row r="106" customFormat="false" ht="15" hidden="false" customHeight="false" outlineLevel="0" collapsed="false">
      <c r="A106" s="14" t="s">
        <v>637</v>
      </c>
      <c r="B106" s="43" t="s">
        <v>638</v>
      </c>
      <c r="G106" s="6"/>
      <c r="H106" s="9"/>
      <c r="I106" s="9"/>
      <c r="J106" s="45" t="n">
        <f aca="false">SUM(J107:J110)</f>
        <v>0</v>
      </c>
      <c r="K106" s="9"/>
    </row>
    <row r="107" customFormat="false" ht="15" hidden="false" customHeight="false" outlineLevel="0" collapsed="false">
      <c r="A107" s="1" t="s">
        <v>639</v>
      </c>
      <c r="B107" s="1" t="s">
        <v>640</v>
      </c>
      <c r="G107" s="6" t="s">
        <v>143</v>
      </c>
      <c r="H107" s="9" t="n">
        <f aca="false">ROUND('Obras exteriores '!D83,2)</f>
        <v>0</v>
      </c>
      <c r="I107" s="9" t="n">
        <f aca="false">ROUND('APU ESTRUCTURAS'!J1300,2)</f>
        <v>1480.2</v>
      </c>
      <c r="J107" s="9" t="n">
        <f aca="false">H107*I107</f>
        <v>0</v>
      </c>
      <c r="K107" s="9"/>
      <c r="P107" s="14"/>
    </row>
    <row r="108" customFormat="false" ht="15" hidden="false" customHeight="false" outlineLevel="0" collapsed="false">
      <c r="A108" s="1" t="s">
        <v>641</v>
      </c>
      <c r="B108" s="1" t="s">
        <v>642</v>
      </c>
      <c r="G108" s="6" t="s">
        <v>143</v>
      </c>
      <c r="H108" s="9" t="n">
        <f aca="false">ROUND('Obras exteriores '!D84,2)</f>
        <v>0</v>
      </c>
      <c r="I108" s="9" t="n">
        <f aca="false">ROUND('APU ESTRUCTURAS'!J1309,2)</f>
        <v>1568.99</v>
      </c>
      <c r="J108" s="9" t="n">
        <f aca="false">H108*I108</f>
        <v>0</v>
      </c>
      <c r="K108" s="9"/>
    </row>
    <row r="109" customFormat="false" ht="15" hidden="false" customHeight="false" outlineLevel="0" collapsed="false">
      <c r="A109" s="1" t="s">
        <v>643</v>
      </c>
      <c r="B109" s="1" t="s">
        <v>644</v>
      </c>
      <c r="G109" s="6" t="s">
        <v>143</v>
      </c>
      <c r="H109" s="9" t="n">
        <f aca="false">ROUND('Obras exteriores '!D85,2)</f>
        <v>0</v>
      </c>
      <c r="I109" s="9" t="n">
        <f aca="false">ROUND('APU ESTRUCTURAS'!J1319,2)</f>
        <v>107.38</v>
      </c>
      <c r="J109" s="9" t="n">
        <f aca="false">H109*I109</f>
        <v>0</v>
      </c>
      <c r="K109" s="9"/>
      <c r="P109" s="14"/>
    </row>
    <row r="110" customFormat="false" ht="15" hidden="false" customHeight="false" outlineLevel="0" collapsed="false">
      <c r="A110" s="1" t="s">
        <v>645</v>
      </c>
      <c r="B110" s="1" t="s">
        <v>646</v>
      </c>
      <c r="G110" s="6" t="s">
        <v>143</v>
      </c>
      <c r="H110" s="9" t="n">
        <f aca="false">ROUND('Obras exteriores '!D87,2)</f>
        <v>0</v>
      </c>
      <c r="I110" s="9" t="n">
        <f aca="false">ROUND('APU ESTRUCTURAS'!J1456,2)</f>
        <v>18.86</v>
      </c>
      <c r="J110" s="9" t="n">
        <f aca="false">H110*I110</f>
        <v>0</v>
      </c>
      <c r="K110" s="9"/>
    </row>
    <row r="111" customFormat="false" ht="15" hidden="false" customHeight="false" outlineLevel="0" collapsed="false">
      <c r="A111" s="14" t="s">
        <v>647</v>
      </c>
      <c r="B111" s="43" t="s">
        <v>85</v>
      </c>
      <c r="G111" s="6"/>
      <c r="H111" s="9"/>
      <c r="I111" s="9"/>
      <c r="J111" s="45" t="n">
        <f aca="false">SUM(J112)</f>
        <v>0</v>
      </c>
      <c r="K111" s="9"/>
    </row>
    <row r="112" customFormat="false" ht="15" hidden="false" customHeight="false" outlineLevel="0" collapsed="false">
      <c r="A112" s="1" t="s">
        <v>648</v>
      </c>
      <c r="B112" s="1" t="s">
        <v>85</v>
      </c>
      <c r="G112" s="6" t="s">
        <v>132</v>
      </c>
      <c r="H112" s="9" t="n">
        <f aca="false">ROUND('Obras exteriores '!D92,2)</f>
        <v>0</v>
      </c>
      <c r="I112" s="9" t="n">
        <f aca="false">ROUND('APU ESTRUCTURAS'!J1472,2)</f>
        <v>29580.59</v>
      </c>
      <c r="J112" s="9" t="n">
        <f aca="false">H112*I112</f>
        <v>0</v>
      </c>
      <c r="K112" s="9"/>
    </row>
    <row r="113" customFormat="false" ht="15" hidden="false" customHeight="false" outlineLevel="0" collapsed="false">
      <c r="A113" s="57"/>
      <c r="H113" s="9"/>
      <c r="I113" s="9"/>
      <c r="J113" s="9"/>
      <c r="K113" s="9"/>
    </row>
    <row r="114" customFormat="false" ht="15" hidden="false" customHeight="false" outlineLevel="0" collapsed="false">
      <c r="H114" s="9"/>
      <c r="I114" s="9"/>
      <c r="J114" s="9"/>
      <c r="K114" s="9"/>
      <c r="P114" s="14"/>
    </row>
    <row r="115" customFormat="false" ht="15" hidden="false" customHeight="false" outlineLevel="0" collapsed="false">
      <c r="K115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I1481"/>
  <sheetViews>
    <sheetView showFormulas="false" showGridLines="true" showRowColHeaders="true" showZeros="true" rightToLeft="false" tabSelected="false" showOutlineSymbols="true" defaultGridColor="true" view="normal" topLeftCell="A940" colorId="64" zoomScale="100" zoomScaleNormal="100" zoomScalePageLayoutView="100" workbookViewId="0">
      <selection pane="topLeft" activeCell="B942" activeCellId="0" sqref="B94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4" min="4" style="1" width="12.14"/>
    <col collapsed="false" customWidth="true" hidden="false" outlineLevel="0" max="10" min="10" style="1" width="9.3"/>
    <col collapsed="false" customWidth="true" hidden="false" outlineLevel="0" max="18" min="18" style="1" width="11.72"/>
    <col collapsed="false" customWidth="true" hidden="false" outlineLevel="0" max="19" min="19" style="1" width="19.57"/>
    <col collapsed="false" customWidth="true" hidden="false" outlineLevel="0" max="20" min="20" style="1" width="16.14"/>
  </cols>
  <sheetData>
    <row r="1" customFormat="false" ht="15" hidden="false" customHeight="false" outlineLevel="0" collapsed="false">
      <c r="A1" s="14" t="s">
        <v>276</v>
      </c>
      <c r="B1" s="14" t="str">
        <f aca="false">ESTRUCTURA!A5</f>
        <v>02.01.01</v>
      </c>
      <c r="C1" s="14" t="s">
        <v>457</v>
      </c>
      <c r="D1" s="14"/>
    </row>
    <row r="2" customFormat="false" ht="15" hidden="false" customHeight="false" outlineLevel="0" collapsed="false">
      <c r="A2" s="14" t="s">
        <v>277</v>
      </c>
      <c r="B2" s="14" t="s">
        <v>415</v>
      </c>
      <c r="C2" s="38" t="s">
        <v>279</v>
      </c>
      <c r="D2" s="54" t="n">
        <v>250</v>
      </c>
      <c r="E2" s="38" t="s">
        <v>280</v>
      </c>
      <c r="F2" s="54" t="n">
        <f aca="false">D2</f>
        <v>250</v>
      </c>
      <c r="G2" s="14" t="s">
        <v>281</v>
      </c>
      <c r="I2" s="38" t="s">
        <v>202</v>
      </c>
      <c r="J2" s="55" t="n">
        <f aca="false">J8+J12</f>
        <v>8.46</v>
      </c>
    </row>
    <row r="3" customFormat="false" ht="15" hidden="false" customHeight="false" outlineLevel="0" collapsed="false">
      <c r="A3" s="14" t="s">
        <v>282</v>
      </c>
      <c r="B3" s="14" t="s">
        <v>283</v>
      </c>
      <c r="F3" s="38" t="s">
        <v>121</v>
      </c>
      <c r="G3" s="38" t="s">
        <v>284</v>
      </c>
      <c r="H3" s="38" t="s">
        <v>285</v>
      </c>
      <c r="I3" s="38" t="s">
        <v>286</v>
      </c>
      <c r="J3" s="38" t="s">
        <v>287</v>
      </c>
    </row>
    <row r="4" customFormat="false" ht="15" hidden="false" customHeight="false" outlineLevel="0" collapsed="false">
      <c r="B4" s="56" t="s">
        <v>288</v>
      </c>
    </row>
    <row r="5" customFormat="false" ht="15" hidden="false" customHeight="false" outlineLevel="0" collapsed="false">
      <c r="B5" s="1" t="s">
        <v>649</v>
      </c>
      <c r="F5" s="57" t="s">
        <v>290</v>
      </c>
      <c r="G5" s="58" t="n">
        <v>0.1</v>
      </c>
      <c r="H5" s="59" t="n">
        <f aca="false">G5*8/$D$2</f>
        <v>0.0032</v>
      </c>
      <c r="I5" s="1" t="n">
        <v>34.73</v>
      </c>
      <c r="J5" s="30" t="n">
        <f aca="false">H5*I5</f>
        <v>0.111136</v>
      </c>
      <c r="K5" s="1" t="n">
        <v>47</v>
      </c>
      <c r="P5" s="30"/>
    </row>
    <row r="6" customFormat="false" ht="15" hidden="false" customHeight="false" outlineLevel="0" collapsed="false">
      <c r="B6" s="1" t="s">
        <v>289</v>
      </c>
      <c r="F6" s="57" t="s">
        <v>290</v>
      </c>
      <c r="G6" s="58" t="n">
        <v>2</v>
      </c>
      <c r="H6" s="59" t="n">
        <f aca="false">G6*8/$D$2</f>
        <v>0.064</v>
      </c>
      <c r="I6" s="30" t="n">
        <v>28.94</v>
      </c>
      <c r="J6" s="30" t="n">
        <f aca="false">H6*I6</f>
        <v>1.85216</v>
      </c>
      <c r="K6" s="1" t="n">
        <v>47</v>
      </c>
      <c r="P6" s="30"/>
    </row>
    <row r="7" customFormat="false" ht="15" hidden="false" customHeight="false" outlineLevel="0" collapsed="false">
      <c r="B7" s="1" t="s">
        <v>292</v>
      </c>
      <c r="F7" s="57" t="s">
        <v>290</v>
      </c>
      <c r="G7" s="58" t="n">
        <v>1</v>
      </c>
      <c r="H7" s="59" t="n">
        <f aca="false">G7*8/$D$2</f>
        <v>0.032</v>
      </c>
      <c r="I7" s="1" t="n">
        <v>20.51</v>
      </c>
      <c r="J7" s="30" t="n">
        <f aca="false">H7*I7</f>
        <v>0.65632</v>
      </c>
      <c r="K7" s="1" t="n">
        <v>47</v>
      </c>
      <c r="P7" s="30"/>
    </row>
    <row r="8" customFormat="false" ht="15" hidden="false" customHeight="false" outlineLevel="0" collapsed="false">
      <c r="J8" s="55" t="n">
        <f aca="false">ROUND(SUM(J5:J7),2)</f>
        <v>2.62</v>
      </c>
    </row>
    <row r="9" customFormat="false" ht="15" hidden="false" customHeight="false" outlineLevel="0" collapsed="false">
      <c r="B9" s="56" t="s">
        <v>308</v>
      </c>
    </row>
    <row r="10" customFormat="false" ht="15" hidden="false" customHeight="false" outlineLevel="0" collapsed="false">
      <c r="B10" s="1" t="s">
        <v>309</v>
      </c>
      <c r="F10" s="57" t="s">
        <v>310</v>
      </c>
      <c r="H10" s="59" t="n">
        <v>3</v>
      </c>
      <c r="I10" s="30" t="n">
        <f aca="false">J8</f>
        <v>2.62</v>
      </c>
      <c r="J10" s="30" t="n">
        <f aca="false">H10%*I10</f>
        <v>0.0786</v>
      </c>
      <c r="K10" s="1" t="n">
        <v>37</v>
      </c>
    </row>
    <row r="11" customFormat="false" ht="15" hidden="false" customHeight="false" outlineLevel="0" collapsed="false">
      <c r="B11" s="1" t="s">
        <v>650</v>
      </c>
      <c r="F11" s="57" t="s">
        <v>337</v>
      </c>
      <c r="G11" s="58" t="n">
        <v>1</v>
      </c>
      <c r="H11" s="59" t="n">
        <f aca="false">G11*8/$D$2</f>
        <v>0.032</v>
      </c>
      <c r="I11" s="1" t="n">
        <v>180</v>
      </c>
      <c r="J11" s="30" t="n">
        <f aca="false">H11*I11</f>
        <v>5.76</v>
      </c>
      <c r="K11" s="1" t="n">
        <v>49</v>
      </c>
    </row>
    <row r="12" customFormat="false" ht="15" hidden="false" customHeight="false" outlineLevel="0" collapsed="false">
      <c r="A12" s="62"/>
      <c r="B12" s="62"/>
      <c r="C12" s="62"/>
      <c r="D12" s="62"/>
      <c r="E12" s="62"/>
      <c r="F12" s="62"/>
      <c r="G12" s="62"/>
      <c r="H12" s="62"/>
      <c r="I12" s="62"/>
      <c r="J12" s="63" t="n">
        <f aca="false">ROUND(SUM(J10:J11),2)</f>
        <v>5.84</v>
      </c>
    </row>
    <row r="13" customFormat="false" ht="15" hidden="false" customHeight="false" outlineLevel="0" collapsed="false">
      <c r="B13" s="56"/>
      <c r="F13" s="57"/>
      <c r="G13" s="58"/>
      <c r="H13" s="59"/>
    </row>
    <row r="14" customFormat="false" ht="15" hidden="false" customHeight="false" outlineLevel="0" collapsed="false">
      <c r="I14" s="30"/>
      <c r="J14" s="30"/>
    </row>
    <row r="15" customFormat="false" ht="15" hidden="false" customHeight="false" outlineLevel="0" collapsed="false">
      <c r="I15" s="14"/>
      <c r="J15" s="55"/>
    </row>
    <row r="17" customFormat="false" ht="15" hidden="false" customHeight="false" outlineLevel="0" collapsed="false">
      <c r="A17" s="14" t="s">
        <v>276</v>
      </c>
      <c r="B17" s="14" t="str">
        <f aca="false">ESTRUCTURA!A6</f>
        <v>02.01.02</v>
      </c>
      <c r="C17" s="14" t="s">
        <v>459</v>
      </c>
      <c r="D17" s="14"/>
    </row>
    <row r="18" customFormat="false" ht="15" hidden="false" customHeight="false" outlineLevel="0" collapsed="false">
      <c r="A18" s="14" t="s">
        <v>277</v>
      </c>
      <c r="B18" s="14" t="s">
        <v>415</v>
      </c>
      <c r="C18" s="38" t="s">
        <v>279</v>
      </c>
      <c r="D18" s="54" t="n">
        <v>4</v>
      </c>
      <c r="E18" s="38" t="s">
        <v>280</v>
      </c>
      <c r="F18" s="54" t="n">
        <f aca="false">D18</f>
        <v>4</v>
      </c>
      <c r="G18" s="14" t="s">
        <v>281</v>
      </c>
      <c r="I18" s="38" t="s">
        <v>202</v>
      </c>
      <c r="J18" s="55" t="n">
        <f aca="false">J23+J26</f>
        <v>49.41</v>
      </c>
    </row>
    <row r="19" customFormat="false" ht="15" hidden="false" customHeight="false" outlineLevel="0" collapsed="false">
      <c r="A19" s="14" t="s">
        <v>282</v>
      </c>
      <c r="B19" s="14" t="s">
        <v>283</v>
      </c>
      <c r="F19" s="38" t="s">
        <v>121</v>
      </c>
      <c r="G19" s="38" t="s">
        <v>284</v>
      </c>
      <c r="H19" s="38" t="s">
        <v>285</v>
      </c>
      <c r="I19" s="38" t="s">
        <v>286</v>
      </c>
      <c r="J19" s="38" t="s">
        <v>287</v>
      </c>
    </row>
    <row r="20" customFormat="false" ht="15" hidden="false" customHeight="false" outlineLevel="0" collapsed="false">
      <c r="B20" s="56" t="s">
        <v>288</v>
      </c>
    </row>
    <row r="21" customFormat="false" ht="15" hidden="false" customHeight="false" outlineLevel="0" collapsed="false">
      <c r="B21" s="1" t="s">
        <v>649</v>
      </c>
      <c r="F21" s="57" t="s">
        <v>290</v>
      </c>
      <c r="G21" s="58" t="n">
        <v>0.1</v>
      </c>
      <c r="H21" s="59" t="n">
        <f aca="false">G21*8/$D$18</f>
        <v>0.2</v>
      </c>
      <c r="I21" s="1" t="n">
        <v>34.73</v>
      </c>
      <c r="J21" s="30" t="n">
        <f aca="false">H21*I21</f>
        <v>6.946</v>
      </c>
      <c r="K21" s="1" t="n">
        <v>47</v>
      </c>
    </row>
    <row r="22" customFormat="false" ht="15" hidden="false" customHeight="false" outlineLevel="0" collapsed="false">
      <c r="B22" s="1" t="s">
        <v>292</v>
      </c>
      <c r="F22" s="57" t="s">
        <v>290</v>
      </c>
      <c r="G22" s="58" t="n">
        <v>1</v>
      </c>
      <c r="H22" s="59" t="n">
        <f aca="false">G22*8/$D$18</f>
        <v>2</v>
      </c>
      <c r="I22" s="1" t="n">
        <v>20.51</v>
      </c>
      <c r="J22" s="30" t="n">
        <f aca="false">H22*I22</f>
        <v>41.02</v>
      </c>
      <c r="K22" s="1" t="n">
        <v>47</v>
      </c>
    </row>
    <row r="23" customFormat="false" ht="15" hidden="false" customHeight="false" outlineLevel="0" collapsed="false">
      <c r="F23" s="57"/>
      <c r="G23" s="58"/>
      <c r="H23" s="59"/>
      <c r="J23" s="55" t="n">
        <f aca="false">ROUND(SUM(J21:J22),2)</f>
        <v>47.97</v>
      </c>
    </row>
    <row r="24" customFormat="false" ht="15" hidden="false" customHeight="false" outlineLevel="0" collapsed="false">
      <c r="B24" s="56" t="s">
        <v>308</v>
      </c>
    </row>
    <row r="25" customFormat="false" ht="15" hidden="false" customHeight="false" outlineLevel="0" collapsed="false">
      <c r="B25" s="1" t="s">
        <v>309</v>
      </c>
      <c r="F25" s="57" t="s">
        <v>310</v>
      </c>
      <c r="H25" s="59" t="n">
        <v>3</v>
      </c>
      <c r="I25" s="30" t="n">
        <f aca="false">J23</f>
        <v>47.97</v>
      </c>
      <c r="J25" s="30" t="n">
        <f aca="false">H25%*I25</f>
        <v>1.4391</v>
      </c>
      <c r="K25" s="1" t="n">
        <v>37</v>
      </c>
    </row>
    <row r="26" customFormat="false" ht="15" hidden="false" customHeight="false" outlineLevel="0" collapsed="false">
      <c r="A26" s="62"/>
      <c r="B26" s="62"/>
      <c r="C26" s="62"/>
      <c r="D26" s="62"/>
      <c r="E26" s="62"/>
      <c r="F26" s="62"/>
      <c r="G26" s="62"/>
      <c r="H26" s="62"/>
      <c r="I26" s="83"/>
      <c r="J26" s="63" t="n">
        <f aca="false">ROUND(SUM(J25),2)</f>
        <v>1.44</v>
      </c>
    </row>
    <row r="28" customFormat="false" ht="15" hidden="false" customHeight="false" outlineLevel="0" collapsed="false">
      <c r="A28" s="14" t="s">
        <v>276</v>
      </c>
      <c r="B28" s="14" t="str">
        <f aca="false">ESTRUCTURA!A7</f>
        <v>02.01.03</v>
      </c>
      <c r="C28" s="14" t="s">
        <v>461</v>
      </c>
      <c r="D28" s="14"/>
    </row>
    <row r="29" customFormat="false" ht="15" hidden="false" customHeight="false" outlineLevel="0" collapsed="false">
      <c r="A29" s="14" t="s">
        <v>277</v>
      </c>
      <c r="B29" s="14" t="s">
        <v>415</v>
      </c>
      <c r="C29" s="38" t="s">
        <v>279</v>
      </c>
      <c r="D29" s="54" t="n">
        <v>30</v>
      </c>
      <c r="E29" s="38" t="s">
        <v>280</v>
      </c>
      <c r="F29" s="54" t="n">
        <f aca="false">D29</f>
        <v>30</v>
      </c>
      <c r="G29" s="14" t="s">
        <v>281</v>
      </c>
      <c r="I29" s="38" t="s">
        <v>202</v>
      </c>
      <c r="J29" s="55" t="n">
        <f aca="false">J35+J39+J43</f>
        <v>66.23</v>
      </c>
    </row>
    <row r="30" customFormat="false" ht="15" hidden="false" customHeight="false" outlineLevel="0" collapsed="false">
      <c r="A30" s="14" t="s">
        <v>282</v>
      </c>
      <c r="B30" s="14" t="s">
        <v>283</v>
      </c>
      <c r="F30" s="38" t="s">
        <v>121</v>
      </c>
      <c r="G30" s="38" t="s">
        <v>284</v>
      </c>
      <c r="H30" s="38" t="s">
        <v>285</v>
      </c>
      <c r="I30" s="38" t="s">
        <v>286</v>
      </c>
      <c r="J30" s="38" t="s">
        <v>287</v>
      </c>
    </row>
    <row r="31" customFormat="false" ht="15" hidden="false" customHeight="false" outlineLevel="0" collapsed="false">
      <c r="B31" s="56" t="s">
        <v>288</v>
      </c>
    </row>
    <row r="32" customFormat="false" ht="15" hidden="false" customHeight="false" outlineLevel="0" collapsed="false">
      <c r="B32" s="1" t="s">
        <v>649</v>
      </c>
      <c r="F32" s="57" t="s">
        <v>290</v>
      </c>
      <c r="G32" s="58" t="n">
        <v>0.1</v>
      </c>
      <c r="H32" s="59" t="n">
        <f aca="false">G32*8/$D$29</f>
        <v>0.0266666666666667</v>
      </c>
      <c r="I32" s="1" t="n">
        <v>34.73</v>
      </c>
      <c r="J32" s="30" t="n">
        <f aca="false">H32*I32</f>
        <v>0.926133333333333</v>
      </c>
      <c r="K32" s="1" t="n">
        <v>47</v>
      </c>
    </row>
    <row r="33" customFormat="false" ht="15" hidden="false" customHeight="false" outlineLevel="0" collapsed="false">
      <c r="B33" s="1" t="s">
        <v>292</v>
      </c>
      <c r="F33" s="57" t="s">
        <v>290</v>
      </c>
      <c r="G33" s="58" t="n">
        <v>1</v>
      </c>
      <c r="H33" s="59" t="n">
        <f aca="false">G33*8/$D$29</f>
        <v>0.266666666666667</v>
      </c>
      <c r="I33" s="1" t="n">
        <v>20.51</v>
      </c>
      <c r="J33" s="30" t="n">
        <f aca="false">H33*I33</f>
        <v>5.46933333333333</v>
      </c>
      <c r="K33" s="1" t="n">
        <v>47</v>
      </c>
    </row>
    <row r="34" customFormat="false" ht="15" hidden="false" customHeight="false" outlineLevel="0" collapsed="false">
      <c r="B34" s="1" t="s">
        <v>651</v>
      </c>
      <c r="F34" s="57" t="s">
        <v>290</v>
      </c>
      <c r="G34" s="58" t="n">
        <v>1</v>
      </c>
      <c r="H34" s="59" t="n">
        <f aca="false">G34*8/$D$29</f>
        <v>0.266666666666667</v>
      </c>
      <c r="I34" s="1" t="n">
        <v>29.94</v>
      </c>
      <c r="J34" s="30" t="n">
        <f aca="false">H34*I34</f>
        <v>7.984</v>
      </c>
      <c r="K34" s="1" t="n">
        <v>47</v>
      </c>
    </row>
    <row r="35" customFormat="false" ht="15" hidden="false" customHeight="false" outlineLevel="0" collapsed="false">
      <c r="F35" s="57"/>
      <c r="G35" s="58"/>
      <c r="H35" s="59"/>
      <c r="J35" s="55" t="n">
        <f aca="false">ROUND(SUM(J32:J34),2)</f>
        <v>14.38</v>
      </c>
    </row>
    <row r="36" customFormat="false" ht="15" hidden="false" customHeight="false" outlineLevel="0" collapsed="false">
      <c r="B36" s="56" t="s">
        <v>652</v>
      </c>
      <c r="F36" s="57"/>
      <c r="G36" s="58"/>
      <c r="H36" s="59"/>
      <c r="J36" s="30"/>
    </row>
    <row r="37" customFormat="false" ht="15" hidden="false" customHeight="false" outlineLevel="0" collapsed="false">
      <c r="B37" s="1" t="s">
        <v>653</v>
      </c>
      <c r="F37" s="57" t="s">
        <v>202</v>
      </c>
      <c r="G37" s="58"/>
      <c r="H37" s="59" t="n">
        <v>1.05</v>
      </c>
      <c r="I37" s="65" t="n">
        <v>44.07</v>
      </c>
      <c r="J37" s="30" t="n">
        <f aca="false">H37*I37</f>
        <v>46.2735</v>
      </c>
      <c r="K37" s="1" t="n">
        <v>5</v>
      </c>
    </row>
    <row r="38" customFormat="false" ht="15" hidden="false" customHeight="false" outlineLevel="0" collapsed="false">
      <c r="B38" s="1" t="s">
        <v>654</v>
      </c>
      <c r="F38" s="57" t="s">
        <v>202</v>
      </c>
      <c r="G38" s="58"/>
      <c r="H38" s="59" t="n">
        <v>0.08</v>
      </c>
      <c r="I38" s="1" t="n">
        <v>6.14</v>
      </c>
      <c r="J38" s="30" t="n">
        <f aca="false">H38*I38</f>
        <v>0.4912</v>
      </c>
      <c r="K38" s="1" t="n">
        <v>30</v>
      </c>
    </row>
    <row r="39" customFormat="false" ht="15" hidden="false" customHeight="false" outlineLevel="0" collapsed="false">
      <c r="F39" s="57"/>
      <c r="H39" s="59"/>
      <c r="J39" s="55" t="n">
        <f aca="false">ROUND(SUM(J37:J38),2)</f>
        <v>46.76</v>
      </c>
    </row>
    <row r="40" customFormat="false" ht="15" hidden="false" customHeight="false" outlineLevel="0" collapsed="false">
      <c r="B40" s="56" t="s">
        <v>308</v>
      </c>
    </row>
    <row r="41" customFormat="false" ht="15" hidden="false" customHeight="false" outlineLevel="0" collapsed="false">
      <c r="B41" s="1" t="s">
        <v>309</v>
      </c>
      <c r="F41" s="57" t="s">
        <v>310</v>
      </c>
      <c r="H41" s="59" t="n">
        <v>3</v>
      </c>
      <c r="I41" s="30" t="n">
        <f aca="false">J35</f>
        <v>14.38</v>
      </c>
      <c r="J41" s="30" t="n">
        <f aca="false">H41%*I41</f>
        <v>0.4314</v>
      </c>
      <c r="K41" s="1" t="n">
        <v>37</v>
      </c>
    </row>
    <row r="42" customFormat="false" ht="15" hidden="false" customHeight="false" outlineLevel="0" collapsed="false">
      <c r="B42" s="1" t="s">
        <v>655</v>
      </c>
      <c r="F42" s="57" t="s">
        <v>337</v>
      </c>
      <c r="G42" s="58" t="n">
        <v>1</v>
      </c>
      <c r="H42" s="59" t="n">
        <f aca="false">G42*8/$D$29</f>
        <v>0.266666666666667</v>
      </c>
      <c r="I42" s="1" t="n">
        <v>17.47</v>
      </c>
      <c r="J42" s="30" t="n">
        <f aca="false">H42*I42</f>
        <v>4.65866666666667</v>
      </c>
      <c r="K42" s="1" t="n">
        <v>49</v>
      </c>
    </row>
    <row r="43" customFormat="false" ht="15" hidden="false" customHeight="false" outlineLevel="0" collapsed="false">
      <c r="A43" s="62"/>
      <c r="B43" s="62"/>
      <c r="C43" s="62"/>
      <c r="D43" s="62"/>
      <c r="E43" s="62"/>
      <c r="F43" s="62"/>
      <c r="G43" s="62"/>
      <c r="H43" s="62"/>
      <c r="I43" s="83"/>
      <c r="J43" s="63" t="n">
        <f aca="false">ROUND(SUM(J41:J42),2)</f>
        <v>5.09</v>
      </c>
    </row>
    <row r="45" customFormat="false" ht="15" hidden="false" customHeight="false" outlineLevel="0" collapsed="false">
      <c r="A45" s="14" t="s">
        <v>276</v>
      </c>
      <c r="B45" s="14" t="str">
        <f aca="false">ESTRUCTURA!A8</f>
        <v>02.01.04</v>
      </c>
      <c r="C45" s="14" t="s">
        <v>463</v>
      </c>
      <c r="D45" s="14"/>
    </row>
    <row r="46" customFormat="false" ht="15" hidden="false" customHeight="false" outlineLevel="0" collapsed="false">
      <c r="A46" s="14" t="s">
        <v>277</v>
      </c>
      <c r="B46" s="14" t="s">
        <v>415</v>
      </c>
      <c r="C46" s="38" t="s">
        <v>279</v>
      </c>
      <c r="D46" s="54" t="n">
        <v>40</v>
      </c>
      <c r="E46" s="38" t="s">
        <v>280</v>
      </c>
      <c r="F46" s="54" t="n">
        <f aca="false">D46</f>
        <v>40</v>
      </c>
      <c r="G46" s="14" t="s">
        <v>281</v>
      </c>
      <c r="I46" s="38" t="s">
        <v>202</v>
      </c>
      <c r="J46" s="55" t="n">
        <f aca="false">J52+J55+J60</f>
        <v>19.79</v>
      </c>
    </row>
    <row r="47" customFormat="false" ht="15" hidden="false" customHeight="false" outlineLevel="0" collapsed="false">
      <c r="A47" s="14" t="s">
        <v>282</v>
      </c>
      <c r="B47" s="14" t="s">
        <v>283</v>
      </c>
      <c r="F47" s="38" t="s">
        <v>121</v>
      </c>
      <c r="G47" s="38" t="s">
        <v>284</v>
      </c>
      <c r="H47" s="38" t="s">
        <v>285</v>
      </c>
      <c r="I47" s="38" t="s">
        <v>286</v>
      </c>
      <c r="J47" s="38" t="s">
        <v>287</v>
      </c>
    </row>
    <row r="48" customFormat="false" ht="15" hidden="false" customHeight="false" outlineLevel="0" collapsed="false">
      <c r="B48" s="56" t="s">
        <v>288</v>
      </c>
    </row>
    <row r="49" customFormat="false" ht="15" hidden="false" customHeight="false" outlineLevel="0" collapsed="false">
      <c r="B49" s="1" t="s">
        <v>649</v>
      </c>
      <c r="F49" s="57" t="s">
        <v>290</v>
      </c>
      <c r="G49" s="58" t="n">
        <v>0.1</v>
      </c>
      <c r="H49" s="59" t="n">
        <f aca="false">G49*8/$D$46</f>
        <v>0.02</v>
      </c>
      <c r="I49" s="1" t="n">
        <v>34.73</v>
      </c>
      <c r="J49" s="30" t="n">
        <f aca="false">H49*I49</f>
        <v>0.6946</v>
      </c>
      <c r="K49" s="1" t="n">
        <v>47</v>
      </c>
    </row>
    <row r="50" customFormat="false" ht="15" hidden="false" customHeight="false" outlineLevel="0" collapsed="false">
      <c r="B50" s="1" t="s">
        <v>292</v>
      </c>
      <c r="F50" s="57" t="s">
        <v>290</v>
      </c>
      <c r="G50" s="58" t="n">
        <v>2</v>
      </c>
      <c r="H50" s="59" t="n">
        <f aca="false">G50*8/$D$46</f>
        <v>0.4</v>
      </c>
      <c r="I50" s="1" t="n">
        <v>20.51</v>
      </c>
      <c r="J50" s="30" t="n">
        <f aca="false">H50*I50</f>
        <v>8.204</v>
      </c>
      <c r="K50" s="1" t="n">
        <v>47</v>
      </c>
    </row>
    <row r="51" customFormat="false" ht="15" hidden="false" customHeight="false" outlineLevel="0" collapsed="false">
      <c r="B51" s="1" t="s">
        <v>651</v>
      </c>
      <c r="F51" s="57" t="s">
        <v>290</v>
      </c>
      <c r="G51" s="58" t="n">
        <v>1</v>
      </c>
      <c r="H51" s="59" t="n">
        <f aca="false">G51*8/$D$46</f>
        <v>0.2</v>
      </c>
      <c r="I51" s="1" t="n">
        <v>29.94</v>
      </c>
      <c r="J51" s="30" t="n">
        <f aca="false">H51*I51</f>
        <v>5.988</v>
      </c>
      <c r="K51" s="1" t="n">
        <v>47</v>
      </c>
    </row>
    <row r="52" customFormat="false" ht="15" hidden="false" customHeight="false" outlineLevel="0" collapsed="false">
      <c r="J52" s="55" t="n">
        <f aca="false">ROUND(SUM(J49:J51),2)</f>
        <v>14.89</v>
      </c>
    </row>
    <row r="53" customFormat="false" ht="15" hidden="false" customHeight="false" outlineLevel="0" collapsed="false">
      <c r="B53" s="56" t="s">
        <v>652</v>
      </c>
      <c r="F53" s="57"/>
      <c r="G53" s="58"/>
      <c r="H53" s="59"/>
      <c r="J53" s="30"/>
    </row>
    <row r="54" customFormat="false" ht="15" hidden="false" customHeight="false" outlineLevel="0" collapsed="false">
      <c r="B54" s="1" t="s">
        <v>654</v>
      </c>
      <c r="F54" s="57" t="s">
        <v>202</v>
      </c>
      <c r="G54" s="58"/>
      <c r="H54" s="59" t="n">
        <v>0.08</v>
      </c>
      <c r="I54" s="1" t="n">
        <v>6.14</v>
      </c>
      <c r="J54" s="30" t="n">
        <f aca="false">H54*I54</f>
        <v>0.4912</v>
      </c>
      <c r="K54" s="1" t="n">
        <v>30</v>
      </c>
    </row>
    <row r="55" customFormat="false" ht="15" hidden="false" customHeight="false" outlineLevel="0" collapsed="false">
      <c r="F55" s="57"/>
      <c r="H55" s="59"/>
      <c r="J55" s="55" t="n">
        <f aca="false">ROUND(SUM(J54:J54),2)</f>
        <v>0.49</v>
      </c>
    </row>
    <row r="56" customFormat="false" ht="15" hidden="false" customHeight="false" outlineLevel="0" collapsed="false">
      <c r="B56" s="56" t="s">
        <v>308</v>
      </c>
    </row>
    <row r="57" customFormat="false" ht="15" hidden="false" customHeight="false" outlineLevel="0" collapsed="false">
      <c r="B57" s="1" t="s">
        <v>309</v>
      </c>
      <c r="F57" s="57" t="s">
        <v>310</v>
      </c>
      <c r="H57" s="59" t="n">
        <v>5</v>
      </c>
      <c r="I57" s="30" t="n">
        <f aca="false">J52</f>
        <v>14.89</v>
      </c>
      <c r="J57" s="30" t="n">
        <f aca="false">H57%*I57</f>
        <v>0.7445</v>
      </c>
      <c r="K57" s="1" t="n">
        <v>37</v>
      </c>
    </row>
    <row r="58" customFormat="false" ht="15" hidden="false" customHeight="false" outlineLevel="0" collapsed="false">
      <c r="B58" s="1" t="s">
        <v>655</v>
      </c>
      <c r="F58" s="57" t="s">
        <v>337</v>
      </c>
      <c r="G58" s="58" t="n">
        <v>1</v>
      </c>
      <c r="H58" s="59" t="n">
        <f aca="false">G58*8/$D$46</f>
        <v>0.2</v>
      </c>
      <c r="I58" s="1" t="n">
        <v>17.47</v>
      </c>
      <c r="J58" s="30" t="n">
        <f aca="false">H58*I58</f>
        <v>3.494</v>
      </c>
      <c r="K58" s="1" t="n">
        <v>49</v>
      </c>
    </row>
    <row r="59" customFormat="false" ht="15" hidden="false" customHeight="false" outlineLevel="0" collapsed="false">
      <c r="B59" s="1" t="s">
        <v>656</v>
      </c>
      <c r="F59" s="57" t="s">
        <v>337</v>
      </c>
      <c r="G59" s="58" t="n">
        <v>0.05</v>
      </c>
      <c r="H59" s="59" t="n">
        <f aca="false">G59*8/$D$46</f>
        <v>0.01</v>
      </c>
      <c r="I59" s="1" t="n">
        <v>17.47</v>
      </c>
      <c r="J59" s="30" t="n">
        <f aca="false">H59*I59</f>
        <v>0.1747</v>
      </c>
      <c r="K59" s="1" t="n">
        <v>48</v>
      </c>
    </row>
    <row r="60" customFormat="false" ht="15" hidden="false" customHeight="false" outlineLevel="0" collapsed="false">
      <c r="A60" s="62"/>
      <c r="B60" s="62"/>
      <c r="C60" s="62"/>
      <c r="D60" s="62"/>
      <c r="E60" s="62"/>
      <c r="F60" s="62"/>
      <c r="G60" s="62"/>
      <c r="H60" s="62"/>
      <c r="I60" s="83"/>
      <c r="J60" s="63" t="n">
        <f aca="false">ROUND(SUM(J57:J59),2)</f>
        <v>4.41</v>
      </c>
    </row>
    <row r="62" customFormat="false" ht="15" hidden="false" customHeight="false" outlineLevel="0" collapsed="false">
      <c r="A62" s="14" t="s">
        <v>276</v>
      </c>
      <c r="B62" s="14" t="str">
        <f aca="false">ESTRUCTURA!A9</f>
        <v>02.01.05</v>
      </c>
      <c r="C62" s="14" t="s">
        <v>465</v>
      </c>
      <c r="D62" s="14"/>
    </row>
    <row r="63" customFormat="false" ht="15" hidden="false" customHeight="false" outlineLevel="0" collapsed="false">
      <c r="A63" s="14" t="s">
        <v>277</v>
      </c>
      <c r="B63" s="14" t="s">
        <v>278</v>
      </c>
      <c r="C63" s="38" t="s">
        <v>279</v>
      </c>
      <c r="D63" s="54" t="n">
        <v>500</v>
      </c>
      <c r="E63" s="38" t="s">
        <v>280</v>
      </c>
      <c r="F63" s="54" t="n">
        <f aca="false">D63</f>
        <v>500</v>
      </c>
      <c r="G63" s="14" t="s">
        <v>281</v>
      </c>
      <c r="I63" s="38" t="s">
        <v>132</v>
      </c>
      <c r="J63" s="55" t="n">
        <f aca="false">J69+J75</f>
        <v>7.98</v>
      </c>
    </row>
    <row r="64" customFormat="false" ht="15" hidden="false" customHeight="false" outlineLevel="0" collapsed="false">
      <c r="A64" s="14" t="s">
        <v>282</v>
      </c>
      <c r="B64" s="14" t="s">
        <v>283</v>
      </c>
      <c r="F64" s="38" t="s">
        <v>121</v>
      </c>
      <c r="G64" s="38" t="s">
        <v>284</v>
      </c>
      <c r="H64" s="38" t="s">
        <v>285</v>
      </c>
      <c r="I64" s="38" t="s">
        <v>286</v>
      </c>
      <c r="J64" s="38" t="s">
        <v>287</v>
      </c>
    </row>
    <row r="65" customFormat="false" ht="15" hidden="false" customHeight="false" outlineLevel="0" collapsed="false">
      <c r="B65" s="56" t="s">
        <v>288</v>
      </c>
    </row>
    <row r="66" customFormat="false" ht="15" hidden="false" customHeight="false" outlineLevel="0" collapsed="false">
      <c r="B66" s="1" t="s">
        <v>649</v>
      </c>
      <c r="F66" s="57" t="s">
        <v>290</v>
      </c>
      <c r="G66" s="58" t="n">
        <v>1</v>
      </c>
      <c r="H66" s="59" t="n">
        <f aca="false">G66*8/$D$63</f>
        <v>0.016</v>
      </c>
      <c r="I66" s="1" t="n">
        <v>34.73</v>
      </c>
      <c r="J66" s="30" t="n">
        <f aca="false">H66*I66</f>
        <v>0.55568</v>
      </c>
      <c r="K66" s="1" t="n">
        <v>47</v>
      </c>
    </row>
    <row r="67" customFormat="false" ht="15" hidden="false" customHeight="false" outlineLevel="0" collapsed="false">
      <c r="B67" s="1" t="s">
        <v>291</v>
      </c>
      <c r="F67" s="57" t="s">
        <v>290</v>
      </c>
      <c r="G67" s="58" t="n">
        <v>1</v>
      </c>
      <c r="H67" s="59" t="n">
        <f aca="false">G67*8/$D$63</f>
        <v>0.016</v>
      </c>
      <c r="I67" s="1" t="n">
        <v>22.66</v>
      </c>
      <c r="J67" s="30" t="n">
        <f aca="false">H67*I67</f>
        <v>0.36256</v>
      </c>
      <c r="K67" s="1" t="n">
        <v>47</v>
      </c>
    </row>
    <row r="68" customFormat="false" ht="15" hidden="false" customHeight="false" outlineLevel="0" collapsed="false">
      <c r="B68" s="1" t="s">
        <v>292</v>
      </c>
      <c r="F68" s="57" t="s">
        <v>290</v>
      </c>
      <c r="G68" s="58" t="n">
        <v>3</v>
      </c>
      <c r="H68" s="59" t="n">
        <f aca="false">G68*8/$D$63</f>
        <v>0.048</v>
      </c>
      <c r="I68" s="1" t="n">
        <v>20.51</v>
      </c>
      <c r="J68" s="30" t="n">
        <f aca="false">H68*I68</f>
        <v>0.98448</v>
      </c>
      <c r="K68" s="1" t="n">
        <v>47</v>
      </c>
    </row>
    <row r="69" customFormat="false" ht="15" hidden="false" customHeight="false" outlineLevel="0" collapsed="false">
      <c r="J69" s="55" t="n">
        <f aca="false">ROUND(SUM(J66:J68),2)</f>
        <v>1.9</v>
      </c>
    </row>
    <row r="70" customFormat="false" ht="15" hidden="false" customHeight="false" outlineLevel="0" collapsed="false">
      <c r="B70" s="56" t="s">
        <v>308</v>
      </c>
    </row>
    <row r="71" customFormat="false" ht="15" hidden="false" customHeight="false" outlineLevel="0" collapsed="false">
      <c r="B71" s="1" t="s">
        <v>309</v>
      </c>
      <c r="F71" s="57" t="s">
        <v>310</v>
      </c>
      <c r="H71" s="59" t="n">
        <v>5</v>
      </c>
      <c r="I71" s="30" t="n">
        <f aca="false">J69</f>
        <v>1.9</v>
      </c>
      <c r="J71" s="30" t="n">
        <f aca="false">H71%*I71</f>
        <v>0.095</v>
      </c>
      <c r="K71" s="1" t="n">
        <v>37</v>
      </c>
    </row>
    <row r="72" customFormat="false" ht="15" hidden="false" customHeight="false" outlineLevel="0" collapsed="false">
      <c r="B72" s="1" t="s">
        <v>655</v>
      </c>
      <c r="F72" s="57" t="s">
        <v>337</v>
      </c>
      <c r="G72" s="58" t="n">
        <v>1</v>
      </c>
      <c r="H72" s="59" t="n">
        <f aca="false">G72*8/$D$63</f>
        <v>0.016</v>
      </c>
      <c r="I72" s="1" t="n">
        <v>17.47</v>
      </c>
      <c r="J72" s="30" t="n">
        <f aca="false">H72*I72</f>
        <v>0.27952</v>
      </c>
      <c r="K72" s="1" t="n">
        <v>49</v>
      </c>
    </row>
    <row r="73" customFormat="false" ht="15" hidden="false" customHeight="false" outlineLevel="0" collapsed="false">
      <c r="B73" s="1" t="s">
        <v>657</v>
      </c>
      <c r="F73" s="57" t="s">
        <v>337</v>
      </c>
      <c r="G73" s="58" t="n">
        <v>1</v>
      </c>
      <c r="H73" s="59" t="n">
        <f aca="false">G73*8/$D$63</f>
        <v>0.016</v>
      </c>
      <c r="I73" s="1" t="n">
        <v>136.06</v>
      </c>
      <c r="J73" s="30" t="n">
        <f aca="false">H73*I73</f>
        <v>2.17696</v>
      </c>
      <c r="K73" s="1" t="n">
        <v>49</v>
      </c>
    </row>
    <row r="74" customFormat="false" ht="15" hidden="false" customHeight="false" outlineLevel="0" collapsed="false">
      <c r="B74" s="1" t="s">
        <v>658</v>
      </c>
      <c r="F74" s="57" t="s">
        <v>337</v>
      </c>
      <c r="G74" s="58" t="n">
        <v>1</v>
      </c>
      <c r="H74" s="59" t="n">
        <f aca="false">G74*8/$D$63</f>
        <v>0.016</v>
      </c>
      <c r="I74" s="1" t="n">
        <v>220.52</v>
      </c>
      <c r="J74" s="30" t="n">
        <f aca="false">H74*I74</f>
        <v>3.52832</v>
      </c>
      <c r="K74" s="1" t="n">
        <v>48</v>
      </c>
    </row>
    <row r="75" customFormat="false" ht="15" hidden="false" customHeight="false" outlineLevel="0" collapsed="false">
      <c r="A75" s="62"/>
      <c r="B75" s="62"/>
      <c r="C75" s="62"/>
      <c r="D75" s="62"/>
      <c r="E75" s="62"/>
      <c r="F75" s="62"/>
      <c r="G75" s="62"/>
      <c r="H75" s="62"/>
      <c r="I75" s="83"/>
      <c r="J75" s="63" t="n">
        <f aca="false">ROUND(SUM(J71:J74),2)</f>
        <v>6.08</v>
      </c>
    </row>
    <row r="77" customFormat="false" ht="15" hidden="false" customHeight="false" outlineLevel="0" collapsed="false">
      <c r="A77" s="14" t="s">
        <v>276</v>
      </c>
      <c r="B77" s="14" t="str">
        <f aca="false">ESTRUCTURA!A10</f>
        <v>02.01.06</v>
      </c>
      <c r="C77" s="14" t="s">
        <v>467</v>
      </c>
      <c r="D77" s="14"/>
    </row>
    <row r="78" customFormat="false" ht="15" hidden="false" customHeight="false" outlineLevel="0" collapsed="false">
      <c r="A78" s="14" t="s">
        <v>277</v>
      </c>
      <c r="B78" s="14" t="s">
        <v>313</v>
      </c>
      <c r="C78" s="38" t="s">
        <v>279</v>
      </c>
      <c r="D78" s="54" t="n">
        <v>80</v>
      </c>
      <c r="E78" s="38" t="s">
        <v>280</v>
      </c>
      <c r="F78" s="54" t="n">
        <f aca="false">D78</f>
        <v>80</v>
      </c>
      <c r="G78" s="14" t="s">
        <v>281</v>
      </c>
      <c r="I78" s="38" t="s">
        <v>143</v>
      </c>
      <c r="J78" s="55" t="n">
        <f aca="false">J82+J86</f>
        <v>12.11</v>
      </c>
    </row>
    <row r="79" customFormat="false" ht="15" hidden="false" customHeight="false" outlineLevel="0" collapsed="false">
      <c r="A79" s="14" t="s">
        <v>282</v>
      </c>
      <c r="B79" s="14" t="s">
        <v>283</v>
      </c>
      <c r="F79" s="38" t="s">
        <v>121</v>
      </c>
      <c r="G79" s="38" t="s">
        <v>284</v>
      </c>
      <c r="H79" s="38" t="s">
        <v>285</v>
      </c>
      <c r="I79" s="38" t="s">
        <v>286</v>
      </c>
      <c r="J79" s="38" t="s">
        <v>287</v>
      </c>
    </row>
    <row r="80" customFormat="false" ht="15" hidden="false" customHeight="false" outlineLevel="0" collapsed="false">
      <c r="B80" s="56" t="s">
        <v>288</v>
      </c>
    </row>
    <row r="81" customFormat="false" ht="15" hidden="false" customHeight="false" outlineLevel="0" collapsed="false">
      <c r="B81" s="1" t="s">
        <v>292</v>
      </c>
      <c r="F81" s="57" t="s">
        <v>290</v>
      </c>
      <c r="G81" s="58" t="n">
        <v>1</v>
      </c>
      <c r="H81" s="59" t="n">
        <f aca="false">G81*8/$D$78</f>
        <v>0.1</v>
      </c>
      <c r="I81" s="1" t="n">
        <v>20.51</v>
      </c>
      <c r="J81" s="30" t="n">
        <f aca="false">H81*I81</f>
        <v>2.051</v>
      </c>
      <c r="K81" s="1" t="n">
        <v>47</v>
      </c>
    </row>
    <row r="82" customFormat="false" ht="15" hidden="false" customHeight="false" outlineLevel="0" collapsed="false">
      <c r="F82" s="57"/>
      <c r="G82" s="58"/>
      <c r="H82" s="59"/>
      <c r="J82" s="55" t="n">
        <f aca="false">ROUND(SUM(J81:J81),2)</f>
        <v>2.05</v>
      </c>
    </row>
    <row r="83" customFormat="false" ht="15" hidden="false" customHeight="false" outlineLevel="0" collapsed="false">
      <c r="B83" s="56" t="s">
        <v>308</v>
      </c>
    </row>
    <row r="84" customFormat="false" ht="15" hidden="false" customHeight="false" outlineLevel="0" collapsed="false">
      <c r="B84" s="1" t="s">
        <v>309</v>
      </c>
      <c r="F84" s="57" t="s">
        <v>310</v>
      </c>
      <c r="H84" s="59" t="n">
        <v>3</v>
      </c>
      <c r="I84" s="30" t="n">
        <f aca="false">J82</f>
        <v>2.05</v>
      </c>
      <c r="J84" s="30" t="n">
        <f aca="false">H84%*I84</f>
        <v>0.0615</v>
      </c>
      <c r="K84" s="1" t="n">
        <v>37</v>
      </c>
    </row>
    <row r="85" customFormat="false" ht="15" hidden="false" customHeight="false" outlineLevel="0" collapsed="false">
      <c r="B85" s="1" t="s">
        <v>659</v>
      </c>
      <c r="F85" s="57" t="s">
        <v>337</v>
      </c>
      <c r="G85" s="58" t="n">
        <v>1</v>
      </c>
      <c r="H85" s="59" t="n">
        <f aca="false">G85*8/$D$78</f>
        <v>0.1</v>
      </c>
      <c r="I85" s="1" t="n">
        <v>100</v>
      </c>
      <c r="J85" s="30" t="n">
        <f aca="false">H85*I85</f>
        <v>10</v>
      </c>
      <c r="K85" s="1" t="n">
        <v>48</v>
      </c>
    </row>
    <row r="86" customFormat="false" ht="15" hidden="false" customHeight="false" outlineLevel="0" collapsed="false">
      <c r="A86" s="62"/>
      <c r="B86" s="62"/>
      <c r="C86" s="62"/>
      <c r="D86" s="62"/>
      <c r="E86" s="62"/>
      <c r="F86" s="62"/>
      <c r="G86" s="62"/>
      <c r="H86" s="62"/>
      <c r="I86" s="83"/>
      <c r="J86" s="63" t="n">
        <f aca="false">ROUND(SUM(J84:J85),2)</f>
        <v>10.06</v>
      </c>
    </row>
    <row r="88" customFormat="false" ht="15" hidden="false" customHeight="false" outlineLevel="0" collapsed="false">
      <c r="A88" s="14" t="s">
        <v>276</v>
      </c>
      <c r="B88" s="14" t="str">
        <f aca="false">ESTRUCTURA!A11</f>
        <v>02.01.07</v>
      </c>
      <c r="C88" s="14" t="s">
        <v>469</v>
      </c>
      <c r="D88" s="14"/>
    </row>
    <row r="89" customFormat="false" ht="15" hidden="false" customHeight="false" outlineLevel="0" collapsed="false">
      <c r="A89" s="14" t="s">
        <v>277</v>
      </c>
      <c r="B89" s="14" t="s">
        <v>415</v>
      </c>
      <c r="C89" s="38" t="s">
        <v>279</v>
      </c>
      <c r="D89" s="54" t="n">
        <v>187.5</v>
      </c>
      <c r="E89" s="38" t="s">
        <v>280</v>
      </c>
      <c r="F89" s="54" t="n">
        <f aca="false">D89</f>
        <v>187.5</v>
      </c>
      <c r="G89" s="14" t="s">
        <v>281</v>
      </c>
      <c r="I89" s="38" t="s">
        <v>202</v>
      </c>
      <c r="J89" s="55" t="n">
        <f aca="false">J94+J99</f>
        <v>22.87</v>
      </c>
    </row>
    <row r="90" customFormat="false" ht="15" hidden="false" customHeight="false" outlineLevel="0" collapsed="false">
      <c r="A90" s="14" t="s">
        <v>282</v>
      </c>
      <c r="B90" s="14" t="s">
        <v>283</v>
      </c>
      <c r="F90" s="38" t="s">
        <v>121</v>
      </c>
      <c r="G90" s="38" t="s">
        <v>284</v>
      </c>
      <c r="H90" s="38" t="s">
        <v>285</v>
      </c>
      <c r="I90" s="38" t="s">
        <v>286</v>
      </c>
      <c r="J90" s="38" t="s">
        <v>287</v>
      </c>
    </row>
    <row r="91" customFormat="false" ht="15" hidden="false" customHeight="false" outlineLevel="0" collapsed="false">
      <c r="B91" s="56" t="s">
        <v>288</v>
      </c>
    </row>
    <row r="92" customFormat="false" ht="15" hidden="false" customHeight="false" outlineLevel="0" collapsed="false">
      <c r="B92" s="1" t="s">
        <v>291</v>
      </c>
      <c r="F92" s="57" t="s">
        <v>290</v>
      </c>
      <c r="G92" s="58" t="n">
        <v>1</v>
      </c>
      <c r="H92" s="59" t="n">
        <f aca="false">G92*8/$D$89</f>
        <v>0.0426666666666667</v>
      </c>
      <c r="I92" s="1" t="n">
        <v>22.66</v>
      </c>
      <c r="J92" s="30" t="n">
        <f aca="false">H92*I92</f>
        <v>0.966826666666667</v>
      </c>
      <c r="K92" s="1" t="n">
        <v>47</v>
      </c>
    </row>
    <row r="93" customFormat="false" ht="15" hidden="false" customHeight="false" outlineLevel="0" collapsed="false">
      <c r="B93" s="1" t="s">
        <v>292</v>
      </c>
      <c r="F93" s="57" t="s">
        <v>290</v>
      </c>
      <c r="G93" s="58" t="n">
        <v>1</v>
      </c>
      <c r="H93" s="59" t="n">
        <f aca="false">G93*8/$D$89</f>
        <v>0.0426666666666667</v>
      </c>
      <c r="I93" s="1" t="n">
        <v>20.51</v>
      </c>
      <c r="J93" s="30" t="n">
        <f aca="false">H93*I93</f>
        <v>0.875093333333333</v>
      </c>
      <c r="K93" s="1" t="n">
        <v>47</v>
      </c>
    </row>
    <row r="94" customFormat="false" ht="15" hidden="false" customHeight="false" outlineLevel="0" collapsed="false">
      <c r="F94" s="57"/>
      <c r="G94" s="58"/>
      <c r="H94" s="59"/>
      <c r="J94" s="55" t="n">
        <f aca="false">ROUND(SUM(J92:J93),2)</f>
        <v>1.84</v>
      </c>
    </row>
    <row r="95" customFormat="false" ht="15" hidden="false" customHeight="false" outlineLevel="0" collapsed="false">
      <c r="B95" s="56" t="s">
        <v>308</v>
      </c>
    </row>
    <row r="96" customFormat="false" ht="15" hidden="false" customHeight="false" outlineLevel="0" collapsed="false">
      <c r="B96" s="1" t="s">
        <v>309</v>
      </c>
      <c r="F96" s="57" t="s">
        <v>310</v>
      </c>
      <c r="H96" s="59" t="n">
        <v>3</v>
      </c>
      <c r="I96" s="30" t="n">
        <f aca="false">J94</f>
        <v>1.84</v>
      </c>
      <c r="J96" s="30" t="n">
        <f aca="false">H96%*I96</f>
        <v>0.0552</v>
      </c>
      <c r="K96" s="1" t="n">
        <v>37</v>
      </c>
    </row>
    <row r="97" customFormat="false" ht="15" hidden="false" customHeight="false" outlineLevel="0" collapsed="false">
      <c r="B97" s="1" t="s">
        <v>660</v>
      </c>
      <c r="F97" s="57" t="s">
        <v>337</v>
      </c>
      <c r="G97" s="58" t="n">
        <v>1</v>
      </c>
      <c r="H97" s="59" t="n">
        <f aca="false">G97*8/$D$89</f>
        <v>0.0426666666666667</v>
      </c>
      <c r="I97" s="65" t="n">
        <v>118.64</v>
      </c>
      <c r="J97" s="30" t="n">
        <f aca="false">H97*I97</f>
        <v>5.06197333333333</v>
      </c>
      <c r="K97" s="1" t="n">
        <v>48</v>
      </c>
    </row>
    <row r="98" customFormat="false" ht="15" hidden="false" customHeight="false" outlineLevel="0" collapsed="false">
      <c r="B98" s="1" t="s">
        <v>661</v>
      </c>
      <c r="F98" s="57" t="s">
        <v>337</v>
      </c>
      <c r="G98" s="58" t="n">
        <v>2</v>
      </c>
      <c r="H98" s="59" t="n">
        <f aca="false">G98*8/$D$89</f>
        <v>0.0853333333333333</v>
      </c>
      <c r="I98" s="65" t="n">
        <v>186.44</v>
      </c>
      <c r="J98" s="30" t="n">
        <f aca="false">H98*I98</f>
        <v>15.9095466666667</v>
      </c>
      <c r="K98" s="1" t="n">
        <v>48</v>
      </c>
    </row>
    <row r="99" customFormat="false" ht="15" hidden="false" customHeight="false" outlineLevel="0" collapsed="false">
      <c r="A99" s="62"/>
      <c r="B99" s="62"/>
      <c r="C99" s="62"/>
      <c r="D99" s="62"/>
      <c r="E99" s="62"/>
      <c r="F99" s="62"/>
      <c r="G99" s="62"/>
      <c r="H99" s="62"/>
      <c r="I99" s="83"/>
      <c r="J99" s="63" t="n">
        <f aca="false">ROUND(SUM(J96:J98),2)</f>
        <v>21.03</v>
      </c>
    </row>
    <row r="100" customFormat="false" ht="15" hidden="false" customHeight="false" outlineLevel="0" collapsed="false">
      <c r="I100" s="14"/>
      <c r="J100" s="55"/>
    </row>
    <row r="101" customFormat="false" ht="15" hidden="false" customHeight="false" outlineLevel="0" collapsed="false">
      <c r="A101" s="14" t="s">
        <v>276</v>
      </c>
      <c r="B101" s="14" t="str">
        <f aca="false">ESTRUCTURA!A12</f>
        <v>02.01.08</v>
      </c>
      <c r="C101" s="14" t="s">
        <v>471</v>
      </c>
      <c r="E101" s="14"/>
      <c r="F101" s="14"/>
      <c r="G101" s="14"/>
      <c r="H101" s="14"/>
      <c r="I101" s="14"/>
    </row>
    <row r="102" customFormat="false" ht="15" hidden="false" customHeight="false" outlineLevel="0" collapsed="false">
      <c r="A102" s="14" t="s">
        <v>277</v>
      </c>
      <c r="B102" s="14" t="s">
        <v>278</v>
      </c>
      <c r="C102" s="38" t="s">
        <v>279</v>
      </c>
      <c r="D102" s="54" t="n">
        <v>500</v>
      </c>
      <c r="E102" s="38" t="s">
        <v>280</v>
      </c>
      <c r="F102" s="54" t="n">
        <f aca="false">D102</f>
        <v>500</v>
      </c>
      <c r="G102" s="14" t="s">
        <v>281</v>
      </c>
      <c r="I102" s="38" t="s">
        <v>132</v>
      </c>
      <c r="J102" s="55" t="n">
        <f aca="false">J108+J114</f>
        <v>7.98</v>
      </c>
    </row>
    <row r="103" customFormat="false" ht="15" hidden="false" customHeight="false" outlineLevel="0" collapsed="false">
      <c r="A103" s="14" t="s">
        <v>282</v>
      </c>
      <c r="B103" s="14" t="s">
        <v>283</v>
      </c>
      <c r="F103" s="38" t="s">
        <v>121</v>
      </c>
      <c r="G103" s="38" t="s">
        <v>284</v>
      </c>
      <c r="H103" s="38" t="s">
        <v>285</v>
      </c>
      <c r="I103" s="38" t="s">
        <v>286</v>
      </c>
      <c r="J103" s="38" t="s">
        <v>287</v>
      </c>
    </row>
    <row r="104" customFormat="false" ht="15" hidden="false" customHeight="false" outlineLevel="0" collapsed="false">
      <c r="B104" s="56" t="s">
        <v>288</v>
      </c>
    </row>
    <row r="105" customFormat="false" ht="15" hidden="false" customHeight="false" outlineLevel="0" collapsed="false">
      <c r="B105" s="1" t="s">
        <v>649</v>
      </c>
      <c r="F105" s="57" t="s">
        <v>290</v>
      </c>
      <c r="G105" s="58" t="n">
        <v>1</v>
      </c>
      <c r="H105" s="59" t="n">
        <f aca="false">G105*8/$D$102</f>
        <v>0.016</v>
      </c>
      <c r="I105" s="1" t="n">
        <v>34.73</v>
      </c>
      <c r="J105" s="30" t="n">
        <f aca="false">H105*I105</f>
        <v>0.55568</v>
      </c>
      <c r="K105" s="1" t="n">
        <v>47</v>
      </c>
    </row>
    <row r="106" customFormat="false" ht="15" hidden="false" customHeight="false" outlineLevel="0" collapsed="false">
      <c r="B106" s="1" t="s">
        <v>291</v>
      </c>
      <c r="F106" s="57" t="s">
        <v>290</v>
      </c>
      <c r="G106" s="58" t="n">
        <v>1</v>
      </c>
      <c r="H106" s="59" t="n">
        <f aca="false">G106*8/$D$102</f>
        <v>0.016</v>
      </c>
      <c r="I106" s="1" t="n">
        <v>22.66</v>
      </c>
      <c r="J106" s="30" t="n">
        <f aca="false">H106*I106</f>
        <v>0.36256</v>
      </c>
      <c r="K106" s="1" t="n">
        <v>47</v>
      </c>
    </row>
    <row r="107" customFormat="false" ht="15" hidden="false" customHeight="false" outlineLevel="0" collapsed="false">
      <c r="B107" s="1" t="s">
        <v>292</v>
      </c>
      <c r="F107" s="57" t="s">
        <v>290</v>
      </c>
      <c r="G107" s="58" t="n">
        <v>3</v>
      </c>
      <c r="H107" s="59" t="n">
        <f aca="false">G107*8/$D$102</f>
        <v>0.048</v>
      </c>
      <c r="I107" s="1" t="n">
        <v>20.51</v>
      </c>
      <c r="J107" s="30" t="n">
        <f aca="false">H107*I107</f>
        <v>0.98448</v>
      </c>
      <c r="K107" s="1" t="n">
        <v>47</v>
      </c>
    </row>
    <row r="108" customFormat="false" ht="15" hidden="false" customHeight="false" outlineLevel="0" collapsed="false">
      <c r="F108" s="57"/>
      <c r="J108" s="55" t="n">
        <f aca="false">ROUND(SUM(J105:J107),2)</f>
        <v>1.9</v>
      </c>
    </row>
    <row r="109" customFormat="false" ht="15" hidden="false" customHeight="false" outlineLevel="0" collapsed="false">
      <c r="B109" s="56" t="s">
        <v>317</v>
      </c>
      <c r="F109" s="57"/>
      <c r="G109" s="58"/>
    </row>
    <row r="110" customFormat="false" ht="15" hidden="false" customHeight="false" outlineLevel="0" collapsed="false">
      <c r="B110" s="1" t="s">
        <v>309</v>
      </c>
      <c r="F110" s="57" t="s">
        <v>310</v>
      </c>
      <c r="H110" s="59" t="n">
        <v>5</v>
      </c>
      <c r="I110" s="30" t="n">
        <f aca="false">J108</f>
        <v>1.9</v>
      </c>
      <c r="J110" s="30" t="n">
        <f aca="false">H110%*I110</f>
        <v>0.095</v>
      </c>
      <c r="K110" s="1" t="n">
        <v>37</v>
      </c>
    </row>
    <row r="111" customFormat="false" ht="15" hidden="false" customHeight="false" outlineLevel="0" collapsed="false">
      <c r="B111" s="1" t="s">
        <v>655</v>
      </c>
      <c r="F111" s="57" t="s">
        <v>337</v>
      </c>
      <c r="G111" s="58" t="n">
        <v>1</v>
      </c>
      <c r="H111" s="59" t="n">
        <f aca="false">G111*8/$D$102</f>
        <v>0.016</v>
      </c>
      <c r="I111" s="1" t="n">
        <v>17.47</v>
      </c>
      <c r="J111" s="30" t="n">
        <f aca="false">H111*I111</f>
        <v>0.27952</v>
      </c>
      <c r="K111" s="1" t="n">
        <v>49</v>
      </c>
    </row>
    <row r="112" customFormat="false" ht="15" hidden="false" customHeight="false" outlineLevel="0" collapsed="false">
      <c r="B112" s="1" t="s">
        <v>657</v>
      </c>
      <c r="F112" s="57" t="s">
        <v>337</v>
      </c>
      <c r="G112" s="58" t="n">
        <v>1</v>
      </c>
      <c r="H112" s="59" t="n">
        <f aca="false">G112*8/$D$102</f>
        <v>0.016</v>
      </c>
      <c r="I112" s="1" t="n">
        <v>136.06</v>
      </c>
      <c r="J112" s="30" t="n">
        <f aca="false">H112*I112</f>
        <v>2.17696</v>
      </c>
      <c r="K112" s="1" t="n">
        <v>49</v>
      </c>
    </row>
    <row r="113" customFormat="false" ht="15" hidden="false" customHeight="false" outlineLevel="0" collapsed="false">
      <c r="B113" s="1" t="s">
        <v>658</v>
      </c>
      <c r="C113" s="84"/>
      <c r="D113" s="84"/>
      <c r="E113" s="84"/>
      <c r="F113" s="57" t="s">
        <v>337</v>
      </c>
      <c r="G113" s="58" t="n">
        <v>1</v>
      </c>
      <c r="H113" s="59" t="n">
        <f aca="false">G113*8/$D$102</f>
        <v>0.016</v>
      </c>
      <c r="I113" s="1" t="n">
        <v>220.52</v>
      </c>
      <c r="J113" s="30" t="n">
        <f aca="false">H113*I113</f>
        <v>3.52832</v>
      </c>
      <c r="K113" s="1" t="n">
        <v>48</v>
      </c>
    </row>
    <row r="114" customFormat="false" ht="15" hidden="false" customHeight="false" outlineLevel="0" collapsed="false">
      <c r="A114" s="62"/>
      <c r="B114" s="62"/>
      <c r="C114" s="62"/>
      <c r="D114" s="62"/>
      <c r="E114" s="62"/>
      <c r="F114" s="62"/>
      <c r="G114" s="62"/>
      <c r="H114" s="62"/>
      <c r="I114" s="62"/>
      <c r="J114" s="63" t="n">
        <f aca="false">ROUND(SUM(J110:J113),2)</f>
        <v>6.08</v>
      </c>
    </row>
    <row r="115" customFormat="false" ht="15" hidden="false" customHeight="false" outlineLevel="0" collapsed="false">
      <c r="I115" s="14"/>
      <c r="J115" s="55"/>
    </row>
    <row r="116" customFormat="false" ht="15" hidden="false" customHeight="false" outlineLevel="0" collapsed="false">
      <c r="A116" s="14" t="s">
        <v>276</v>
      </c>
      <c r="B116" s="14" t="str">
        <f aca="false">ESTRUCTURA!A13</f>
        <v>02.01.09</v>
      </c>
      <c r="C116" s="14" t="s">
        <v>473</v>
      </c>
      <c r="D116" s="14"/>
      <c r="E116" s="14"/>
      <c r="F116" s="14"/>
      <c r="G116" s="14"/>
      <c r="H116" s="14"/>
      <c r="I116" s="14"/>
    </row>
    <row r="117" customFormat="false" ht="15" hidden="false" customHeight="false" outlineLevel="0" collapsed="false">
      <c r="A117" s="14" t="s">
        <v>277</v>
      </c>
      <c r="B117" s="14" t="s">
        <v>325</v>
      </c>
      <c r="C117" s="38" t="s">
        <v>279</v>
      </c>
      <c r="D117" s="54" t="n">
        <v>25</v>
      </c>
      <c r="E117" s="38" t="s">
        <v>280</v>
      </c>
      <c r="F117" s="54" t="n">
        <f aca="false">D117</f>
        <v>25</v>
      </c>
      <c r="G117" s="14" t="s">
        <v>281</v>
      </c>
      <c r="I117" s="38" t="s">
        <v>148</v>
      </c>
      <c r="J117" s="55" t="n">
        <f aca="false">J123+J127+J131</f>
        <v>76.89</v>
      </c>
    </row>
    <row r="118" customFormat="false" ht="15" hidden="false" customHeight="false" outlineLevel="0" collapsed="false">
      <c r="A118" s="14" t="s">
        <v>282</v>
      </c>
      <c r="B118" s="14" t="s">
        <v>283</v>
      </c>
      <c r="F118" s="38" t="s">
        <v>121</v>
      </c>
      <c r="G118" s="38" t="s">
        <v>284</v>
      </c>
      <c r="H118" s="38" t="s">
        <v>285</v>
      </c>
      <c r="I118" s="38" t="s">
        <v>286</v>
      </c>
      <c r="J118" s="38" t="s">
        <v>287</v>
      </c>
    </row>
    <row r="119" customFormat="false" ht="15" hidden="false" customHeight="false" outlineLevel="0" collapsed="false">
      <c r="B119" s="56" t="s">
        <v>288</v>
      </c>
    </row>
    <row r="120" customFormat="false" ht="15" hidden="false" customHeight="false" outlineLevel="0" collapsed="false">
      <c r="B120" s="1" t="s">
        <v>649</v>
      </c>
      <c r="F120" s="57" t="s">
        <v>290</v>
      </c>
      <c r="G120" s="58" t="n">
        <v>0.1</v>
      </c>
      <c r="H120" s="59" t="n">
        <f aca="false">G120*8/$D$117</f>
        <v>0.032</v>
      </c>
      <c r="I120" s="30" t="n">
        <v>34.73</v>
      </c>
      <c r="J120" s="30" t="n">
        <f aca="false">H120*I120</f>
        <v>1.11136</v>
      </c>
      <c r="K120" s="1" t="n">
        <v>47</v>
      </c>
    </row>
    <row r="121" customFormat="false" ht="15" hidden="false" customHeight="false" outlineLevel="0" collapsed="false">
      <c r="B121" s="1" t="s">
        <v>651</v>
      </c>
      <c r="F121" s="57" t="s">
        <v>290</v>
      </c>
      <c r="G121" s="58" t="n">
        <v>1</v>
      </c>
      <c r="H121" s="59" t="n">
        <f aca="false">G121*8/$D$117</f>
        <v>0.32</v>
      </c>
      <c r="I121" s="30" t="n">
        <v>29.94</v>
      </c>
      <c r="J121" s="30" t="n">
        <f aca="false">H121*I121</f>
        <v>9.5808</v>
      </c>
      <c r="K121" s="1" t="n">
        <v>47</v>
      </c>
    </row>
    <row r="122" customFormat="false" ht="15" hidden="false" customHeight="false" outlineLevel="0" collapsed="false">
      <c r="B122" s="1" t="s">
        <v>292</v>
      </c>
      <c r="F122" s="57" t="s">
        <v>290</v>
      </c>
      <c r="G122" s="58" t="n">
        <v>2</v>
      </c>
      <c r="H122" s="59" t="n">
        <f aca="false">G122*8/$D$117</f>
        <v>0.64</v>
      </c>
      <c r="I122" s="30" t="n">
        <v>20.51</v>
      </c>
      <c r="J122" s="30" t="n">
        <f aca="false">H122*I122</f>
        <v>13.1264</v>
      </c>
      <c r="K122" s="1" t="n">
        <v>47</v>
      </c>
    </row>
    <row r="123" customFormat="false" ht="15" hidden="false" customHeight="false" outlineLevel="0" collapsed="false">
      <c r="F123" s="57"/>
      <c r="J123" s="55" t="n">
        <f aca="false">ROUND(SUM(J120:J122),2)</f>
        <v>23.82</v>
      </c>
    </row>
    <row r="124" customFormat="false" ht="15" hidden="false" customHeight="false" outlineLevel="0" collapsed="false">
      <c r="B124" s="56" t="s">
        <v>293</v>
      </c>
      <c r="F124" s="57"/>
      <c r="H124" s="59"/>
      <c r="I124" s="59"/>
    </row>
    <row r="125" customFormat="false" ht="15" hidden="false" customHeight="false" outlineLevel="0" collapsed="false">
      <c r="B125" s="1" t="s">
        <v>662</v>
      </c>
      <c r="F125" s="57" t="s">
        <v>202</v>
      </c>
      <c r="H125" s="59" t="n">
        <v>0.08</v>
      </c>
      <c r="I125" s="30" t="n">
        <v>6.14</v>
      </c>
      <c r="J125" s="30" t="n">
        <f aca="false">H125*I125</f>
        <v>0.4912</v>
      </c>
      <c r="K125" s="1" t="n">
        <v>30</v>
      </c>
    </row>
    <row r="126" customFormat="false" ht="15" hidden="false" customHeight="false" outlineLevel="0" collapsed="false">
      <c r="B126" s="1" t="s">
        <v>653</v>
      </c>
      <c r="F126" s="57" t="s">
        <v>202</v>
      </c>
      <c r="H126" s="59" t="n">
        <v>1.05</v>
      </c>
      <c r="I126" s="30" t="n">
        <v>44.07</v>
      </c>
      <c r="J126" s="30" t="n">
        <f aca="false">H126*I126</f>
        <v>46.2735</v>
      </c>
      <c r="K126" s="1" t="n">
        <v>5</v>
      </c>
    </row>
    <row r="127" customFormat="false" ht="15" hidden="false" customHeight="false" outlineLevel="0" collapsed="false">
      <c r="F127" s="57"/>
      <c r="H127" s="59"/>
      <c r="I127" s="59"/>
      <c r="J127" s="55" t="n">
        <f aca="false">ROUND(SUM(J125:J126),2)</f>
        <v>46.76</v>
      </c>
    </row>
    <row r="128" customFormat="false" ht="15" hidden="false" customHeight="false" outlineLevel="0" collapsed="false">
      <c r="B128" s="56" t="s">
        <v>317</v>
      </c>
      <c r="F128" s="57"/>
      <c r="G128" s="58"/>
    </row>
    <row r="129" customFormat="false" ht="15" hidden="false" customHeight="false" outlineLevel="0" collapsed="false">
      <c r="B129" s="1" t="s">
        <v>309</v>
      </c>
      <c r="F129" s="57" t="s">
        <v>310</v>
      </c>
      <c r="G129" s="58"/>
      <c r="H129" s="59" t="n">
        <v>3</v>
      </c>
      <c r="I129" s="30" t="n">
        <f aca="false">J123</f>
        <v>23.82</v>
      </c>
      <c r="J129" s="30" t="n">
        <f aca="false">H129%*I129</f>
        <v>0.7146</v>
      </c>
      <c r="K129" s="1" t="n">
        <v>37</v>
      </c>
    </row>
    <row r="130" customFormat="false" ht="15" hidden="false" customHeight="false" outlineLevel="0" collapsed="false">
      <c r="B130" s="1" t="s">
        <v>655</v>
      </c>
      <c r="F130" s="57" t="s">
        <v>337</v>
      </c>
      <c r="G130" s="58" t="n">
        <v>1</v>
      </c>
      <c r="H130" s="59" t="n">
        <f aca="false">G130*8/$D$117</f>
        <v>0.32</v>
      </c>
      <c r="I130" s="30" t="n">
        <v>17.47</v>
      </c>
      <c r="J130" s="30" t="n">
        <f aca="false">H130*I130</f>
        <v>5.5904</v>
      </c>
      <c r="K130" s="1" t="n">
        <v>49</v>
      </c>
    </row>
    <row r="131" customFormat="false" ht="15" hidden="false" customHeight="false" outlineLevel="0" collapsed="false">
      <c r="A131" s="62"/>
      <c r="B131" s="62"/>
      <c r="C131" s="62"/>
      <c r="D131" s="62"/>
      <c r="E131" s="62"/>
      <c r="F131" s="62"/>
      <c r="G131" s="62"/>
      <c r="H131" s="62"/>
      <c r="I131" s="62"/>
      <c r="J131" s="63" t="n">
        <f aca="false">ROUND(SUM(J129:J130),2)</f>
        <v>6.31</v>
      </c>
    </row>
    <row r="132" customFormat="false" ht="15" hidden="false" customHeight="false" outlineLevel="0" collapsed="false">
      <c r="I132" s="14"/>
      <c r="J132" s="55"/>
    </row>
    <row r="133" customFormat="false" ht="15" hidden="false" customHeight="false" outlineLevel="0" collapsed="false">
      <c r="I133" s="14"/>
      <c r="J133" s="55"/>
    </row>
    <row r="134" customFormat="false" ht="15" hidden="false" customHeight="false" outlineLevel="0" collapsed="false">
      <c r="I134" s="14"/>
      <c r="J134" s="55"/>
    </row>
    <row r="135" customFormat="false" ht="15" hidden="false" customHeight="false" outlineLevel="0" collapsed="false">
      <c r="I135" s="14"/>
      <c r="J135" s="55"/>
    </row>
    <row r="136" customFormat="false" ht="15" hidden="false" customHeight="false" outlineLevel="0" collapsed="false">
      <c r="I136" s="14"/>
      <c r="J136" s="55"/>
    </row>
    <row r="137" customFormat="false" ht="15" hidden="false" customHeight="false" outlineLevel="0" collapsed="false">
      <c r="I137" s="14"/>
      <c r="J137" s="55"/>
    </row>
    <row r="138" customFormat="false" ht="15" hidden="false" customHeight="false" outlineLevel="0" collapsed="false">
      <c r="A138" s="85" t="s">
        <v>276</v>
      </c>
      <c r="B138" s="14" t="str">
        <f aca="false">ESTRUCTURA!A16</f>
        <v>02.02.01.01</v>
      </c>
      <c r="C138" s="86" t="s">
        <v>478</v>
      </c>
      <c r="D138" s="85"/>
    </row>
    <row r="139" customFormat="false" ht="15" hidden="false" customHeight="false" outlineLevel="0" collapsed="false">
      <c r="A139" s="85" t="s">
        <v>277</v>
      </c>
      <c r="B139" s="85" t="s">
        <v>278</v>
      </c>
      <c r="C139" s="87" t="s">
        <v>279</v>
      </c>
      <c r="D139" s="88" t="n">
        <v>50</v>
      </c>
      <c r="E139" s="87" t="s">
        <v>280</v>
      </c>
      <c r="F139" s="88" t="n">
        <f aca="false">D139</f>
        <v>50</v>
      </c>
      <c r="G139" s="85" t="s">
        <v>281</v>
      </c>
      <c r="I139" s="87" t="s">
        <v>132</v>
      </c>
      <c r="J139" s="89" t="n">
        <f aca="false">J147+J154+J158</f>
        <v>237.34</v>
      </c>
    </row>
    <row r="140" customFormat="false" ht="15" hidden="false" customHeight="false" outlineLevel="0" collapsed="false">
      <c r="A140" s="85" t="s">
        <v>282</v>
      </c>
      <c r="B140" s="85" t="s">
        <v>283</v>
      </c>
      <c r="F140" s="87" t="s">
        <v>121</v>
      </c>
      <c r="G140" s="87" t="s">
        <v>284</v>
      </c>
      <c r="H140" s="87" t="s">
        <v>285</v>
      </c>
      <c r="I140" s="87" t="s">
        <v>286</v>
      </c>
      <c r="J140" s="87" t="s">
        <v>287</v>
      </c>
    </row>
    <row r="141" customFormat="false" ht="15" hidden="false" customHeight="false" outlineLevel="0" collapsed="false">
      <c r="B141" s="90" t="s">
        <v>288</v>
      </c>
    </row>
    <row r="142" customFormat="false" ht="15" hidden="false" customHeight="false" outlineLevel="0" collapsed="false">
      <c r="B142" s="1" t="s">
        <v>649</v>
      </c>
      <c r="F142" s="57" t="s">
        <v>290</v>
      </c>
      <c r="G142" s="58" t="n">
        <v>0.1</v>
      </c>
      <c r="H142" s="59" t="n">
        <f aca="false">G142*8/$D$139</f>
        <v>0.016</v>
      </c>
      <c r="I142" s="1" t="n">
        <v>34.73</v>
      </c>
      <c r="J142" s="30" t="n">
        <f aca="false">H142*I142</f>
        <v>0.55568</v>
      </c>
      <c r="K142" s="1" t="n">
        <v>47</v>
      </c>
    </row>
    <row r="143" customFormat="false" ht="15" hidden="false" customHeight="false" outlineLevel="0" collapsed="false">
      <c r="B143" s="1" t="s">
        <v>289</v>
      </c>
      <c r="F143" s="57" t="s">
        <v>290</v>
      </c>
      <c r="G143" s="58" t="n">
        <v>1</v>
      </c>
      <c r="H143" s="59" t="n">
        <f aca="false">G143*8/$D$139</f>
        <v>0.16</v>
      </c>
      <c r="I143" s="30" t="n">
        <v>28.94</v>
      </c>
      <c r="J143" s="30" t="n">
        <f aca="false">H143*I143</f>
        <v>4.6304</v>
      </c>
      <c r="K143" s="1" t="n">
        <v>47</v>
      </c>
    </row>
    <row r="144" customFormat="false" ht="15" hidden="false" customHeight="false" outlineLevel="0" collapsed="false">
      <c r="B144" s="1" t="s">
        <v>291</v>
      </c>
      <c r="F144" s="57" t="s">
        <v>290</v>
      </c>
      <c r="G144" s="58" t="n">
        <v>2</v>
      </c>
      <c r="H144" s="59" t="n">
        <f aca="false">G144*8/$D$139</f>
        <v>0.32</v>
      </c>
      <c r="I144" s="30" t="n">
        <v>22.66</v>
      </c>
      <c r="J144" s="30" t="n">
        <f aca="false">H144*I144</f>
        <v>7.2512</v>
      </c>
      <c r="K144" s="1" t="n">
        <v>47</v>
      </c>
    </row>
    <row r="145" customFormat="false" ht="15" hidden="false" customHeight="false" outlineLevel="0" collapsed="false">
      <c r="B145" s="1" t="s">
        <v>292</v>
      </c>
      <c r="F145" s="57" t="s">
        <v>290</v>
      </c>
      <c r="G145" s="58" t="n">
        <v>5</v>
      </c>
      <c r="H145" s="59" t="n">
        <f aca="false">G145*8/$D$139</f>
        <v>0.8</v>
      </c>
      <c r="I145" s="30" t="n">
        <v>20.51</v>
      </c>
      <c r="J145" s="30" t="n">
        <f aca="false">H145*I145</f>
        <v>16.408</v>
      </c>
      <c r="K145" s="1" t="n">
        <v>47</v>
      </c>
    </row>
    <row r="146" customFormat="false" ht="15" hidden="false" customHeight="false" outlineLevel="0" collapsed="false">
      <c r="B146" s="1" t="s">
        <v>651</v>
      </c>
      <c r="F146" s="57" t="s">
        <v>290</v>
      </c>
      <c r="G146" s="58" t="n">
        <v>1</v>
      </c>
      <c r="H146" s="59" t="n">
        <f aca="false">G146*8/$D$139</f>
        <v>0.16</v>
      </c>
      <c r="I146" s="1" t="n">
        <v>29.94</v>
      </c>
      <c r="J146" s="30" t="n">
        <f aca="false">H146*I146</f>
        <v>4.7904</v>
      </c>
      <c r="K146" s="1" t="n">
        <v>47</v>
      </c>
    </row>
    <row r="147" customFormat="false" ht="15" hidden="false" customHeight="false" outlineLevel="0" collapsed="false">
      <c r="F147" s="57"/>
      <c r="G147" s="58"/>
      <c r="H147" s="59"/>
      <c r="J147" s="89" t="n">
        <f aca="false">ROUND(SUM(J142:J146),2)</f>
        <v>33.64</v>
      </c>
    </row>
    <row r="148" customFormat="false" ht="15" hidden="false" customHeight="false" outlineLevel="0" collapsed="false">
      <c r="B148" s="90" t="s">
        <v>652</v>
      </c>
      <c r="F148" s="57"/>
      <c r="G148" s="58"/>
      <c r="H148" s="59"/>
      <c r="J148" s="30"/>
    </row>
    <row r="149" customFormat="false" ht="15" hidden="false" customHeight="false" outlineLevel="0" collapsed="false">
      <c r="B149" s="1" t="s">
        <v>305</v>
      </c>
      <c r="F149" s="57" t="s">
        <v>306</v>
      </c>
      <c r="H149" s="59" t="n">
        <v>3.8</v>
      </c>
      <c r="I149" s="30" t="n">
        <v>24.52</v>
      </c>
      <c r="J149" s="30" t="n">
        <f aca="false">H149*I149</f>
        <v>93.176</v>
      </c>
      <c r="K149" s="1" t="n">
        <v>21</v>
      </c>
    </row>
    <row r="150" customFormat="false" ht="15" hidden="false" customHeight="false" outlineLevel="0" collapsed="false">
      <c r="B150" s="1" t="s">
        <v>654</v>
      </c>
      <c r="F150" s="57" t="s">
        <v>202</v>
      </c>
      <c r="H150" s="59" t="n">
        <v>0.08</v>
      </c>
      <c r="I150" s="1" t="n">
        <v>6.14</v>
      </c>
      <c r="J150" s="30" t="n">
        <f aca="false">H150*I150</f>
        <v>0.4912</v>
      </c>
      <c r="K150" s="1" t="n">
        <v>30</v>
      </c>
    </row>
    <row r="151" customFormat="false" ht="15" hidden="false" customHeight="false" outlineLevel="0" collapsed="false">
      <c r="B151" s="1" t="s">
        <v>663</v>
      </c>
      <c r="F151" s="57" t="s">
        <v>437</v>
      </c>
      <c r="H151" s="59" t="n">
        <v>0.5</v>
      </c>
      <c r="I151" s="1" t="n">
        <v>13.93</v>
      </c>
      <c r="J151" s="30" t="n">
        <f aca="false">H151*I151</f>
        <v>6.965</v>
      </c>
      <c r="K151" s="1" t="n">
        <v>34</v>
      </c>
    </row>
    <row r="152" customFormat="false" ht="15" hidden="false" customHeight="false" outlineLevel="0" collapsed="false">
      <c r="B152" s="1" t="s">
        <v>311</v>
      </c>
      <c r="F152" s="57" t="s">
        <v>202</v>
      </c>
      <c r="H152" s="59" t="n">
        <v>0.93</v>
      </c>
      <c r="I152" s="71" t="n">
        <v>70.92</v>
      </c>
      <c r="J152" s="30" t="n">
        <f aca="false">H152*I152</f>
        <v>65.9556</v>
      </c>
    </row>
    <row r="153" customFormat="false" ht="15" hidden="false" customHeight="false" outlineLevel="0" collapsed="false">
      <c r="B153" s="1" t="s">
        <v>664</v>
      </c>
      <c r="F153" s="57" t="s">
        <v>202</v>
      </c>
      <c r="H153" s="59" t="n">
        <v>0.4</v>
      </c>
      <c r="I153" s="71" t="n">
        <v>80</v>
      </c>
      <c r="J153" s="30" t="n">
        <f aca="false">H153*I153</f>
        <v>32</v>
      </c>
      <c r="K153" s="1" t="n">
        <v>5</v>
      </c>
    </row>
    <row r="154" customFormat="false" ht="15" hidden="false" customHeight="false" outlineLevel="0" collapsed="false">
      <c r="F154" s="57"/>
      <c r="H154" s="59"/>
      <c r="I154" s="30"/>
      <c r="J154" s="89" t="n">
        <f aca="false">ROUND(SUM(J149:J153),2)</f>
        <v>198.59</v>
      </c>
    </row>
    <row r="155" customFormat="false" ht="15" hidden="false" customHeight="false" outlineLevel="0" collapsed="false">
      <c r="B155" s="90" t="s">
        <v>308</v>
      </c>
    </row>
    <row r="156" customFormat="false" ht="15" hidden="false" customHeight="false" outlineLevel="0" collapsed="false">
      <c r="B156" s="1" t="s">
        <v>309</v>
      </c>
      <c r="F156" s="57" t="s">
        <v>310</v>
      </c>
      <c r="H156" s="59" t="n">
        <v>3</v>
      </c>
      <c r="I156" s="30" t="n">
        <f aca="false">J147</f>
        <v>33.64</v>
      </c>
      <c r="J156" s="30" t="n">
        <f aca="false">H156%*I156</f>
        <v>1.0092</v>
      </c>
      <c r="K156" s="1" t="n">
        <v>37</v>
      </c>
    </row>
    <row r="157" customFormat="false" ht="15" hidden="false" customHeight="false" outlineLevel="0" collapsed="false">
      <c r="B157" s="1" t="s">
        <v>665</v>
      </c>
      <c r="F157" s="57" t="s">
        <v>337</v>
      </c>
      <c r="G157" s="58" t="n">
        <v>1</v>
      </c>
      <c r="H157" s="59" t="n">
        <f aca="false">G157*8/$D$139</f>
        <v>0.16</v>
      </c>
      <c r="I157" s="30" t="n">
        <v>25.63</v>
      </c>
      <c r="J157" s="30" t="n">
        <f aca="false">H157*I157</f>
        <v>4.1008</v>
      </c>
      <c r="K157" s="1" t="n">
        <v>48</v>
      </c>
    </row>
    <row r="158" customFormat="false" ht="15" hidden="false" customHeight="false" outlineLevel="0" collapsed="false">
      <c r="A158" s="62"/>
      <c r="B158" s="62"/>
      <c r="C158" s="62"/>
      <c r="D158" s="62"/>
      <c r="E158" s="62"/>
      <c r="F158" s="62"/>
      <c r="G158" s="62"/>
      <c r="H158" s="62"/>
      <c r="I158" s="62"/>
      <c r="J158" s="91" t="n">
        <f aca="false">ROUND(SUM(J156:J157),2)</f>
        <v>5.11</v>
      </c>
    </row>
    <row r="160" customFormat="false" ht="15" hidden="false" customHeight="false" outlineLevel="0" collapsed="false">
      <c r="A160" s="85" t="s">
        <v>276</v>
      </c>
      <c r="B160" s="14" t="str">
        <f aca="false">ESTRUCTURA!A18</f>
        <v>02.02.02.01</v>
      </c>
      <c r="C160" s="85" t="s">
        <v>482</v>
      </c>
      <c r="D160" s="85"/>
    </row>
    <row r="161" customFormat="false" ht="15" hidden="false" customHeight="false" outlineLevel="0" collapsed="false">
      <c r="A161" s="85" t="s">
        <v>277</v>
      </c>
      <c r="B161" s="85" t="s">
        <v>278</v>
      </c>
      <c r="C161" s="87" t="s">
        <v>279</v>
      </c>
      <c r="D161" s="88" t="n">
        <v>50</v>
      </c>
      <c r="E161" s="87" t="s">
        <v>280</v>
      </c>
      <c r="F161" s="88" t="n">
        <f aca="false">D161</f>
        <v>50</v>
      </c>
      <c r="G161" s="85" t="s">
        <v>281</v>
      </c>
      <c r="I161" s="87" t="s">
        <v>132</v>
      </c>
      <c r="J161" s="89" t="n">
        <f aca="false">J169+J176+J180</f>
        <v>237.34</v>
      </c>
    </row>
    <row r="162" customFormat="false" ht="15" hidden="false" customHeight="false" outlineLevel="0" collapsed="false">
      <c r="A162" s="85" t="s">
        <v>282</v>
      </c>
      <c r="B162" s="85" t="s">
        <v>283</v>
      </c>
      <c r="F162" s="87" t="s">
        <v>121</v>
      </c>
      <c r="G162" s="87" t="s">
        <v>284</v>
      </c>
      <c r="H162" s="87" t="s">
        <v>285</v>
      </c>
      <c r="I162" s="87" t="s">
        <v>286</v>
      </c>
      <c r="J162" s="87" t="s">
        <v>287</v>
      </c>
    </row>
    <row r="163" customFormat="false" ht="15" hidden="false" customHeight="false" outlineLevel="0" collapsed="false">
      <c r="B163" s="90" t="s">
        <v>288</v>
      </c>
    </row>
    <row r="164" customFormat="false" ht="15" hidden="false" customHeight="false" outlineLevel="0" collapsed="false">
      <c r="B164" s="1" t="s">
        <v>649</v>
      </c>
      <c r="F164" s="57" t="s">
        <v>290</v>
      </c>
      <c r="G164" s="58" t="n">
        <v>0.1</v>
      </c>
      <c r="H164" s="59" t="n">
        <f aca="false">G164*8/$D$161</f>
        <v>0.016</v>
      </c>
      <c r="I164" s="1" t="n">
        <v>34.73</v>
      </c>
      <c r="J164" s="30" t="n">
        <f aca="false">H164*I164</f>
        <v>0.55568</v>
      </c>
      <c r="K164" s="1" t="n">
        <v>47</v>
      </c>
    </row>
    <row r="165" customFormat="false" ht="15" hidden="false" customHeight="false" outlineLevel="0" collapsed="false">
      <c r="B165" s="1" t="s">
        <v>289</v>
      </c>
      <c r="F165" s="57" t="s">
        <v>290</v>
      </c>
      <c r="G165" s="58" t="n">
        <v>1</v>
      </c>
      <c r="H165" s="59" t="n">
        <f aca="false">G165*8/$D$161</f>
        <v>0.16</v>
      </c>
      <c r="I165" s="30" t="n">
        <v>28.94</v>
      </c>
      <c r="J165" s="30" t="n">
        <f aca="false">H165*I165</f>
        <v>4.6304</v>
      </c>
      <c r="K165" s="1" t="n">
        <v>47</v>
      </c>
    </row>
    <row r="166" customFormat="false" ht="15" hidden="false" customHeight="false" outlineLevel="0" collapsed="false">
      <c r="B166" s="1" t="s">
        <v>291</v>
      </c>
      <c r="F166" s="57" t="s">
        <v>290</v>
      </c>
      <c r="G166" s="58" t="n">
        <v>2</v>
      </c>
      <c r="H166" s="59" t="n">
        <f aca="false">G166*8/$D$161</f>
        <v>0.32</v>
      </c>
      <c r="I166" s="30" t="n">
        <v>22.66</v>
      </c>
      <c r="J166" s="30" t="n">
        <f aca="false">H166*I166</f>
        <v>7.2512</v>
      </c>
      <c r="K166" s="1" t="n">
        <v>47</v>
      </c>
    </row>
    <row r="167" customFormat="false" ht="15" hidden="false" customHeight="false" outlineLevel="0" collapsed="false">
      <c r="B167" s="1" t="s">
        <v>292</v>
      </c>
      <c r="F167" s="57" t="s">
        <v>290</v>
      </c>
      <c r="G167" s="58" t="n">
        <v>5</v>
      </c>
      <c r="H167" s="59" t="n">
        <f aca="false">G167*8/$D$161</f>
        <v>0.8</v>
      </c>
      <c r="I167" s="30" t="n">
        <v>20.51</v>
      </c>
      <c r="J167" s="30" t="n">
        <f aca="false">H167*I167</f>
        <v>16.408</v>
      </c>
      <c r="K167" s="1" t="n">
        <v>47</v>
      </c>
    </row>
    <row r="168" customFormat="false" ht="15" hidden="false" customHeight="false" outlineLevel="0" collapsed="false">
      <c r="B168" s="1" t="s">
        <v>651</v>
      </c>
      <c r="F168" s="57" t="s">
        <v>290</v>
      </c>
      <c r="G168" s="58" t="n">
        <v>1</v>
      </c>
      <c r="H168" s="59" t="n">
        <f aca="false">G168*8/$D$161</f>
        <v>0.16</v>
      </c>
      <c r="I168" s="1" t="n">
        <v>29.94</v>
      </c>
      <c r="J168" s="30" t="n">
        <f aca="false">H168*I168</f>
        <v>4.7904</v>
      </c>
      <c r="K168" s="1" t="n">
        <v>47</v>
      </c>
    </row>
    <row r="169" customFormat="false" ht="15" hidden="false" customHeight="false" outlineLevel="0" collapsed="false">
      <c r="F169" s="57"/>
      <c r="G169" s="58"/>
      <c r="H169" s="59"/>
      <c r="J169" s="89" t="n">
        <f aca="false">ROUND(SUM(J164:J168),2)</f>
        <v>33.64</v>
      </c>
    </row>
    <row r="170" customFormat="false" ht="15" hidden="false" customHeight="false" outlineLevel="0" collapsed="false">
      <c r="B170" s="90" t="s">
        <v>652</v>
      </c>
      <c r="F170" s="57"/>
      <c r="G170" s="58"/>
      <c r="H170" s="59"/>
      <c r="J170" s="30"/>
    </row>
    <row r="171" customFormat="false" ht="15" hidden="false" customHeight="false" outlineLevel="0" collapsed="false">
      <c r="B171" s="1" t="s">
        <v>305</v>
      </c>
      <c r="F171" s="57" t="s">
        <v>306</v>
      </c>
      <c r="H171" s="59" t="n">
        <v>3.8</v>
      </c>
      <c r="I171" s="30" t="n">
        <v>24.52</v>
      </c>
      <c r="J171" s="30" t="n">
        <f aca="false">H171*I171</f>
        <v>93.176</v>
      </c>
      <c r="K171" s="1" t="n">
        <v>21</v>
      </c>
    </row>
    <row r="172" customFormat="false" ht="15" hidden="false" customHeight="false" outlineLevel="0" collapsed="false">
      <c r="B172" s="1" t="s">
        <v>654</v>
      </c>
      <c r="F172" s="57" t="s">
        <v>202</v>
      </c>
      <c r="H172" s="59" t="n">
        <v>0.08</v>
      </c>
      <c r="I172" s="1" t="n">
        <v>6.14</v>
      </c>
      <c r="J172" s="30" t="n">
        <f aca="false">H172*I172</f>
        <v>0.4912</v>
      </c>
      <c r="K172" s="1" t="n">
        <v>30</v>
      </c>
    </row>
    <row r="173" customFormat="false" ht="15" hidden="false" customHeight="false" outlineLevel="0" collapsed="false">
      <c r="B173" s="1" t="s">
        <v>663</v>
      </c>
      <c r="F173" s="57" t="s">
        <v>437</v>
      </c>
      <c r="H173" s="59" t="n">
        <v>0.5</v>
      </c>
      <c r="I173" s="1" t="n">
        <v>13.93</v>
      </c>
      <c r="J173" s="30" t="n">
        <f aca="false">H173*I173</f>
        <v>6.965</v>
      </c>
      <c r="K173" s="1" t="n">
        <v>34</v>
      </c>
    </row>
    <row r="174" customFormat="false" ht="15" hidden="false" customHeight="false" outlineLevel="0" collapsed="false">
      <c r="B174" s="1" t="s">
        <v>311</v>
      </c>
      <c r="F174" s="57" t="s">
        <v>202</v>
      </c>
      <c r="H174" s="59" t="n">
        <v>0.93</v>
      </c>
      <c r="I174" s="71" t="n">
        <v>70.92</v>
      </c>
      <c r="J174" s="30" t="n">
        <f aca="false">H174*I174</f>
        <v>65.9556</v>
      </c>
      <c r="K174" s="1" t="n">
        <v>38</v>
      </c>
    </row>
    <row r="175" customFormat="false" ht="15" hidden="false" customHeight="false" outlineLevel="0" collapsed="false">
      <c r="B175" s="1" t="s">
        <v>664</v>
      </c>
      <c r="F175" s="57" t="s">
        <v>202</v>
      </c>
      <c r="H175" s="59" t="n">
        <v>0.4</v>
      </c>
      <c r="I175" s="71" t="n">
        <v>80</v>
      </c>
      <c r="J175" s="30" t="n">
        <f aca="false">H175*I175</f>
        <v>32</v>
      </c>
      <c r="K175" s="1" t="n">
        <v>5</v>
      </c>
    </row>
    <row r="176" customFormat="false" ht="15" hidden="false" customHeight="false" outlineLevel="0" collapsed="false">
      <c r="F176" s="57"/>
      <c r="H176" s="59"/>
      <c r="I176" s="30"/>
      <c r="J176" s="89" t="n">
        <f aca="false">ROUND(SUM(J171:J175),2)</f>
        <v>198.59</v>
      </c>
    </row>
    <row r="177" customFormat="false" ht="15" hidden="false" customHeight="false" outlineLevel="0" collapsed="false">
      <c r="B177" s="90" t="s">
        <v>308</v>
      </c>
    </row>
    <row r="178" customFormat="false" ht="15" hidden="false" customHeight="false" outlineLevel="0" collapsed="false">
      <c r="B178" s="1" t="s">
        <v>309</v>
      </c>
      <c r="F178" s="57" t="s">
        <v>310</v>
      </c>
      <c r="H178" s="59" t="n">
        <v>3</v>
      </c>
      <c r="I178" s="30" t="n">
        <f aca="false">J169</f>
        <v>33.64</v>
      </c>
      <c r="J178" s="30" t="n">
        <f aca="false">H178%*I178</f>
        <v>1.0092</v>
      </c>
      <c r="K178" s="1" t="n">
        <v>37</v>
      </c>
    </row>
    <row r="179" customFormat="false" ht="15" hidden="false" customHeight="false" outlineLevel="0" collapsed="false">
      <c r="B179" s="1" t="s">
        <v>665</v>
      </c>
      <c r="F179" s="57" t="s">
        <v>337</v>
      </c>
      <c r="G179" s="58" t="n">
        <v>1</v>
      </c>
      <c r="H179" s="59" t="n">
        <f aca="false">G179*8/$D$161</f>
        <v>0.16</v>
      </c>
      <c r="I179" s="30" t="n">
        <v>25.63</v>
      </c>
      <c r="J179" s="30" t="n">
        <f aca="false">H179*I179</f>
        <v>4.1008</v>
      </c>
      <c r="K179" s="1" t="n">
        <v>48</v>
      </c>
    </row>
    <row r="180" customFormat="false" ht="15" hidden="false" customHeight="false" outlineLevel="0" collapsed="false">
      <c r="A180" s="62"/>
      <c r="B180" s="62"/>
      <c r="C180" s="62"/>
      <c r="D180" s="62"/>
      <c r="E180" s="62"/>
      <c r="F180" s="62"/>
      <c r="G180" s="62"/>
      <c r="H180" s="62"/>
      <c r="I180" s="62"/>
      <c r="J180" s="91" t="n">
        <f aca="false">ROUND(SUM(J178:J179),2)</f>
        <v>5.11</v>
      </c>
    </row>
    <row r="182" customFormat="false" ht="15" hidden="false" customHeight="false" outlineLevel="0" collapsed="false">
      <c r="A182" s="85" t="s">
        <v>276</v>
      </c>
      <c r="B182" s="85" t="str">
        <f aca="false">ESTRUCTURA!A20</f>
        <v>02.02.03.01</v>
      </c>
      <c r="C182" s="85" t="s">
        <v>666</v>
      </c>
      <c r="D182" s="85"/>
    </row>
    <row r="183" customFormat="false" ht="15" hidden="false" customHeight="false" outlineLevel="0" collapsed="false">
      <c r="A183" s="85" t="s">
        <v>277</v>
      </c>
      <c r="B183" s="85" t="s">
        <v>278</v>
      </c>
      <c r="C183" s="87" t="s">
        <v>279</v>
      </c>
      <c r="D183" s="88" t="n">
        <v>110</v>
      </c>
      <c r="E183" s="87" t="s">
        <v>280</v>
      </c>
      <c r="F183" s="88" t="n">
        <f aca="false">D183</f>
        <v>110</v>
      </c>
      <c r="G183" s="85" t="s">
        <v>281</v>
      </c>
      <c r="I183" s="87" t="s">
        <v>132</v>
      </c>
      <c r="J183" s="89" t="n">
        <f aca="false">J189+J195+J199</f>
        <v>39.17</v>
      </c>
    </row>
    <row r="184" customFormat="false" ht="15" hidden="false" customHeight="false" outlineLevel="0" collapsed="false">
      <c r="A184" s="85" t="s">
        <v>282</v>
      </c>
      <c r="B184" s="85" t="s">
        <v>283</v>
      </c>
      <c r="F184" s="87" t="s">
        <v>121</v>
      </c>
      <c r="G184" s="87" t="s">
        <v>284</v>
      </c>
      <c r="H184" s="87" t="s">
        <v>285</v>
      </c>
      <c r="I184" s="87" t="s">
        <v>286</v>
      </c>
      <c r="J184" s="87" t="s">
        <v>287</v>
      </c>
    </row>
    <row r="185" customFormat="false" ht="15" hidden="false" customHeight="false" outlineLevel="0" collapsed="false">
      <c r="B185" s="90" t="s">
        <v>288</v>
      </c>
    </row>
    <row r="186" customFormat="false" ht="15" hidden="false" customHeight="false" outlineLevel="0" collapsed="false">
      <c r="B186" s="1" t="s">
        <v>289</v>
      </c>
      <c r="F186" s="57" t="s">
        <v>290</v>
      </c>
      <c r="G186" s="58" t="n">
        <v>2</v>
      </c>
      <c r="H186" s="59" t="n">
        <f aca="false">G186*8/$D$183</f>
        <v>0.145454545454545</v>
      </c>
      <c r="I186" s="30" t="n">
        <v>28.94</v>
      </c>
      <c r="J186" s="30" t="n">
        <f aca="false">H186*I186</f>
        <v>4.20945454545455</v>
      </c>
      <c r="K186" s="1" t="n">
        <v>47</v>
      </c>
    </row>
    <row r="187" customFormat="false" ht="15" hidden="false" customHeight="false" outlineLevel="0" collapsed="false">
      <c r="B187" s="1" t="s">
        <v>291</v>
      </c>
      <c r="F187" s="57" t="s">
        <v>290</v>
      </c>
      <c r="G187" s="58" t="n">
        <v>1</v>
      </c>
      <c r="H187" s="59" t="n">
        <f aca="false">G187*8/$D$183</f>
        <v>0.0727272727272727</v>
      </c>
      <c r="I187" s="30" t="n">
        <v>22.66</v>
      </c>
      <c r="J187" s="30" t="n">
        <f aca="false">H187*I187</f>
        <v>1.648</v>
      </c>
      <c r="K187" s="1" t="n">
        <v>47</v>
      </c>
    </row>
    <row r="188" customFormat="false" ht="15" hidden="false" customHeight="false" outlineLevel="0" collapsed="false">
      <c r="B188" s="1" t="s">
        <v>292</v>
      </c>
      <c r="F188" s="57" t="s">
        <v>290</v>
      </c>
      <c r="G188" s="58" t="n">
        <v>6</v>
      </c>
      <c r="H188" s="59" t="n">
        <f aca="false">G188*8/$D$183</f>
        <v>0.436363636363636</v>
      </c>
      <c r="I188" s="30" t="n">
        <v>20.51</v>
      </c>
      <c r="J188" s="30" t="n">
        <f aca="false">H188*I188</f>
        <v>8.94981818181818</v>
      </c>
      <c r="K188" s="1" t="n">
        <v>47</v>
      </c>
    </row>
    <row r="189" customFormat="false" ht="15" hidden="false" customHeight="false" outlineLevel="0" collapsed="false">
      <c r="F189" s="57"/>
      <c r="G189" s="58"/>
      <c r="H189" s="59"/>
      <c r="J189" s="89" t="n">
        <f aca="false">ROUND(SUM(J186:J188),2)</f>
        <v>14.81</v>
      </c>
    </row>
    <row r="190" customFormat="false" ht="15" hidden="false" customHeight="false" outlineLevel="0" collapsed="false">
      <c r="B190" s="90" t="s">
        <v>652</v>
      </c>
      <c r="F190" s="57"/>
      <c r="G190" s="58"/>
      <c r="H190" s="59"/>
      <c r="J190" s="30"/>
    </row>
    <row r="191" customFormat="false" ht="15" hidden="false" customHeight="false" outlineLevel="0" collapsed="false">
      <c r="B191" s="1" t="s">
        <v>305</v>
      </c>
      <c r="F191" s="57" t="s">
        <v>306</v>
      </c>
      <c r="H191" s="59" t="n">
        <v>0.42</v>
      </c>
      <c r="I191" s="30" t="n">
        <v>24.52</v>
      </c>
      <c r="J191" s="30" t="n">
        <f aca="false">H191*I191</f>
        <v>10.2984</v>
      </c>
      <c r="K191" s="1" t="n">
        <v>21</v>
      </c>
    </row>
    <row r="192" customFormat="false" ht="15" hidden="false" customHeight="false" outlineLevel="0" collapsed="false">
      <c r="B192" s="1" t="s">
        <v>654</v>
      </c>
      <c r="F192" s="57" t="s">
        <v>202</v>
      </c>
      <c r="H192" s="59" t="n">
        <v>0.025</v>
      </c>
      <c r="I192" s="1" t="n">
        <v>6.14</v>
      </c>
      <c r="J192" s="30" t="n">
        <f aca="false">H192*I192</f>
        <v>0.1535</v>
      </c>
      <c r="K192" s="1" t="n">
        <v>30</v>
      </c>
    </row>
    <row r="193" customFormat="false" ht="15" hidden="false" customHeight="false" outlineLevel="0" collapsed="false">
      <c r="B193" s="1" t="s">
        <v>311</v>
      </c>
      <c r="F193" s="57" t="s">
        <v>202</v>
      </c>
      <c r="H193" s="59" t="n">
        <v>0.162</v>
      </c>
      <c r="I193" s="71" t="n">
        <v>70.92</v>
      </c>
      <c r="J193" s="30" t="n">
        <f aca="false">H193*I193</f>
        <v>11.48904</v>
      </c>
      <c r="K193" s="1" t="n">
        <v>38</v>
      </c>
    </row>
    <row r="194" customFormat="false" ht="15" hidden="false" customHeight="false" outlineLevel="0" collapsed="false">
      <c r="B194" s="1" t="s">
        <v>667</v>
      </c>
      <c r="F194" s="57" t="s">
        <v>304</v>
      </c>
      <c r="H194" s="59" t="n">
        <v>0.18</v>
      </c>
      <c r="I194" s="30" t="n">
        <v>5.8</v>
      </c>
      <c r="J194" s="30" t="n">
        <f aca="false">H194*I194</f>
        <v>1.044</v>
      </c>
      <c r="K194" s="1" t="n">
        <v>43</v>
      </c>
    </row>
    <row r="195" customFormat="false" ht="15" hidden="false" customHeight="false" outlineLevel="0" collapsed="false">
      <c r="F195" s="57"/>
      <c r="H195" s="59"/>
      <c r="I195" s="30"/>
      <c r="J195" s="89" t="n">
        <f aca="false">ROUND(SUM(J191:J194),2)</f>
        <v>22.98</v>
      </c>
    </row>
    <row r="196" customFormat="false" ht="15" hidden="false" customHeight="false" outlineLevel="0" collapsed="false">
      <c r="B196" s="90" t="s">
        <v>308</v>
      </c>
    </row>
    <row r="197" customFormat="false" ht="15" hidden="false" customHeight="false" outlineLevel="0" collapsed="false">
      <c r="B197" s="1" t="s">
        <v>309</v>
      </c>
      <c r="F197" s="57" t="s">
        <v>310</v>
      </c>
      <c r="H197" s="59" t="n">
        <v>3</v>
      </c>
      <c r="I197" s="30" t="n">
        <f aca="false">J189</f>
        <v>14.81</v>
      </c>
      <c r="J197" s="30" t="n">
        <f aca="false">H197%*I197</f>
        <v>0.4443</v>
      </c>
      <c r="K197" s="1" t="n">
        <v>37</v>
      </c>
    </row>
    <row r="198" customFormat="false" ht="15" hidden="false" customHeight="false" outlineLevel="0" collapsed="false">
      <c r="B198" s="1" t="s">
        <v>665</v>
      </c>
      <c r="F198" s="57" t="s">
        <v>337</v>
      </c>
      <c r="G198" s="58" t="n">
        <v>0.5</v>
      </c>
      <c r="H198" s="59" t="n">
        <f aca="false">G198*8/$D$183</f>
        <v>0.0363636363636364</v>
      </c>
      <c r="I198" s="30" t="n">
        <v>25.63</v>
      </c>
      <c r="J198" s="30" t="n">
        <f aca="false">H198*I198</f>
        <v>0.932</v>
      </c>
      <c r="K198" s="1" t="n">
        <v>48</v>
      </c>
    </row>
    <row r="199" customFormat="false" ht="15" hidden="false" customHeight="false" outlineLevel="0" collapsed="false">
      <c r="A199" s="62"/>
      <c r="B199" s="62"/>
      <c r="C199" s="62"/>
      <c r="D199" s="62"/>
      <c r="E199" s="62"/>
      <c r="F199" s="62"/>
      <c r="G199" s="62"/>
      <c r="H199" s="62"/>
      <c r="I199" s="62"/>
      <c r="J199" s="91" t="n">
        <f aca="false">ROUND(SUM(J197:J198),2)</f>
        <v>1.38</v>
      </c>
    </row>
    <row r="200" customFormat="false" ht="15" hidden="false" customHeight="false" outlineLevel="0" collapsed="false">
      <c r="J200" s="89"/>
    </row>
    <row r="201" customFormat="false" ht="15" hidden="false" customHeight="false" outlineLevel="0" collapsed="false">
      <c r="A201" s="86" t="s">
        <v>276</v>
      </c>
      <c r="B201" s="86" t="str">
        <f aca="false">ESTRUCTURA!A22</f>
        <v>02.02.04.01</v>
      </c>
      <c r="C201" s="86" t="s">
        <v>668</v>
      </c>
      <c r="D201" s="86"/>
      <c r="E201" s="86"/>
      <c r="F201" s="79"/>
      <c r="G201" s="79"/>
      <c r="H201" s="79"/>
      <c r="I201" s="79"/>
      <c r="J201" s="79"/>
    </row>
    <row r="202" customFormat="false" ht="15" hidden="false" customHeight="false" outlineLevel="0" collapsed="false">
      <c r="A202" s="86" t="s">
        <v>277</v>
      </c>
      <c r="B202" s="86" t="s">
        <v>278</v>
      </c>
      <c r="C202" s="86" t="s">
        <v>279</v>
      </c>
      <c r="D202" s="92" t="n">
        <v>120</v>
      </c>
      <c r="E202" s="92" t="s">
        <v>280</v>
      </c>
      <c r="F202" s="92" t="n">
        <f aca="false">D202</f>
        <v>120</v>
      </c>
      <c r="G202" s="92" t="s">
        <v>281</v>
      </c>
      <c r="H202" s="86"/>
      <c r="I202" s="86" t="s">
        <v>132</v>
      </c>
      <c r="J202" s="93" t="n">
        <f aca="false">J208+J214+J218</f>
        <v>26.64</v>
      </c>
    </row>
    <row r="203" customFormat="false" ht="15" hidden="false" customHeight="false" outlineLevel="0" collapsed="false">
      <c r="A203" s="86" t="s">
        <v>282</v>
      </c>
      <c r="B203" s="86" t="s">
        <v>283</v>
      </c>
      <c r="C203" s="86"/>
      <c r="D203" s="94"/>
      <c r="E203" s="94"/>
      <c r="F203" s="92" t="s">
        <v>121</v>
      </c>
      <c r="G203" s="92" t="s">
        <v>284</v>
      </c>
      <c r="H203" s="86" t="s">
        <v>285</v>
      </c>
      <c r="I203" s="86" t="s">
        <v>286</v>
      </c>
      <c r="J203" s="86" t="s">
        <v>287</v>
      </c>
    </row>
    <row r="204" customFormat="false" ht="15" hidden="false" customHeight="false" outlineLevel="0" collapsed="false">
      <c r="A204" s="79"/>
      <c r="B204" s="95" t="s">
        <v>288</v>
      </c>
      <c r="C204" s="79"/>
      <c r="D204" s="94"/>
      <c r="E204" s="94"/>
      <c r="F204" s="94"/>
      <c r="G204" s="94"/>
      <c r="H204" s="79"/>
      <c r="I204" s="79"/>
      <c r="J204" s="79"/>
    </row>
    <row r="205" customFormat="false" ht="15" hidden="false" customHeight="false" outlineLevel="0" collapsed="false">
      <c r="A205" s="79"/>
      <c r="B205" s="79" t="s">
        <v>289</v>
      </c>
      <c r="C205" s="79"/>
      <c r="D205" s="94"/>
      <c r="E205" s="94"/>
      <c r="F205" s="94" t="s">
        <v>290</v>
      </c>
      <c r="G205" s="94" t="n">
        <v>2</v>
      </c>
      <c r="H205" s="96" t="n">
        <f aca="false">G205*8/$D$202</f>
        <v>0.133333333333333</v>
      </c>
      <c r="I205" s="79" t="n">
        <v>28.94</v>
      </c>
      <c r="J205" s="97" t="n">
        <f aca="false">H205*I205</f>
        <v>3.85866666666667</v>
      </c>
      <c r="K205" s="1" t="n">
        <v>47</v>
      </c>
    </row>
    <row r="206" customFormat="false" ht="15" hidden="false" customHeight="false" outlineLevel="0" collapsed="false">
      <c r="A206" s="79"/>
      <c r="B206" s="79" t="s">
        <v>291</v>
      </c>
      <c r="C206" s="79"/>
      <c r="D206" s="94"/>
      <c r="E206" s="94"/>
      <c r="F206" s="94" t="s">
        <v>290</v>
      </c>
      <c r="G206" s="94" t="n">
        <v>2</v>
      </c>
      <c r="H206" s="96" t="n">
        <f aca="false">G206*8/$D$202</f>
        <v>0.133333333333333</v>
      </c>
      <c r="I206" s="79" t="n">
        <v>22.66</v>
      </c>
      <c r="J206" s="97" t="n">
        <f aca="false">H206*I206</f>
        <v>3.02133333333333</v>
      </c>
      <c r="K206" s="1" t="n">
        <v>47</v>
      </c>
    </row>
    <row r="207" customFormat="false" ht="15" hidden="false" customHeight="false" outlineLevel="0" collapsed="false">
      <c r="A207" s="79"/>
      <c r="B207" s="79" t="s">
        <v>292</v>
      </c>
      <c r="C207" s="79"/>
      <c r="D207" s="94"/>
      <c r="E207" s="94"/>
      <c r="F207" s="94" t="s">
        <v>290</v>
      </c>
      <c r="G207" s="94" t="n">
        <v>6</v>
      </c>
      <c r="H207" s="96" t="n">
        <f aca="false">G207*8/$D$202</f>
        <v>0.4</v>
      </c>
      <c r="I207" s="79" t="n">
        <v>20.51</v>
      </c>
      <c r="J207" s="97" t="n">
        <f aca="false">H207*I207</f>
        <v>8.204</v>
      </c>
      <c r="K207" s="1" t="n">
        <v>47</v>
      </c>
    </row>
    <row r="208" customFormat="false" ht="15" hidden="false" customHeight="false" outlineLevel="0" collapsed="false">
      <c r="A208" s="79"/>
      <c r="B208" s="79"/>
      <c r="C208" s="79"/>
      <c r="D208" s="94"/>
      <c r="E208" s="94"/>
      <c r="F208" s="94"/>
      <c r="G208" s="94"/>
      <c r="H208" s="96"/>
      <c r="I208" s="79"/>
      <c r="J208" s="93" t="n">
        <f aca="false">ROUND(SUM(J205:J207),2)</f>
        <v>15.08</v>
      </c>
    </row>
    <row r="209" customFormat="false" ht="15" hidden="false" customHeight="false" outlineLevel="0" collapsed="false">
      <c r="A209" s="79"/>
      <c r="B209" s="95" t="s">
        <v>652</v>
      </c>
      <c r="C209" s="79"/>
      <c r="D209" s="94"/>
      <c r="E209" s="94"/>
      <c r="F209" s="94"/>
      <c r="G209" s="94"/>
      <c r="H209" s="96"/>
      <c r="I209" s="79"/>
      <c r="J209" s="79"/>
    </row>
    <row r="210" customFormat="false" ht="15" hidden="false" customHeight="false" outlineLevel="0" collapsed="false">
      <c r="A210" s="79"/>
      <c r="B210" s="79" t="s">
        <v>305</v>
      </c>
      <c r="C210" s="79"/>
      <c r="D210" s="94"/>
      <c r="E210" s="94"/>
      <c r="F210" s="94" t="s">
        <v>306</v>
      </c>
      <c r="G210" s="94"/>
      <c r="H210" s="96" t="n">
        <v>0.19</v>
      </c>
      <c r="I210" s="79" t="n">
        <v>24.52</v>
      </c>
      <c r="J210" s="97" t="n">
        <f aca="false">H210*I210</f>
        <v>4.6588</v>
      </c>
      <c r="K210" s="1" t="n">
        <v>21</v>
      </c>
    </row>
    <row r="211" customFormat="false" ht="15" hidden="false" customHeight="false" outlineLevel="0" collapsed="false">
      <c r="A211" s="79"/>
      <c r="B211" s="79" t="s">
        <v>654</v>
      </c>
      <c r="C211" s="79"/>
      <c r="D211" s="94"/>
      <c r="E211" s="94"/>
      <c r="F211" s="94" t="s">
        <v>202</v>
      </c>
      <c r="G211" s="94"/>
      <c r="H211" s="96" t="n">
        <v>0.0081</v>
      </c>
      <c r="I211" s="79" t="n">
        <v>6.14</v>
      </c>
      <c r="J211" s="97" t="n">
        <f aca="false">H211*I211</f>
        <v>0.049734</v>
      </c>
      <c r="K211" s="1" t="n">
        <v>30</v>
      </c>
    </row>
    <row r="212" customFormat="false" ht="15" hidden="false" customHeight="false" outlineLevel="0" collapsed="false">
      <c r="A212" s="79"/>
      <c r="B212" s="79" t="s">
        <v>663</v>
      </c>
      <c r="C212" s="79"/>
      <c r="D212" s="94"/>
      <c r="E212" s="94"/>
      <c r="F212" s="94" t="s">
        <v>437</v>
      </c>
      <c r="G212" s="94"/>
      <c r="H212" s="96" t="n">
        <v>0.006</v>
      </c>
      <c r="I212" s="79" t="n">
        <v>13.93</v>
      </c>
      <c r="J212" s="97" t="n">
        <f aca="false">H212*I212</f>
        <v>0.08358</v>
      </c>
      <c r="K212" s="1" t="n">
        <v>34</v>
      </c>
    </row>
    <row r="213" customFormat="false" ht="15" hidden="false" customHeight="false" outlineLevel="0" collapsed="false">
      <c r="A213" s="79"/>
      <c r="B213" s="79" t="s">
        <v>311</v>
      </c>
      <c r="C213" s="79"/>
      <c r="D213" s="94"/>
      <c r="E213" s="94"/>
      <c r="F213" s="94" t="s">
        <v>202</v>
      </c>
      <c r="G213" s="94"/>
      <c r="H213" s="96" t="n">
        <v>0.065</v>
      </c>
      <c r="I213" s="98" t="n">
        <v>70.92</v>
      </c>
      <c r="J213" s="97" t="n">
        <f aca="false">H213*I213</f>
        <v>4.6098</v>
      </c>
      <c r="K213" s="1" t="n">
        <v>38</v>
      </c>
    </row>
    <row r="214" customFormat="false" ht="15" hidden="false" customHeight="false" outlineLevel="0" collapsed="false">
      <c r="A214" s="79"/>
      <c r="B214" s="79"/>
      <c r="C214" s="79"/>
      <c r="D214" s="94"/>
      <c r="E214" s="94"/>
      <c r="F214" s="94"/>
      <c r="G214" s="94"/>
      <c r="H214" s="96"/>
      <c r="I214" s="79"/>
      <c r="J214" s="93" t="n">
        <f aca="false">ROUND(SUM(J210:J213),2)</f>
        <v>9.4</v>
      </c>
    </row>
    <row r="215" customFormat="false" ht="15" hidden="false" customHeight="false" outlineLevel="0" collapsed="false">
      <c r="A215" s="79"/>
      <c r="B215" s="95" t="s">
        <v>308</v>
      </c>
      <c r="C215" s="79"/>
      <c r="D215" s="94"/>
      <c r="E215" s="94"/>
      <c r="F215" s="94"/>
      <c r="G215" s="94"/>
      <c r="H215" s="96"/>
      <c r="I215" s="79"/>
      <c r="J215" s="79"/>
    </row>
    <row r="216" customFormat="false" ht="15" hidden="false" customHeight="false" outlineLevel="0" collapsed="false">
      <c r="A216" s="79"/>
      <c r="B216" s="79" t="s">
        <v>309</v>
      </c>
      <c r="C216" s="79"/>
      <c r="D216" s="94"/>
      <c r="E216" s="94"/>
      <c r="F216" s="94" t="s">
        <v>310</v>
      </c>
      <c r="G216" s="94"/>
      <c r="H216" s="96" t="n">
        <v>3</v>
      </c>
      <c r="I216" s="97" t="n">
        <f aca="false">J208</f>
        <v>15.08</v>
      </c>
      <c r="J216" s="97" t="n">
        <f aca="false">H216%*I216</f>
        <v>0.4524</v>
      </c>
      <c r="K216" s="1" t="n">
        <v>37</v>
      </c>
    </row>
    <row r="217" customFormat="false" ht="15" hidden="false" customHeight="false" outlineLevel="0" collapsed="false">
      <c r="A217" s="79"/>
      <c r="B217" s="79" t="s">
        <v>665</v>
      </c>
      <c r="C217" s="79"/>
      <c r="D217" s="94"/>
      <c r="E217" s="94"/>
      <c r="F217" s="94" t="s">
        <v>337</v>
      </c>
      <c r="G217" s="94" t="n">
        <v>1</v>
      </c>
      <c r="H217" s="96" t="n">
        <f aca="false">G217*8/$D$202</f>
        <v>0.0666666666666667</v>
      </c>
      <c r="I217" s="79" t="n">
        <v>25.63</v>
      </c>
      <c r="J217" s="97" t="n">
        <f aca="false">H217*I217</f>
        <v>1.70866666666667</v>
      </c>
      <c r="K217" s="1" t="n">
        <v>48</v>
      </c>
    </row>
    <row r="218" customFormat="false" ht="15" hidden="false" customHeight="false" outlineLevel="0" collapsed="false">
      <c r="A218" s="99" t="s">
        <v>669</v>
      </c>
      <c r="B218" s="99" t="s">
        <v>669</v>
      </c>
      <c r="C218" s="99" t="s">
        <v>669</v>
      </c>
      <c r="D218" s="99" t="s">
        <v>669</v>
      </c>
      <c r="E218" s="99" t="s">
        <v>669</v>
      </c>
      <c r="F218" s="99" t="s">
        <v>669</v>
      </c>
      <c r="G218" s="99" t="s">
        <v>669</v>
      </c>
      <c r="H218" s="99" t="s">
        <v>669</v>
      </c>
      <c r="I218" s="99" t="s">
        <v>669</v>
      </c>
      <c r="J218" s="100" t="n">
        <f aca="false">ROUND(SUM(J216:J217),2)</f>
        <v>2.16</v>
      </c>
    </row>
    <row r="219" customFormat="false" ht="15" hidden="false" customHeight="false" outlineLevel="0" collapsed="false">
      <c r="A219" s="79"/>
      <c r="B219" s="79"/>
      <c r="C219" s="79"/>
      <c r="D219" s="79"/>
      <c r="E219" s="79"/>
      <c r="F219" s="79"/>
      <c r="G219" s="79"/>
      <c r="H219" s="79"/>
      <c r="I219" s="79"/>
      <c r="J219" s="93"/>
    </row>
    <row r="220" customFormat="false" ht="15" hidden="false" customHeight="false" outlineLevel="0" collapsed="false">
      <c r="A220" s="85" t="s">
        <v>276</v>
      </c>
      <c r="B220" s="85" t="str">
        <f aca="false">ESTRUCTURA!A25</f>
        <v>02.03.01.01</v>
      </c>
      <c r="C220" s="85" t="s">
        <v>495</v>
      </c>
      <c r="D220" s="85"/>
    </row>
    <row r="221" customFormat="false" ht="15" hidden="false" customHeight="false" outlineLevel="0" collapsed="false">
      <c r="A221" s="85" t="s">
        <v>277</v>
      </c>
      <c r="B221" s="85" t="s">
        <v>415</v>
      </c>
      <c r="C221" s="87" t="s">
        <v>279</v>
      </c>
      <c r="D221" s="88" t="n">
        <v>25</v>
      </c>
      <c r="E221" s="87" t="s">
        <v>280</v>
      </c>
      <c r="F221" s="88" t="n">
        <f aca="false">D221</f>
        <v>25</v>
      </c>
      <c r="G221" s="85" t="s">
        <v>281</v>
      </c>
      <c r="I221" s="87" t="s">
        <v>202</v>
      </c>
      <c r="J221" s="89" t="n">
        <f aca="false">J227+J235+J240</f>
        <v>424.09</v>
      </c>
    </row>
    <row r="222" customFormat="false" ht="15" hidden="false" customHeight="false" outlineLevel="0" collapsed="false">
      <c r="A222" s="85" t="s">
        <v>282</v>
      </c>
      <c r="B222" s="85" t="s">
        <v>283</v>
      </c>
      <c r="F222" s="87" t="s">
        <v>121</v>
      </c>
      <c r="G222" s="87" t="s">
        <v>284</v>
      </c>
      <c r="H222" s="87" t="s">
        <v>285</v>
      </c>
      <c r="I222" s="87" t="s">
        <v>286</v>
      </c>
      <c r="J222" s="87" t="s">
        <v>287</v>
      </c>
    </row>
    <row r="223" customFormat="false" ht="15" hidden="false" customHeight="false" outlineLevel="0" collapsed="false">
      <c r="B223" s="90" t="s">
        <v>288</v>
      </c>
    </row>
    <row r="224" customFormat="false" ht="15" hidden="false" customHeight="false" outlineLevel="0" collapsed="false">
      <c r="B224" s="1" t="s">
        <v>289</v>
      </c>
      <c r="F224" s="57" t="s">
        <v>290</v>
      </c>
      <c r="G224" s="58" t="n">
        <v>2</v>
      </c>
      <c r="H224" s="59" t="n">
        <f aca="false">G224*8/$D$221</f>
        <v>0.64</v>
      </c>
      <c r="I224" s="30" t="n">
        <v>28.94</v>
      </c>
      <c r="J224" s="30" t="n">
        <f aca="false">H224*I224</f>
        <v>18.5216</v>
      </c>
      <c r="K224" s="1" t="n">
        <v>47</v>
      </c>
    </row>
    <row r="225" customFormat="false" ht="15" hidden="false" customHeight="false" outlineLevel="0" collapsed="false">
      <c r="B225" s="1" t="s">
        <v>291</v>
      </c>
      <c r="F225" s="57" t="s">
        <v>290</v>
      </c>
      <c r="G225" s="58" t="n">
        <v>2</v>
      </c>
      <c r="H225" s="59" t="n">
        <f aca="false">G225*8/$D$221</f>
        <v>0.64</v>
      </c>
      <c r="I225" s="30" t="n">
        <v>22.66</v>
      </c>
      <c r="J225" s="30" t="n">
        <f aca="false">H225*I225</f>
        <v>14.5024</v>
      </c>
      <c r="K225" s="1" t="n">
        <v>47</v>
      </c>
    </row>
    <row r="226" customFormat="false" ht="15" hidden="false" customHeight="false" outlineLevel="0" collapsed="false">
      <c r="B226" s="1" t="s">
        <v>292</v>
      </c>
      <c r="F226" s="57" t="s">
        <v>290</v>
      </c>
      <c r="G226" s="58" t="n">
        <v>6</v>
      </c>
      <c r="H226" s="59" t="n">
        <f aca="false">G226*8/$D$221</f>
        <v>1.92</v>
      </c>
      <c r="I226" s="30" t="n">
        <v>20.51</v>
      </c>
      <c r="J226" s="30" t="n">
        <f aca="false">H226*I226</f>
        <v>39.3792</v>
      </c>
      <c r="K226" s="1" t="n">
        <v>47</v>
      </c>
    </row>
    <row r="227" customFormat="false" ht="15" hidden="false" customHeight="false" outlineLevel="0" collapsed="false">
      <c r="F227" s="57"/>
      <c r="G227" s="58"/>
      <c r="H227" s="59"/>
      <c r="J227" s="89" t="n">
        <f aca="false">ROUND(SUM(J224:J226),2)</f>
        <v>72.4</v>
      </c>
    </row>
    <row r="228" customFormat="false" ht="15" hidden="false" customHeight="false" outlineLevel="0" collapsed="false">
      <c r="B228" s="90" t="s">
        <v>652</v>
      </c>
      <c r="F228" s="57"/>
      <c r="G228" s="58"/>
      <c r="H228" s="59"/>
      <c r="J228" s="30"/>
    </row>
    <row r="229" customFormat="false" ht="15" hidden="false" customHeight="false" outlineLevel="0" collapsed="false">
      <c r="B229" s="1" t="s">
        <v>670</v>
      </c>
      <c r="F229" s="57" t="s">
        <v>202</v>
      </c>
      <c r="H229" s="59" t="n">
        <v>0.53</v>
      </c>
      <c r="I229" s="30" t="n">
        <v>55.08</v>
      </c>
      <c r="J229" s="30" t="n">
        <f aca="false">H229*I229</f>
        <v>29.1924</v>
      </c>
      <c r="K229" s="1" t="n">
        <v>5</v>
      </c>
    </row>
    <row r="230" customFormat="false" ht="15" hidden="false" customHeight="false" outlineLevel="0" collapsed="false">
      <c r="B230" s="1" t="s">
        <v>671</v>
      </c>
      <c r="F230" s="57" t="s">
        <v>202</v>
      </c>
      <c r="H230" s="59" t="n">
        <v>0.52</v>
      </c>
      <c r="I230" s="30" t="n">
        <v>47</v>
      </c>
      <c r="J230" s="30" t="n">
        <f aca="false">H230*I230</f>
        <v>24.44</v>
      </c>
      <c r="K230" s="1" t="n">
        <v>4</v>
      </c>
    </row>
    <row r="231" customFormat="false" ht="15" hidden="false" customHeight="false" outlineLevel="0" collapsed="false">
      <c r="B231" s="1" t="s">
        <v>305</v>
      </c>
      <c r="F231" s="57" t="s">
        <v>306</v>
      </c>
      <c r="H231" s="59" t="n">
        <v>9.73</v>
      </c>
      <c r="I231" s="30" t="n">
        <v>24.52</v>
      </c>
      <c r="J231" s="30" t="n">
        <f aca="false">H231*I231</f>
        <v>238.5796</v>
      </c>
      <c r="K231" s="1" t="n">
        <v>21</v>
      </c>
    </row>
    <row r="232" customFormat="false" ht="15" hidden="false" customHeight="false" outlineLevel="0" collapsed="false">
      <c r="B232" s="1" t="s">
        <v>654</v>
      </c>
      <c r="F232" s="57" t="s">
        <v>202</v>
      </c>
      <c r="H232" s="59" t="n">
        <v>0.186</v>
      </c>
      <c r="I232" s="1" t="n">
        <v>6.14</v>
      </c>
      <c r="J232" s="30" t="n">
        <f aca="false">H232*I232</f>
        <v>1.14204</v>
      </c>
      <c r="K232" s="1" t="n">
        <v>30</v>
      </c>
    </row>
    <row r="233" customFormat="false" ht="15" hidden="false" customHeight="false" outlineLevel="0" collapsed="false">
      <c r="B233" s="1" t="s">
        <v>663</v>
      </c>
      <c r="F233" s="57" t="s">
        <v>437</v>
      </c>
      <c r="H233" s="59" t="n">
        <v>0.36</v>
      </c>
      <c r="I233" s="1" t="n">
        <v>13.93</v>
      </c>
      <c r="J233" s="30" t="n">
        <f aca="false">H233*I233</f>
        <v>5.0148</v>
      </c>
      <c r="K233" s="1" t="n">
        <v>34</v>
      </c>
    </row>
    <row r="234" customFormat="false" ht="15" hidden="false" customHeight="false" outlineLevel="0" collapsed="false">
      <c r="B234" s="1" t="s">
        <v>672</v>
      </c>
      <c r="F234" s="57" t="s">
        <v>437</v>
      </c>
      <c r="H234" s="59" t="n">
        <v>1.5</v>
      </c>
      <c r="I234" s="71" t="n">
        <v>27.88</v>
      </c>
      <c r="J234" s="30" t="n">
        <f aca="false">H234*I234</f>
        <v>41.82</v>
      </c>
      <c r="K234" s="1" t="n">
        <v>30</v>
      </c>
    </row>
    <row r="235" customFormat="false" ht="15" hidden="false" customHeight="false" outlineLevel="0" collapsed="false">
      <c r="F235" s="57"/>
      <c r="H235" s="59"/>
      <c r="I235" s="30"/>
      <c r="J235" s="89" t="n">
        <f aca="false">ROUND(SUM(J229:J234),2)</f>
        <v>340.19</v>
      </c>
    </row>
    <row r="236" customFormat="false" ht="15" hidden="false" customHeight="false" outlineLevel="0" collapsed="false">
      <c r="B236" s="90" t="s">
        <v>308</v>
      </c>
    </row>
    <row r="237" customFormat="false" ht="15" hidden="false" customHeight="false" outlineLevel="0" collapsed="false">
      <c r="B237" s="1" t="s">
        <v>309</v>
      </c>
      <c r="F237" s="57" t="s">
        <v>310</v>
      </c>
      <c r="H237" s="59" t="n">
        <v>3</v>
      </c>
      <c r="I237" s="30" t="n">
        <f aca="false">J227</f>
        <v>72.4</v>
      </c>
      <c r="J237" s="30" t="n">
        <f aca="false">H237%*I237</f>
        <v>2.172</v>
      </c>
      <c r="K237" s="1" t="n">
        <v>37</v>
      </c>
    </row>
    <row r="238" customFormat="false" ht="15" hidden="false" customHeight="false" outlineLevel="0" collapsed="false">
      <c r="B238" s="1" t="s">
        <v>665</v>
      </c>
      <c r="F238" s="57" t="s">
        <v>337</v>
      </c>
      <c r="G238" s="58" t="n">
        <v>1</v>
      </c>
      <c r="H238" s="59" t="n">
        <f aca="false">G238*8/$D$221</f>
        <v>0.32</v>
      </c>
      <c r="I238" s="30" t="n">
        <v>25.63</v>
      </c>
      <c r="J238" s="30" t="n">
        <f aca="false">H238*I238</f>
        <v>8.2016</v>
      </c>
      <c r="K238" s="1" t="n">
        <v>48</v>
      </c>
    </row>
    <row r="239" customFormat="false" ht="15" hidden="false" customHeight="false" outlineLevel="0" collapsed="false">
      <c r="B239" s="1" t="s">
        <v>673</v>
      </c>
      <c r="F239" s="57" t="s">
        <v>337</v>
      </c>
      <c r="G239" s="58" t="n">
        <v>0.5</v>
      </c>
      <c r="H239" s="59" t="n">
        <f aca="false">G239*8/$D$221</f>
        <v>0.16</v>
      </c>
      <c r="I239" s="30" t="n">
        <v>7.07</v>
      </c>
      <c r="J239" s="30" t="n">
        <f aca="false">H239*I239</f>
        <v>1.1312</v>
      </c>
      <c r="K239" s="1" t="n">
        <v>49</v>
      </c>
    </row>
    <row r="240" customFormat="false" ht="15" hidden="false" customHeight="false" outlineLevel="0" collapsed="false">
      <c r="A240" s="62"/>
      <c r="B240" s="62"/>
      <c r="C240" s="62"/>
      <c r="D240" s="62"/>
      <c r="E240" s="62"/>
      <c r="F240" s="62"/>
      <c r="G240" s="62"/>
      <c r="H240" s="62"/>
      <c r="I240" s="62"/>
      <c r="J240" s="91" t="n">
        <f aca="false">ROUND(SUM(J237:J239),2)</f>
        <v>11.5</v>
      </c>
    </row>
    <row r="243" customFormat="false" ht="15" hidden="false" customHeight="false" outlineLevel="0" collapsed="false">
      <c r="A243" s="85" t="s">
        <v>276</v>
      </c>
      <c r="B243" s="85" t="str">
        <f aca="false">ESTRUCTURA!A26</f>
        <v>02.03.01.02</v>
      </c>
      <c r="C243" s="85" t="s">
        <v>497</v>
      </c>
      <c r="D243" s="85"/>
    </row>
    <row r="244" customFormat="false" ht="15" hidden="false" customHeight="false" outlineLevel="0" collapsed="false">
      <c r="A244" s="85" t="s">
        <v>277</v>
      </c>
      <c r="B244" s="85" t="s">
        <v>674</v>
      </c>
      <c r="C244" s="87" t="s">
        <v>279</v>
      </c>
      <c r="D244" s="88" t="n">
        <v>250</v>
      </c>
      <c r="E244" s="87" t="s">
        <v>280</v>
      </c>
      <c r="F244" s="88" t="n">
        <f aca="false">D244</f>
        <v>250</v>
      </c>
      <c r="G244" s="85" t="s">
        <v>281</v>
      </c>
      <c r="I244" s="87" t="s">
        <v>295</v>
      </c>
      <c r="J244" s="89" t="n">
        <f aca="false">J249+J253+J257</f>
        <v>5.53</v>
      </c>
    </row>
    <row r="245" customFormat="false" ht="15" hidden="false" customHeight="false" outlineLevel="0" collapsed="false">
      <c r="A245" s="85" t="s">
        <v>282</v>
      </c>
      <c r="B245" s="85" t="s">
        <v>283</v>
      </c>
      <c r="F245" s="87" t="s">
        <v>121</v>
      </c>
      <c r="G245" s="87" t="s">
        <v>284</v>
      </c>
      <c r="H245" s="87" t="s">
        <v>285</v>
      </c>
      <c r="I245" s="87" t="s">
        <v>286</v>
      </c>
      <c r="J245" s="87" t="s">
        <v>287</v>
      </c>
    </row>
    <row r="246" customFormat="false" ht="15" hidden="false" customHeight="false" outlineLevel="0" collapsed="false">
      <c r="B246" s="90" t="s">
        <v>288</v>
      </c>
      <c r="G246" s="58"/>
    </row>
    <row r="247" customFormat="false" ht="15" hidden="false" customHeight="false" outlineLevel="0" collapsed="false">
      <c r="B247" s="1" t="s">
        <v>289</v>
      </c>
      <c r="F247" s="57" t="s">
        <v>290</v>
      </c>
      <c r="G247" s="58" t="n">
        <v>1</v>
      </c>
      <c r="H247" s="101" t="n">
        <f aca="false">G247*8/$D$244</f>
        <v>0.032</v>
      </c>
      <c r="I247" s="30" t="n">
        <v>28.94</v>
      </c>
      <c r="J247" s="30" t="n">
        <f aca="false">H247*I247</f>
        <v>0.92608</v>
      </c>
      <c r="K247" s="1" t="n">
        <v>47</v>
      </c>
    </row>
    <row r="248" customFormat="false" ht="15" hidden="false" customHeight="false" outlineLevel="0" collapsed="false">
      <c r="B248" s="1" t="s">
        <v>675</v>
      </c>
      <c r="F248" s="57" t="s">
        <v>290</v>
      </c>
      <c r="G248" s="58" t="n">
        <v>1</v>
      </c>
      <c r="H248" s="101" t="n">
        <f aca="false">G248*8/$D$244</f>
        <v>0.032</v>
      </c>
      <c r="I248" s="30" t="n">
        <v>22.66</v>
      </c>
      <c r="J248" s="30" t="n">
        <f aca="false">H248*I248</f>
        <v>0.72512</v>
      </c>
      <c r="K248" s="1" t="n">
        <v>47</v>
      </c>
    </row>
    <row r="249" customFormat="false" ht="15" hidden="false" customHeight="false" outlineLevel="0" collapsed="false">
      <c r="F249" s="57"/>
      <c r="G249" s="58"/>
      <c r="J249" s="89" t="n">
        <f aca="false">ROUND(SUM(J247:J248),2)</f>
        <v>1.65</v>
      </c>
    </row>
    <row r="250" customFormat="false" ht="15" hidden="false" customHeight="false" outlineLevel="0" collapsed="false">
      <c r="B250" s="90" t="s">
        <v>293</v>
      </c>
      <c r="F250" s="57"/>
      <c r="G250" s="58"/>
      <c r="H250" s="101"/>
    </row>
    <row r="251" customFormat="false" ht="15" hidden="false" customHeight="false" outlineLevel="0" collapsed="false">
      <c r="B251" s="1" t="s">
        <v>294</v>
      </c>
      <c r="F251" s="57" t="s">
        <v>295</v>
      </c>
      <c r="G251" s="58"/>
      <c r="H251" s="101" t="n">
        <v>0.03</v>
      </c>
      <c r="I251" s="30" t="n">
        <v>2.64</v>
      </c>
      <c r="J251" s="30" t="n">
        <f aca="false">H251*I251</f>
        <v>0.0792</v>
      </c>
      <c r="K251" s="1" t="n">
        <v>2</v>
      </c>
    </row>
    <row r="252" customFormat="false" ht="15" hidden="false" customHeight="false" outlineLevel="0" collapsed="false">
      <c r="B252" s="1" t="s">
        <v>676</v>
      </c>
      <c r="F252" s="57" t="s">
        <v>295</v>
      </c>
      <c r="G252" s="58"/>
      <c r="H252" s="101" t="n">
        <v>1.05</v>
      </c>
      <c r="I252" s="30" t="n">
        <f aca="false">1012.71*3.379/1000</f>
        <v>3.42194709</v>
      </c>
      <c r="J252" s="30" t="n">
        <f aca="false">H252*I252</f>
        <v>3.5930444445</v>
      </c>
      <c r="K252" s="1" t="n">
        <v>3</v>
      </c>
    </row>
    <row r="253" customFormat="false" ht="15" hidden="false" customHeight="false" outlineLevel="0" collapsed="false">
      <c r="F253" s="57"/>
      <c r="G253" s="58"/>
      <c r="J253" s="89" t="n">
        <f aca="false">ROUND(SUM(J251:J252),2)</f>
        <v>3.67</v>
      </c>
    </row>
    <row r="254" customFormat="false" ht="15" hidden="false" customHeight="false" outlineLevel="0" collapsed="false">
      <c r="B254" s="90" t="s">
        <v>317</v>
      </c>
      <c r="F254" s="57"/>
      <c r="G254" s="58"/>
    </row>
    <row r="255" customFormat="false" ht="15" hidden="false" customHeight="false" outlineLevel="0" collapsed="false">
      <c r="B255" s="1" t="s">
        <v>309</v>
      </c>
      <c r="F255" s="57" t="s">
        <v>310</v>
      </c>
      <c r="H255" s="59" t="n">
        <v>3</v>
      </c>
      <c r="I255" s="30" t="n">
        <f aca="false">J249</f>
        <v>1.65</v>
      </c>
      <c r="J255" s="30" t="n">
        <f aca="false">H255%*I255</f>
        <v>0.0495</v>
      </c>
      <c r="K255" s="1" t="n">
        <v>37</v>
      </c>
    </row>
    <row r="256" customFormat="false" ht="15" hidden="false" customHeight="false" outlineLevel="0" collapsed="false">
      <c r="B256" s="1" t="s">
        <v>677</v>
      </c>
      <c r="F256" s="57" t="s">
        <v>290</v>
      </c>
      <c r="G256" s="58" t="n">
        <v>1</v>
      </c>
      <c r="H256" s="101" t="n">
        <f aca="false">G256*8/$D$244</f>
        <v>0.032</v>
      </c>
      <c r="I256" s="65" t="n">
        <v>5</v>
      </c>
      <c r="J256" s="30" t="n">
        <f aca="false">H256*I256</f>
        <v>0.16</v>
      </c>
      <c r="K256" s="1" t="n">
        <v>37</v>
      </c>
    </row>
    <row r="257" customFormat="false" ht="15" hidden="false" customHeight="false" outlineLevel="0" collapsed="false">
      <c r="A257" s="62"/>
      <c r="B257" s="62"/>
      <c r="C257" s="62"/>
      <c r="D257" s="62"/>
      <c r="E257" s="62"/>
      <c r="F257" s="62"/>
      <c r="G257" s="62"/>
      <c r="H257" s="62"/>
      <c r="I257" s="62"/>
      <c r="J257" s="91" t="n">
        <f aca="false">ROUND(SUM(J255:J256),2)</f>
        <v>0.21</v>
      </c>
    </row>
    <row r="259" customFormat="false" ht="15" hidden="false" customHeight="false" outlineLevel="0" collapsed="false">
      <c r="A259" s="86" t="s">
        <v>276</v>
      </c>
      <c r="B259" s="85" t="str">
        <f aca="false">ESTRUCTURA!A28</f>
        <v>02.03.02.01</v>
      </c>
      <c r="C259" s="86" t="s">
        <v>678</v>
      </c>
      <c r="D259" s="86"/>
      <c r="E259" s="86"/>
      <c r="F259" s="86"/>
      <c r="G259" s="79"/>
      <c r="H259" s="79"/>
      <c r="I259" s="79"/>
      <c r="J259" s="79"/>
    </row>
    <row r="260" customFormat="false" ht="15" hidden="false" customHeight="false" outlineLevel="0" collapsed="false">
      <c r="A260" s="86" t="s">
        <v>277</v>
      </c>
      <c r="B260" s="86" t="s">
        <v>415</v>
      </c>
      <c r="C260" s="86" t="s">
        <v>279</v>
      </c>
      <c r="D260" s="92" t="n">
        <v>25</v>
      </c>
      <c r="E260" s="92" t="s">
        <v>280</v>
      </c>
      <c r="F260" s="92" t="n">
        <f aca="false">D260</f>
        <v>25</v>
      </c>
      <c r="G260" s="92" t="s">
        <v>281</v>
      </c>
      <c r="H260" s="86"/>
      <c r="I260" s="86" t="s">
        <v>202</v>
      </c>
      <c r="J260" s="93" t="n">
        <f aca="false">J266+J274+J279</f>
        <v>424.09</v>
      </c>
    </row>
    <row r="261" customFormat="false" ht="15" hidden="false" customHeight="false" outlineLevel="0" collapsed="false">
      <c r="A261" s="86" t="s">
        <v>282</v>
      </c>
      <c r="B261" s="86" t="s">
        <v>283</v>
      </c>
      <c r="C261" s="86"/>
      <c r="D261" s="94"/>
      <c r="E261" s="94"/>
      <c r="F261" s="92" t="s">
        <v>121</v>
      </c>
      <c r="G261" s="92" t="s">
        <v>284</v>
      </c>
      <c r="H261" s="86" t="s">
        <v>285</v>
      </c>
      <c r="I261" s="86" t="s">
        <v>286</v>
      </c>
      <c r="J261" s="86" t="s">
        <v>287</v>
      </c>
    </row>
    <row r="262" customFormat="false" ht="15" hidden="false" customHeight="false" outlineLevel="0" collapsed="false">
      <c r="A262" s="79"/>
      <c r="B262" s="95" t="s">
        <v>288</v>
      </c>
      <c r="C262" s="79"/>
      <c r="D262" s="94"/>
      <c r="E262" s="94"/>
      <c r="F262" s="94"/>
      <c r="G262" s="94"/>
      <c r="H262" s="79"/>
      <c r="I262" s="79"/>
      <c r="J262" s="79"/>
    </row>
    <row r="263" customFormat="false" ht="15" hidden="false" customHeight="false" outlineLevel="0" collapsed="false">
      <c r="A263" s="79"/>
      <c r="B263" s="79" t="s">
        <v>289</v>
      </c>
      <c r="C263" s="79"/>
      <c r="D263" s="94"/>
      <c r="E263" s="94"/>
      <c r="F263" s="94" t="s">
        <v>290</v>
      </c>
      <c r="G263" s="94" t="n">
        <v>2</v>
      </c>
      <c r="H263" s="96" t="n">
        <f aca="false">G263*8/$D$260</f>
        <v>0.64</v>
      </c>
      <c r="I263" s="97" t="n">
        <v>28.94</v>
      </c>
      <c r="J263" s="97" t="n">
        <f aca="false">H263*I263</f>
        <v>18.5216</v>
      </c>
      <c r="K263" s="1" t="n">
        <v>47</v>
      </c>
    </row>
    <row r="264" customFormat="false" ht="15" hidden="false" customHeight="false" outlineLevel="0" collapsed="false">
      <c r="A264" s="79"/>
      <c r="B264" s="79" t="s">
        <v>291</v>
      </c>
      <c r="C264" s="79"/>
      <c r="D264" s="94"/>
      <c r="E264" s="94"/>
      <c r="F264" s="94" t="s">
        <v>290</v>
      </c>
      <c r="G264" s="94" t="n">
        <v>2</v>
      </c>
      <c r="H264" s="96" t="n">
        <f aca="false">G264*8/$D$260</f>
        <v>0.64</v>
      </c>
      <c r="I264" s="97" t="n">
        <v>22.66</v>
      </c>
      <c r="J264" s="97" t="n">
        <f aca="false">H264*I264</f>
        <v>14.5024</v>
      </c>
      <c r="K264" s="1" t="n">
        <v>47</v>
      </c>
    </row>
    <row r="265" customFormat="false" ht="15" hidden="false" customHeight="false" outlineLevel="0" collapsed="false">
      <c r="A265" s="79"/>
      <c r="B265" s="79" t="s">
        <v>292</v>
      </c>
      <c r="C265" s="79"/>
      <c r="D265" s="94"/>
      <c r="E265" s="94"/>
      <c r="F265" s="94" t="s">
        <v>290</v>
      </c>
      <c r="G265" s="94" t="n">
        <v>6</v>
      </c>
      <c r="H265" s="96" t="n">
        <f aca="false">G265*8/$D$260</f>
        <v>1.92</v>
      </c>
      <c r="I265" s="97" t="n">
        <v>20.51</v>
      </c>
      <c r="J265" s="97" t="n">
        <f aca="false">H265*I265</f>
        <v>39.3792</v>
      </c>
      <c r="K265" s="1" t="n">
        <v>47</v>
      </c>
    </row>
    <row r="266" customFormat="false" ht="15" hidden="false" customHeight="false" outlineLevel="0" collapsed="false">
      <c r="A266" s="79"/>
      <c r="B266" s="79"/>
      <c r="C266" s="79"/>
      <c r="D266" s="94"/>
      <c r="E266" s="94"/>
      <c r="F266" s="94"/>
      <c r="G266" s="94"/>
      <c r="H266" s="96"/>
      <c r="I266" s="97"/>
      <c r="J266" s="93" t="n">
        <f aca="false">ROUND(SUM(J263:J265),2)</f>
        <v>72.4</v>
      </c>
    </row>
    <row r="267" customFormat="false" ht="15" hidden="false" customHeight="false" outlineLevel="0" collapsed="false">
      <c r="A267" s="79"/>
      <c r="B267" s="95" t="s">
        <v>652</v>
      </c>
      <c r="C267" s="79"/>
      <c r="D267" s="94"/>
      <c r="E267" s="94"/>
      <c r="F267" s="94"/>
      <c r="G267" s="94"/>
      <c r="H267" s="96"/>
      <c r="I267" s="97"/>
      <c r="J267" s="97"/>
    </row>
    <row r="268" customFormat="false" ht="15" hidden="false" customHeight="false" outlineLevel="0" collapsed="false">
      <c r="A268" s="79"/>
      <c r="B268" s="79" t="s">
        <v>670</v>
      </c>
      <c r="C268" s="79"/>
      <c r="D268" s="94"/>
      <c r="E268" s="94"/>
      <c r="F268" s="94" t="s">
        <v>202</v>
      </c>
      <c r="G268" s="94"/>
      <c r="H268" s="96" t="n">
        <v>0.53</v>
      </c>
      <c r="I268" s="97" t="n">
        <v>55.08</v>
      </c>
      <c r="J268" s="97" t="n">
        <f aca="false">H268*I268</f>
        <v>29.1924</v>
      </c>
      <c r="K268" s="1" t="n">
        <v>5</v>
      </c>
    </row>
    <row r="269" customFormat="false" ht="15" hidden="false" customHeight="false" outlineLevel="0" collapsed="false">
      <c r="A269" s="79"/>
      <c r="B269" s="79" t="s">
        <v>671</v>
      </c>
      <c r="C269" s="79"/>
      <c r="D269" s="94"/>
      <c r="E269" s="94"/>
      <c r="F269" s="94" t="s">
        <v>202</v>
      </c>
      <c r="G269" s="94"/>
      <c r="H269" s="96" t="n">
        <v>0.52</v>
      </c>
      <c r="I269" s="97" t="n">
        <v>47</v>
      </c>
      <c r="J269" s="97" t="n">
        <f aca="false">H269*I269</f>
        <v>24.44</v>
      </c>
      <c r="K269" s="1" t="n">
        <v>4</v>
      </c>
    </row>
    <row r="270" customFormat="false" ht="15" hidden="false" customHeight="false" outlineLevel="0" collapsed="false">
      <c r="A270" s="79"/>
      <c r="B270" s="79" t="s">
        <v>305</v>
      </c>
      <c r="C270" s="79"/>
      <c r="D270" s="94"/>
      <c r="E270" s="94"/>
      <c r="F270" s="94" t="s">
        <v>306</v>
      </c>
      <c r="G270" s="94"/>
      <c r="H270" s="96" t="n">
        <v>9.73</v>
      </c>
      <c r="I270" s="97" t="n">
        <v>24.52</v>
      </c>
      <c r="J270" s="97" t="n">
        <f aca="false">H270*I270</f>
        <v>238.5796</v>
      </c>
      <c r="K270" s="1" t="n">
        <v>21</v>
      </c>
    </row>
    <row r="271" customFormat="false" ht="15" hidden="false" customHeight="false" outlineLevel="0" collapsed="false">
      <c r="A271" s="79"/>
      <c r="B271" s="79" t="s">
        <v>654</v>
      </c>
      <c r="C271" s="79"/>
      <c r="D271" s="94"/>
      <c r="E271" s="94"/>
      <c r="F271" s="94" t="s">
        <v>202</v>
      </c>
      <c r="G271" s="94"/>
      <c r="H271" s="96" t="n">
        <v>0.186</v>
      </c>
      <c r="I271" s="97" t="n">
        <v>6.14</v>
      </c>
      <c r="J271" s="97" t="n">
        <f aca="false">H271*I271</f>
        <v>1.14204</v>
      </c>
      <c r="K271" s="1" t="n">
        <v>30</v>
      </c>
    </row>
    <row r="272" customFormat="false" ht="15" hidden="false" customHeight="false" outlineLevel="0" collapsed="false">
      <c r="A272" s="79"/>
      <c r="B272" s="79" t="s">
        <v>663</v>
      </c>
      <c r="C272" s="79"/>
      <c r="D272" s="94"/>
      <c r="E272" s="94"/>
      <c r="F272" s="94" t="s">
        <v>437</v>
      </c>
      <c r="G272" s="94"/>
      <c r="H272" s="96" t="n">
        <v>0.36</v>
      </c>
      <c r="I272" s="97" t="n">
        <v>13.93</v>
      </c>
      <c r="J272" s="97" t="n">
        <f aca="false">H272*I272</f>
        <v>5.0148</v>
      </c>
      <c r="K272" s="1" t="n">
        <v>34</v>
      </c>
    </row>
    <row r="273" customFormat="false" ht="15" hidden="false" customHeight="false" outlineLevel="0" collapsed="false">
      <c r="A273" s="79"/>
      <c r="B273" s="79" t="s">
        <v>672</v>
      </c>
      <c r="C273" s="79"/>
      <c r="D273" s="94"/>
      <c r="E273" s="94"/>
      <c r="F273" s="94" t="s">
        <v>437</v>
      </c>
      <c r="G273" s="94"/>
      <c r="H273" s="96" t="n">
        <v>1.5</v>
      </c>
      <c r="I273" s="102" t="n">
        <v>27.88</v>
      </c>
      <c r="J273" s="97" t="n">
        <f aca="false">H273*I273</f>
        <v>41.82</v>
      </c>
      <c r="K273" s="1" t="n">
        <v>30</v>
      </c>
    </row>
    <row r="274" customFormat="false" ht="15" hidden="false" customHeight="false" outlineLevel="0" collapsed="false">
      <c r="A274" s="79"/>
      <c r="B274" s="79"/>
      <c r="C274" s="79"/>
      <c r="D274" s="94"/>
      <c r="E274" s="94"/>
      <c r="F274" s="94"/>
      <c r="G274" s="94"/>
      <c r="H274" s="96"/>
      <c r="I274" s="97"/>
      <c r="J274" s="93" t="n">
        <f aca="false">ROUND(SUM(J268:J273),2)</f>
        <v>340.19</v>
      </c>
    </row>
    <row r="275" customFormat="false" ht="15" hidden="false" customHeight="false" outlineLevel="0" collapsed="false">
      <c r="A275" s="79"/>
      <c r="B275" s="95" t="s">
        <v>308</v>
      </c>
      <c r="C275" s="79"/>
      <c r="D275" s="94"/>
      <c r="E275" s="94"/>
      <c r="F275" s="94"/>
      <c r="G275" s="94"/>
      <c r="H275" s="96"/>
      <c r="I275" s="79"/>
      <c r="J275" s="79"/>
    </row>
    <row r="276" customFormat="false" ht="15" hidden="false" customHeight="false" outlineLevel="0" collapsed="false">
      <c r="A276" s="79"/>
      <c r="B276" s="79" t="s">
        <v>309</v>
      </c>
      <c r="C276" s="79"/>
      <c r="D276" s="94"/>
      <c r="E276" s="94"/>
      <c r="F276" s="94" t="s">
        <v>310</v>
      </c>
      <c r="G276" s="94"/>
      <c r="H276" s="96" t="n">
        <v>3</v>
      </c>
      <c r="I276" s="97" t="n">
        <f aca="false">J266</f>
        <v>72.4</v>
      </c>
      <c r="J276" s="97" t="n">
        <f aca="false">H276%*I276</f>
        <v>2.172</v>
      </c>
      <c r="K276" s="1" t="n">
        <v>37</v>
      </c>
    </row>
    <row r="277" customFormat="false" ht="15" hidden="false" customHeight="false" outlineLevel="0" collapsed="false">
      <c r="A277" s="79"/>
      <c r="B277" s="79" t="s">
        <v>665</v>
      </c>
      <c r="C277" s="79"/>
      <c r="D277" s="94"/>
      <c r="E277" s="94"/>
      <c r="F277" s="94" t="s">
        <v>337</v>
      </c>
      <c r="G277" s="94" t="n">
        <v>1</v>
      </c>
      <c r="H277" s="96" t="n">
        <f aca="false">G277*8/$D$260</f>
        <v>0.32</v>
      </c>
      <c r="I277" s="79" t="n">
        <v>25.63</v>
      </c>
      <c r="J277" s="97" t="n">
        <f aca="false">H277*I277</f>
        <v>8.2016</v>
      </c>
      <c r="K277" s="1" t="n">
        <v>48</v>
      </c>
    </row>
    <row r="278" customFormat="false" ht="15" hidden="false" customHeight="false" outlineLevel="0" collapsed="false">
      <c r="A278" s="79"/>
      <c r="B278" s="79" t="s">
        <v>673</v>
      </c>
      <c r="C278" s="79"/>
      <c r="D278" s="94"/>
      <c r="E278" s="94"/>
      <c r="F278" s="94" t="s">
        <v>337</v>
      </c>
      <c r="G278" s="94" t="n">
        <v>0.5</v>
      </c>
      <c r="H278" s="96" t="n">
        <f aca="false">G278*8/$D$260</f>
        <v>0.16</v>
      </c>
      <c r="I278" s="79" t="n">
        <v>7.07</v>
      </c>
      <c r="J278" s="97" t="n">
        <f aca="false">H278*I278</f>
        <v>1.1312</v>
      </c>
      <c r="K278" s="1" t="n">
        <v>49</v>
      </c>
    </row>
    <row r="279" customFormat="false" ht="15" hidden="false" customHeight="false" outlineLevel="0" collapsed="false">
      <c r="A279" s="99" t="s">
        <v>669</v>
      </c>
      <c r="B279" s="99" t="s">
        <v>669</v>
      </c>
      <c r="C279" s="99" t="s">
        <v>669</v>
      </c>
      <c r="D279" s="99" t="s">
        <v>669</v>
      </c>
      <c r="E279" s="99" t="s">
        <v>669</v>
      </c>
      <c r="F279" s="99" t="s">
        <v>669</v>
      </c>
      <c r="G279" s="99" t="s">
        <v>669</v>
      </c>
      <c r="H279" s="99" t="s">
        <v>669</v>
      </c>
      <c r="I279" s="99" t="s">
        <v>669</v>
      </c>
      <c r="J279" s="100" t="n">
        <f aca="false">ROUND(SUM(J276:J278),2)</f>
        <v>11.5</v>
      </c>
    </row>
    <row r="281" customFormat="false" ht="15" hidden="false" customHeight="false" outlineLevel="0" collapsed="false">
      <c r="A281" s="86" t="s">
        <v>276</v>
      </c>
      <c r="B281" s="85" t="str">
        <f aca="false">ESTRUCTURA!A29</f>
        <v>02.03.02.02</v>
      </c>
      <c r="C281" s="86" t="s">
        <v>679</v>
      </c>
      <c r="D281" s="86"/>
      <c r="E281" s="86"/>
      <c r="F281" s="86"/>
      <c r="G281" s="79"/>
      <c r="H281" s="79"/>
      <c r="I281" s="79"/>
      <c r="J281" s="79"/>
    </row>
    <row r="282" customFormat="false" ht="15" hidden="false" customHeight="false" outlineLevel="0" collapsed="false">
      <c r="A282" s="86" t="s">
        <v>277</v>
      </c>
      <c r="B282" s="86" t="s">
        <v>278</v>
      </c>
      <c r="C282" s="86" t="s">
        <v>279</v>
      </c>
      <c r="D282" s="92" t="n">
        <v>8</v>
      </c>
      <c r="E282" s="92" t="s">
        <v>280</v>
      </c>
      <c r="F282" s="92" t="n">
        <f aca="false">D282</f>
        <v>8</v>
      </c>
      <c r="G282" s="92" t="s">
        <v>281</v>
      </c>
      <c r="H282" s="86"/>
      <c r="I282" s="86" t="s">
        <v>132</v>
      </c>
      <c r="J282" s="93" t="n">
        <f aca="false">J287+J292+J295</f>
        <v>74.15</v>
      </c>
    </row>
    <row r="283" customFormat="false" ht="15" hidden="false" customHeight="false" outlineLevel="0" collapsed="false">
      <c r="A283" s="86" t="s">
        <v>282</v>
      </c>
      <c r="B283" s="86" t="s">
        <v>283</v>
      </c>
      <c r="C283" s="86"/>
      <c r="D283" s="94"/>
      <c r="E283" s="94"/>
      <c r="F283" s="92" t="s">
        <v>121</v>
      </c>
      <c r="G283" s="92" t="s">
        <v>284</v>
      </c>
      <c r="H283" s="86" t="s">
        <v>285</v>
      </c>
      <c r="I283" s="86" t="s">
        <v>286</v>
      </c>
      <c r="J283" s="86" t="s">
        <v>287</v>
      </c>
    </row>
    <row r="284" customFormat="false" ht="15" hidden="false" customHeight="false" outlineLevel="0" collapsed="false">
      <c r="A284" s="79"/>
      <c r="B284" s="95" t="s">
        <v>288</v>
      </c>
      <c r="C284" s="79"/>
      <c r="D284" s="94"/>
      <c r="E284" s="94"/>
      <c r="F284" s="94"/>
      <c r="G284" s="94"/>
      <c r="H284" s="79"/>
      <c r="I284" s="79"/>
      <c r="J284" s="79"/>
    </row>
    <row r="285" customFormat="false" ht="15" hidden="false" customHeight="false" outlineLevel="0" collapsed="false">
      <c r="A285" s="79"/>
      <c r="B285" s="79" t="s">
        <v>289</v>
      </c>
      <c r="C285" s="79"/>
      <c r="D285" s="94"/>
      <c r="E285" s="94"/>
      <c r="F285" s="94" t="s">
        <v>290</v>
      </c>
      <c r="G285" s="94" t="n">
        <v>1</v>
      </c>
      <c r="H285" s="96" t="n">
        <f aca="false">G285*8/$D$282</f>
        <v>1</v>
      </c>
      <c r="I285" s="97" t="n">
        <v>28.94</v>
      </c>
      <c r="J285" s="97" t="n">
        <f aca="false">H285*I285</f>
        <v>28.94</v>
      </c>
      <c r="K285" s="1" t="n">
        <v>47</v>
      </c>
    </row>
    <row r="286" customFormat="false" ht="15" hidden="false" customHeight="false" outlineLevel="0" collapsed="false">
      <c r="A286" s="79"/>
      <c r="B286" s="79" t="s">
        <v>291</v>
      </c>
      <c r="C286" s="79"/>
      <c r="D286" s="94"/>
      <c r="E286" s="94"/>
      <c r="F286" s="94" t="s">
        <v>290</v>
      </c>
      <c r="G286" s="94" t="n">
        <v>1</v>
      </c>
      <c r="H286" s="96" t="n">
        <f aca="false">G286*8/$D$282</f>
        <v>1</v>
      </c>
      <c r="I286" s="97" t="n">
        <v>22.66</v>
      </c>
      <c r="J286" s="97" t="n">
        <f aca="false">H286*I286</f>
        <v>22.66</v>
      </c>
      <c r="K286" s="1" t="n">
        <v>47</v>
      </c>
    </row>
    <row r="287" customFormat="false" ht="15" hidden="false" customHeight="false" outlineLevel="0" collapsed="false">
      <c r="A287" s="79"/>
      <c r="B287" s="79"/>
      <c r="C287" s="79"/>
      <c r="D287" s="94"/>
      <c r="E287" s="94"/>
      <c r="F287" s="94"/>
      <c r="G287" s="94"/>
      <c r="H287" s="96"/>
      <c r="I287" s="97"/>
      <c r="J287" s="93" t="n">
        <f aca="false">ROUND(SUM(J285:J286),2)</f>
        <v>51.6</v>
      </c>
    </row>
    <row r="288" customFormat="false" ht="15" hidden="false" customHeight="false" outlineLevel="0" collapsed="false">
      <c r="A288" s="79"/>
      <c r="B288" s="95" t="s">
        <v>652</v>
      </c>
      <c r="C288" s="79"/>
      <c r="D288" s="94"/>
      <c r="E288" s="94"/>
      <c r="F288" s="94"/>
      <c r="G288" s="94"/>
      <c r="H288" s="96"/>
      <c r="I288" s="97"/>
      <c r="J288" s="79"/>
    </row>
    <row r="289" customFormat="false" ht="15" hidden="false" customHeight="false" outlineLevel="0" collapsed="false">
      <c r="A289" s="79"/>
      <c r="B289" s="79" t="s">
        <v>680</v>
      </c>
      <c r="C289" s="79"/>
      <c r="D289" s="94"/>
      <c r="E289" s="94"/>
      <c r="F289" s="94" t="s">
        <v>295</v>
      </c>
      <c r="G289" s="94"/>
      <c r="H289" s="96" t="n">
        <v>0.26</v>
      </c>
      <c r="I289" s="97" t="n">
        <v>2.64</v>
      </c>
      <c r="J289" s="97" t="n">
        <f aca="false">H289*I289</f>
        <v>0.6864</v>
      </c>
      <c r="K289" s="1" t="n">
        <v>2</v>
      </c>
    </row>
    <row r="290" customFormat="false" ht="15" hidden="false" customHeight="false" outlineLevel="0" collapsed="false">
      <c r="A290" s="79"/>
      <c r="B290" s="79" t="s">
        <v>300</v>
      </c>
      <c r="C290" s="79"/>
      <c r="D290" s="94"/>
      <c r="E290" s="94"/>
      <c r="F290" s="94" t="s">
        <v>295</v>
      </c>
      <c r="G290" s="94"/>
      <c r="H290" s="96" t="n">
        <v>0.16</v>
      </c>
      <c r="I290" s="97" t="n">
        <v>5.51</v>
      </c>
      <c r="J290" s="97" t="n">
        <f aca="false">H290*I290</f>
        <v>0.8816</v>
      </c>
      <c r="K290" s="1" t="n">
        <v>2</v>
      </c>
    </row>
    <row r="291" customFormat="false" ht="15" hidden="false" customHeight="false" outlineLevel="0" collapsed="false">
      <c r="A291" s="79"/>
      <c r="B291" s="79" t="s">
        <v>667</v>
      </c>
      <c r="C291" s="79"/>
      <c r="D291" s="94"/>
      <c r="E291" s="94"/>
      <c r="F291" s="94" t="s">
        <v>304</v>
      </c>
      <c r="G291" s="94"/>
      <c r="H291" s="96" t="n">
        <v>3.35</v>
      </c>
      <c r="I291" s="97" t="n">
        <v>5.8</v>
      </c>
      <c r="J291" s="97" t="n">
        <f aca="false">H291*I291</f>
        <v>19.43</v>
      </c>
      <c r="K291" s="1" t="n">
        <v>43</v>
      </c>
    </row>
    <row r="292" customFormat="false" ht="15" hidden="false" customHeight="false" outlineLevel="0" collapsed="false">
      <c r="A292" s="79"/>
      <c r="B292" s="79"/>
      <c r="C292" s="79"/>
      <c r="D292" s="94"/>
      <c r="E292" s="94"/>
      <c r="F292" s="94"/>
      <c r="G292" s="94"/>
      <c r="H292" s="96"/>
      <c r="I292" s="97"/>
      <c r="J292" s="93" t="n">
        <f aca="false">ROUND(SUM(J289:J291),2)</f>
        <v>21</v>
      </c>
    </row>
    <row r="293" customFormat="false" ht="15" hidden="false" customHeight="false" outlineLevel="0" collapsed="false">
      <c r="A293" s="79"/>
      <c r="B293" s="95" t="s">
        <v>308</v>
      </c>
      <c r="C293" s="79"/>
      <c r="D293" s="94"/>
      <c r="E293" s="94"/>
      <c r="F293" s="94"/>
      <c r="G293" s="94"/>
      <c r="H293" s="96"/>
      <c r="I293" s="79"/>
      <c r="J293" s="79"/>
    </row>
    <row r="294" customFormat="false" ht="15" hidden="false" customHeight="false" outlineLevel="0" collapsed="false">
      <c r="A294" s="79"/>
      <c r="B294" s="79" t="s">
        <v>309</v>
      </c>
      <c r="C294" s="79"/>
      <c r="D294" s="79"/>
      <c r="E294" s="79"/>
      <c r="F294" s="79" t="s">
        <v>310</v>
      </c>
      <c r="G294" s="79"/>
      <c r="H294" s="96" t="n">
        <v>3</v>
      </c>
      <c r="I294" s="79" t="n">
        <f aca="false">J287</f>
        <v>51.6</v>
      </c>
      <c r="J294" s="97" t="n">
        <f aca="false">H294%*I294</f>
        <v>1.548</v>
      </c>
      <c r="K294" s="1" t="n">
        <v>37</v>
      </c>
    </row>
    <row r="295" customFormat="false" ht="15" hidden="false" customHeight="false" outlineLevel="0" collapsed="false">
      <c r="A295" s="99" t="s">
        <v>669</v>
      </c>
      <c r="B295" s="99" t="s">
        <v>669</v>
      </c>
      <c r="C295" s="99" t="s">
        <v>669</v>
      </c>
      <c r="D295" s="99" t="s">
        <v>669</v>
      </c>
      <c r="E295" s="99" t="s">
        <v>669</v>
      </c>
      <c r="F295" s="99" t="s">
        <v>669</v>
      </c>
      <c r="G295" s="99" t="s">
        <v>669</v>
      </c>
      <c r="H295" s="103" t="s">
        <v>669</v>
      </c>
      <c r="I295" s="99" t="s">
        <v>669</v>
      </c>
      <c r="J295" s="100" t="n">
        <f aca="false">ROUND(SUM(J294),2)</f>
        <v>1.55</v>
      </c>
    </row>
    <row r="297" customFormat="false" ht="15" hidden="false" customHeight="false" outlineLevel="0" collapsed="false">
      <c r="A297" s="86" t="s">
        <v>276</v>
      </c>
      <c r="B297" s="85" t="str">
        <f aca="false">ESTRUCTURA!A30</f>
        <v>02.03.02.03</v>
      </c>
      <c r="C297" s="86" t="s">
        <v>505</v>
      </c>
      <c r="D297" s="86"/>
      <c r="E297" s="86"/>
      <c r="F297" s="86"/>
      <c r="G297" s="86"/>
      <c r="H297" s="79"/>
      <c r="I297" s="79"/>
      <c r="J297" s="79"/>
    </row>
    <row r="298" customFormat="false" ht="15" hidden="false" customHeight="false" outlineLevel="0" collapsed="false">
      <c r="A298" s="86" t="s">
        <v>277</v>
      </c>
      <c r="B298" s="86" t="s">
        <v>674</v>
      </c>
      <c r="C298" s="86" t="s">
        <v>279</v>
      </c>
      <c r="D298" s="92" t="n">
        <v>250</v>
      </c>
      <c r="E298" s="92" t="s">
        <v>280</v>
      </c>
      <c r="F298" s="92" t="n">
        <f aca="false">D298</f>
        <v>250</v>
      </c>
      <c r="G298" s="92" t="s">
        <v>281</v>
      </c>
      <c r="H298" s="86"/>
      <c r="I298" s="86" t="s">
        <v>295</v>
      </c>
      <c r="J298" s="93" t="n">
        <f aca="false">J303+J307+J311</f>
        <v>5.53</v>
      </c>
    </row>
    <row r="299" customFormat="false" ht="15" hidden="false" customHeight="false" outlineLevel="0" collapsed="false">
      <c r="A299" s="86" t="s">
        <v>282</v>
      </c>
      <c r="B299" s="86" t="s">
        <v>283</v>
      </c>
      <c r="C299" s="86"/>
      <c r="D299" s="94"/>
      <c r="E299" s="94"/>
      <c r="F299" s="92" t="s">
        <v>121</v>
      </c>
      <c r="G299" s="92" t="s">
        <v>284</v>
      </c>
      <c r="H299" s="86" t="s">
        <v>285</v>
      </c>
      <c r="I299" s="86" t="s">
        <v>286</v>
      </c>
      <c r="J299" s="86" t="s">
        <v>287</v>
      </c>
    </row>
    <row r="300" customFormat="false" ht="15" hidden="false" customHeight="false" outlineLevel="0" collapsed="false">
      <c r="A300" s="79"/>
      <c r="B300" s="95" t="s">
        <v>288</v>
      </c>
      <c r="C300" s="79"/>
      <c r="D300" s="94"/>
      <c r="E300" s="94"/>
      <c r="F300" s="94"/>
      <c r="G300" s="94"/>
      <c r="H300" s="79"/>
      <c r="I300" s="79"/>
      <c r="J300" s="79"/>
    </row>
    <row r="301" customFormat="false" ht="15" hidden="false" customHeight="false" outlineLevel="0" collapsed="false">
      <c r="A301" s="79"/>
      <c r="B301" s="79" t="s">
        <v>289</v>
      </c>
      <c r="C301" s="79"/>
      <c r="D301" s="94"/>
      <c r="E301" s="94"/>
      <c r="F301" s="94" t="s">
        <v>290</v>
      </c>
      <c r="G301" s="94" t="n">
        <v>1</v>
      </c>
      <c r="H301" s="96" t="n">
        <f aca="false">G301*8/$D$298</f>
        <v>0.032</v>
      </c>
      <c r="I301" s="97" t="n">
        <v>28.94</v>
      </c>
      <c r="J301" s="97" t="n">
        <f aca="false">H301*I301</f>
        <v>0.92608</v>
      </c>
      <c r="K301" s="1" t="n">
        <v>47</v>
      </c>
    </row>
    <row r="302" customFormat="false" ht="15" hidden="false" customHeight="false" outlineLevel="0" collapsed="false">
      <c r="A302" s="79"/>
      <c r="B302" s="79" t="s">
        <v>675</v>
      </c>
      <c r="C302" s="79"/>
      <c r="D302" s="94"/>
      <c r="E302" s="94"/>
      <c r="F302" s="94" t="s">
        <v>290</v>
      </c>
      <c r="G302" s="94" t="n">
        <v>1</v>
      </c>
      <c r="H302" s="96" t="n">
        <f aca="false">G302*8/$D$298</f>
        <v>0.032</v>
      </c>
      <c r="I302" s="97" t="n">
        <v>22.66</v>
      </c>
      <c r="J302" s="97" t="n">
        <f aca="false">H302*I302</f>
        <v>0.72512</v>
      </c>
      <c r="K302" s="1" t="n">
        <v>47</v>
      </c>
    </row>
    <row r="303" customFormat="false" ht="15" hidden="false" customHeight="false" outlineLevel="0" collapsed="false">
      <c r="A303" s="79"/>
      <c r="B303" s="79"/>
      <c r="C303" s="79"/>
      <c r="D303" s="94"/>
      <c r="E303" s="94"/>
      <c r="F303" s="94"/>
      <c r="G303" s="94"/>
      <c r="H303" s="96"/>
      <c r="I303" s="97"/>
      <c r="J303" s="93" t="n">
        <f aca="false">ROUND(SUM(J301:J302),2)</f>
        <v>1.65</v>
      </c>
    </row>
    <row r="304" customFormat="false" ht="15" hidden="false" customHeight="false" outlineLevel="0" collapsed="false">
      <c r="A304" s="79"/>
      <c r="B304" s="95" t="s">
        <v>293</v>
      </c>
      <c r="C304" s="79"/>
      <c r="D304" s="94"/>
      <c r="E304" s="94"/>
      <c r="F304" s="94"/>
      <c r="G304" s="94"/>
      <c r="H304" s="96"/>
      <c r="I304" s="97"/>
      <c r="J304" s="79"/>
    </row>
    <row r="305" customFormat="false" ht="15" hidden="false" customHeight="false" outlineLevel="0" collapsed="false">
      <c r="A305" s="79"/>
      <c r="B305" s="79" t="s">
        <v>294</v>
      </c>
      <c r="C305" s="79"/>
      <c r="D305" s="94"/>
      <c r="E305" s="94"/>
      <c r="F305" s="94" t="s">
        <v>295</v>
      </c>
      <c r="G305" s="94"/>
      <c r="H305" s="96" t="n">
        <v>0.03</v>
      </c>
      <c r="I305" s="97" t="n">
        <v>2.64</v>
      </c>
      <c r="J305" s="97" t="n">
        <f aca="false">H305*I305</f>
        <v>0.0792</v>
      </c>
      <c r="K305" s="1" t="n">
        <v>2</v>
      </c>
    </row>
    <row r="306" customFormat="false" ht="15" hidden="false" customHeight="false" outlineLevel="0" collapsed="false">
      <c r="A306" s="79"/>
      <c r="B306" s="79" t="s">
        <v>676</v>
      </c>
      <c r="C306" s="79"/>
      <c r="D306" s="94"/>
      <c r="E306" s="94"/>
      <c r="F306" s="94" t="s">
        <v>295</v>
      </c>
      <c r="G306" s="94"/>
      <c r="H306" s="96" t="n">
        <v>1.05</v>
      </c>
      <c r="I306" s="97" t="n">
        <f aca="false">1012.71*3.379/1000</f>
        <v>3.42194709</v>
      </c>
      <c r="J306" s="97" t="n">
        <f aca="false">H306*I306</f>
        <v>3.5930444445</v>
      </c>
      <c r="K306" s="1" t="n">
        <v>3</v>
      </c>
    </row>
    <row r="307" customFormat="false" ht="15" hidden="false" customHeight="false" outlineLevel="0" collapsed="false">
      <c r="A307" s="79"/>
      <c r="B307" s="79"/>
      <c r="C307" s="79"/>
      <c r="D307" s="94"/>
      <c r="E307" s="94"/>
      <c r="F307" s="94"/>
      <c r="G307" s="94"/>
      <c r="H307" s="96"/>
      <c r="I307" s="97"/>
      <c r="J307" s="93" t="n">
        <f aca="false">ROUND(SUM(J305:J306),2)</f>
        <v>3.67</v>
      </c>
    </row>
    <row r="308" customFormat="false" ht="15" hidden="false" customHeight="false" outlineLevel="0" collapsed="false">
      <c r="A308" s="79"/>
      <c r="B308" s="95" t="s">
        <v>317</v>
      </c>
      <c r="C308" s="79"/>
      <c r="D308" s="94"/>
      <c r="E308" s="94"/>
      <c r="F308" s="94"/>
      <c r="G308" s="94"/>
      <c r="H308" s="96"/>
      <c r="I308" s="97"/>
      <c r="J308" s="79"/>
    </row>
    <row r="309" customFormat="false" ht="15" hidden="false" customHeight="false" outlineLevel="0" collapsed="false">
      <c r="A309" s="79"/>
      <c r="B309" s="79" t="s">
        <v>309</v>
      </c>
      <c r="C309" s="79"/>
      <c r="D309" s="94"/>
      <c r="E309" s="94"/>
      <c r="F309" s="94" t="s">
        <v>310</v>
      </c>
      <c r="G309" s="94"/>
      <c r="H309" s="96" t="n">
        <v>3</v>
      </c>
      <c r="I309" s="97" t="n">
        <f aca="false">J303</f>
        <v>1.65</v>
      </c>
      <c r="J309" s="97" t="n">
        <f aca="false">H309%*I309</f>
        <v>0.0495</v>
      </c>
      <c r="K309" s="1" t="n">
        <v>37</v>
      </c>
    </row>
    <row r="310" customFormat="false" ht="15" hidden="false" customHeight="false" outlineLevel="0" collapsed="false">
      <c r="A310" s="79"/>
      <c r="B310" s="79" t="s">
        <v>677</v>
      </c>
      <c r="C310" s="79"/>
      <c r="D310" s="94"/>
      <c r="E310" s="94"/>
      <c r="F310" s="94" t="s">
        <v>290</v>
      </c>
      <c r="G310" s="94" t="n">
        <v>1</v>
      </c>
      <c r="H310" s="96" t="n">
        <f aca="false">G310*8/$D$298</f>
        <v>0.032</v>
      </c>
      <c r="I310" s="102" t="n">
        <v>5</v>
      </c>
      <c r="J310" s="97" t="n">
        <f aca="false">H310*I310</f>
        <v>0.16</v>
      </c>
      <c r="K310" s="1" t="n">
        <v>37</v>
      </c>
    </row>
    <row r="311" customFormat="false" ht="15" hidden="false" customHeight="false" outlineLevel="0" collapsed="false">
      <c r="A311" s="99" t="s">
        <v>669</v>
      </c>
      <c r="B311" s="99" t="s">
        <v>669</v>
      </c>
      <c r="C311" s="99" t="s">
        <v>669</v>
      </c>
      <c r="D311" s="99" t="s">
        <v>669</v>
      </c>
      <c r="E311" s="99" t="s">
        <v>669</v>
      </c>
      <c r="F311" s="99" t="s">
        <v>669</v>
      </c>
      <c r="G311" s="99" t="s">
        <v>669</v>
      </c>
      <c r="H311" s="99" t="s">
        <v>669</v>
      </c>
      <c r="I311" s="99" t="s">
        <v>669</v>
      </c>
      <c r="J311" s="100" t="n">
        <f aca="false">ROUND(SUM(J309:J310),2)</f>
        <v>0.21</v>
      </c>
    </row>
    <row r="313" customFormat="false" ht="15" hidden="false" customHeight="false" outlineLevel="0" collapsed="false">
      <c r="A313" s="85" t="s">
        <v>276</v>
      </c>
      <c r="B313" s="85" t="str">
        <f aca="false">ESTRUCTURA!A32</f>
        <v>02.03.03.01</v>
      </c>
      <c r="C313" s="85" t="s">
        <v>509</v>
      </c>
      <c r="D313" s="85"/>
    </row>
    <row r="314" customFormat="false" ht="15" hidden="false" customHeight="false" outlineLevel="0" collapsed="false">
      <c r="A314" s="85" t="s">
        <v>277</v>
      </c>
      <c r="B314" s="85" t="s">
        <v>415</v>
      </c>
      <c r="C314" s="87" t="s">
        <v>279</v>
      </c>
      <c r="D314" s="88" t="n">
        <v>20</v>
      </c>
      <c r="E314" s="87" t="s">
        <v>280</v>
      </c>
      <c r="F314" s="88" t="n">
        <f aca="false">D314</f>
        <v>20</v>
      </c>
      <c r="G314" s="85" t="s">
        <v>281</v>
      </c>
      <c r="I314" s="87" t="s">
        <v>202</v>
      </c>
      <c r="J314" s="89" t="n">
        <f aca="false">J320+J328+J333</f>
        <v>435.74</v>
      </c>
    </row>
    <row r="315" customFormat="false" ht="15" hidden="false" customHeight="false" outlineLevel="0" collapsed="false">
      <c r="A315" s="85" t="s">
        <v>282</v>
      </c>
      <c r="B315" s="85" t="s">
        <v>283</v>
      </c>
      <c r="F315" s="87" t="s">
        <v>121</v>
      </c>
      <c r="G315" s="87" t="s">
        <v>284</v>
      </c>
      <c r="H315" s="87" t="s">
        <v>285</v>
      </c>
      <c r="I315" s="87" t="s">
        <v>286</v>
      </c>
      <c r="J315" s="87" t="s">
        <v>287</v>
      </c>
    </row>
    <row r="316" customFormat="false" ht="15" hidden="false" customHeight="false" outlineLevel="0" collapsed="false">
      <c r="B316" s="90" t="s">
        <v>288</v>
      </c>
    </row>
    <row r="317" customFormat="false" ht="15" hidden="false" customHeight="false" outlineLevel="0" collapsed="false">
      <c r="B317" s="1" t="s">
        <v>289</v>
      </c>
      <c r="F317" s="57" t="s">
        <v>290</v>
      </c>
      <c r="G317" s="58" t="n">
        <v>2</v>
      </c>
      <c r="H317" s="59" t="n">
        <f aca="false">G317*8/$D$314</f>
        <v>0.8</v>
      </c>
      <c r="I317" s="30" t="n">
        <v>28.94</v>
      </c>
      <c r="J317" s="30" t="n">
        <f aca="false">H317*I317</f>
        <v>23.152</v>
      </c>
      <c r="K317" s="1" t="n">
        <v>47</v>
      </c>
    </row>
    <row r="318" customFormat="false" ht="15" hidden="false" customHeight="false" outlineLevel="0" collapsed="false">
      <c r="B318" s="1" t="s">
        <v>291</v>
      </c>
      <c r="F318" s="57" t="s">
        <v>290</v>
      </c>
      <c r="G318" s="58" t="n">
        <v>1</v>
      </c>
      <c r="H318" s="59" t="n">
        <f aca="false">G318*8/$D$314</f>
        <v>0.4</v>
      </c>
      <c r="I318" s="30" t="n">
        <v>22.66</v>
      </c>
      <c r="J318" s="30" t="n">
        <f aca="false">H318*I318</f>
        <v>9.064</v>
      </c>
      <c r="K318" s="1" t="n">
        <v>47</v>
      </c>
    </row>
    <row r="319" customFormat="false" ht="15" hidden="false" customHeight="false" outlineLevel="0" collapsed="false">
      <c r="B319" s="1" t="s">
        <v>292</v>
      </c>
      <c r="F319" s="57" t="s">
        <v>290</v>
      </c>
      <c r="G319" s="58" t="n">
        <v>6</v>
      </c>
      <c r="H319" s="59" t="n">
        <f aca="false">G319*8/$D$314</f>
        <v>2.4</v>
      </c>
      <c r="I319" s="30" t="n">
        <v>20.51</v>
      </c>
      <c r="J319" s="30" t="n">
        <f aca="false">H319*I319</f>
        <v>49.224</v>
      </c>
      <c r="K319" s="1" t="n">
        <v>47</v>
      </c>
    </row>
    <row r="320" customFormat="false" ht="15" hidden="false" customHeight="false" outlineLevel="0" collapsed="false">
      <c r="F320" s="57"/>
      <c r="G320" s="58"/>
      <c r="H320" s="59"/>
      <c r="J320" s="89" t="n">
        <f aca="false">ROUND(SUM(J317:J319),2)</f>
        <v>81.44</v>
      </c>
    </row>
    <row r="321" customFormat="false" ht="15" hidden="false" customHeight="false" outlineLevel="0" collapsed="false">
      <c r="B321" s="90" t="s">
        <v>652</v>
      </c>
      <c r="F321" s="57"/>
      <c r="G321" s="58"/>
      <c r="H321" s="59"/>
      <c r="J321" s="30"/>
    </row>
    <row r="322" customFormat="false" ht="15" hidden="false" customHeight="false" outlineLevel="0" collapsed="false">
      <c r="B322" s="1" t="s">
        <v>670</v>
      </c>
      <c r="F322" s="57" t="s">
        <v>202</v>
      </c>
      <c r="H322" s="59" t="n">
        <v>0.53</v>
      </c>
      <c r="I322" s="30" t="n">
        <v>55.08</v>
      </c>
      <c r="J322" s="30" t="n">
        <f aca="false">H322*I322</f>
        <v>29.1924</v>
      </c>
      <c r="K322" s="1" t="n">
        <v>5</v>
      </c>
    </row>
    <row r="323" customFormat="false" ht="15" hidden="false" customHeight="false" outlineLevel="0" collapsed="false">
      <c r="B323" s="1" t="s">
        <v>671</v>
      </c>
      <c r="F323" s="57" t="s">
        <v>202</v>
      </c>
      <c r="H323" s="59" t="n">
        <v>0.52</v>
      </c>
      <c r="I323" s="30" t="n">
        <v>47</v>
      </c>
      <c r="J323" s="30" t="n">
        <f aca="false">H323*I323</f>
        <v>24.44</v>
      </c>
      <c r="K323" s="1" t="n">
        <v>4</v>
      </c>
    </row>
    <row r="324" customFormat="false" ht="15" hidden="false" customHeight="false" outlineLevel="0" collapsed="false">
      <c r="B324" s="1" t="s">
        <v>305</v>
      </c>
      <c r="F324" s="57" t="s">
        <v>306</v>
      </c>
      <c r="H324" s="59" t="n">
        <v>9.73</v>
      </c>
      <c r="I324" s="30" t="n">
        <v>24.52</v>
      </c>
      <c r="J324" s="30" t="n">
        <f aca="false">H324*I324</f>
        <v>238.5796</v>
      </c>
      <c r="K324" s="1" t="n">
        <v>21</v>
      </c>
    </row>
    <row r="325" customFormat="false" ht="15" hidden="false" customHeight="false" outlineLevel="0" collapsed="false">
      <c r="B325" s="1" t="s">
        <v>654</v>
      </c>
      <c r="F325" s="57" t="s">
        <v>202</v>
      </c>
      <c r="H325" s="59" t="n">
        <v>0.186</v>
      </c>
      <c r="I325" s="1" t="n">
        <v>6.14</v>
      </c>
      <c r="J325" s="30" t="n">
        <f aca="false">H325*I325</f>
        <v>1.14204</v>
      </c>
      <c r="K325" s="1" t="n">
        <v>30</v>
      </c>
    </row>
    <row r="326" customFormat="false" ht="15" hidden="false" customHeight="false" outlineLevel="0" collapsed="false">
      <c r="B326" s="1" t="s">
        <v>663</v>
      </c>
      <c r="F326" s="57" t="s">
        <v>437</v>
      </c>
      <c r="H326" s="59" t="n">
        <v>0.36</v>
      </c>
      <c r="I326" s="1" t="n">
        <v>13.93</v>
      </c>
      <c r="J326" s="30" t="n">
        <f aca="false">H326*I326</f>
        <v>5.0148</v>
      </c>
      <c r="K326" s="1" t="n">
        <v>34</v>
      </c>
    </row>
    <row r="327" customFormat="false" ht="15" hidden="false" customHeight="false" outlineLevel="0" collapsed="false">
      <c r="B327" s="1" t="s">
        <v>672</v>
      </c>
      <c r="F327" s="57" t="s">
        <v>437</v>
      </c>
      <c r="H327" s="59" t="n">
        <v>1.5</v>
      </c>
      <c r="I327" s="71" t="n">
        <v>27.88</v>
      </c>
      <c r="J327" s="30" t="n">
        <f aca="false">H327*I327</f>
        <v>41.82</v>
      </c>
      <c r="K327" s="1" t="n">
        <v>30</v>
      </c>
    </row>
    <row r="328" customFormat="false" ht="15" hidden="false" customHeight="false" outlineLevel="0" collapsed="false">
      <c r="F328" s="57"/>
      <c r="H328" s="59"/>
      <c r="I328" s="30"/>
      <c r="J328" s="89" t="n">
        <f aca="false">ROUND(SUM(J322:J327),2)</f>
        <v>340.19</v>
      </c>
    </row>
    <row r="329" customFormat="false" ht="15" hidden="false" customHeight="false" outlineLevel="0" collapsed="false">
      <c r="B329" s="90" t="s">
        <v>308</v>
      </c>
    </row>
    <row r="330" customFormat="false" ht="15" hidden="false" customHeight="false" outlineLevel="0" collapsed="false">
      <c r="B330" s="1" t="s">
        <v>309</v>
      </c>
      <c r="F330" s="57" t="s">
        <v>310</v>
      </c>
      <c r="H330" s="59" t="n">
        <v>3</v>
      </c>
      <c r="I330" s="30" t="n">
        <f aca="false">J320</f>
        <v>81.44</v>
      </c>
      <c r="J330" s="30" t="n">
        <f aca="false">H330%*I330</f>
        <v>2.4432</v>
      </c>
      <c r="K330" s="1" t="n">
        <v>37</v>
      </c>
    </row>
    <row r="331" customFormat="false" ht="15" hidden="false" customHeight="false" outlineLevel="0" collapsed="false">
      <c r="B331" s="1" t="s">
        <v>665</v>
      </c>
      <c r="F331" s="57" t="s">
        <v>337</v>
      </c>
      <c r="G331" s="58" t="n">
        <v>1</v>
      </c>
      <c r="H331" s="59" t="n">
        <f aca="false">G331*8/$D$314</f>
        <v>0.4</v>
      </c>
      <c r="I331" s="30" t="n">
        <v>25.63</v>
      </c>
      <c r="J331" s="30" t="n">
        <f aca="false">H331*I331</f>
        <v>10.252</v>
      </c>
      <c r="K331" s="1" t="n">
        <v>48</v>
      </c>
    </row>
    <row r="332" customFormat="false" ht="15" hidden="false" customHeight="false" outlineLevel="0" collapsed="false">
      <c r="B332" s="1" t="s">
        <v>673</v>
      </c>
      <c r="F332" s="57" t="s">
        <v>337</v>
      </c>
      <c r="G332" s="58" t="n">
        <v>0.5</v>
      </c>
      <c r="H332" s="59" t="n">
        <f aca="false">G332*8/$D$314</f>
        <v>0.2</v>
      </c>
      <c r="I332" s="30" t="n">
        <v>7.07</v>
      </c>
      <c r="J332" s="30" t="n">
        <f aca="false">H332*I332</f>
        <v>1.414</v>
      </c>
      <c r="K332" s="1" t="n">
        <v>49</v>
      </c>
    </row>
    <row r="333" customFormat="false" ht="15" hidden="false" customHeight="false" outlineLevel="0" collapsed="false">
      <c r="A333" s="62"/>
      <c r="B333" s="62"/>
      <c r="C333" s="62"/>
      <c r="D333" s="62"/>
      <c r="E333" s="62"/>
      <c r="F333" s="62"/>
      <c r="G333" s="62"/>
      <c r="H333" s="62"/>
      <c r="I333" s="62"/>
      <c r="J333" s="91" t="n">
        <f aca="false">ROUND(SUM(J330:J332),2)</f>
        <v>14.11</v>
      </c>
    </row>
    <row r="334" customFormat="false" ht="15" hidden="false" customHeight="false" outlineLevel="0" collapsed="false">
      <c r="J334" s="89"/>
    </row>
    <row r="335" customFormat="false" ht="15" hidden="false" customHeight="false" outlineLevel="0" collapsed="false">
      <c r="A335" s="85" t="s">
        <v>276</v>
      </c>
      <c r="B335" s="85" t="str">
        <f aca="false">ESTRUCTURA!A33</f>
        <v>02.03.03.02</v>
      </c>
      <c r="C335" s="85" t="s">
        <v>511</v>
      </c>
      <c r="D335" s="85"/>
    </row>
    <row r="336" customFormat="false" ht="15" hidden="false" customHeight="false" outlineLevel="0" collapsed="false">
      <c r="A336" s="85" t="s">
        <v>277</v>
      </c>
      <c r="B336" s="85" t="s">
        <v>278</v>
      </c>
      <c r="C336" s="87" t="s">
        <v>279</v>
      </c>
      <c r="D336" s="88" t="n">
        <v>20</v>
      </c>
      <c r="E336" s="87" t="s">
        <v>280</v>
      </c>
      <c r="F336" s="88" t="n">
        <f aca="false">D336</f>
        <v>20</v>
      </c>
      <c r="G336" s="85" t="s">
        <v>281</v>
      </c>
      <c r="I336" s="87" t="s">
        <v>132</v>
      </c>
      <c r="J336" s="89" t="n">
        <f aca="false">J341+J346+J349</f>
        <v>63.25</v>
      </c>
    </row>
    <row r="337" customFormat="false" ht="15" hidden="false" customHeight="false" outlineLevel="0" collapsed="false">
      <c r="A337" s="85" t="s">
        <v>282</v>
      </c>
      <c r="B337" s="85" t="s">
        <v>283</v>
      </c>
      <c r="F337" s="87" t="s">
        <v>121</v>
      </c>
      <c r="G337" s="87" t="s">
        <v>284</v>
      </c>
      <c r="H337" s="87" t="s">
        <v>285</v>
      </c>
      <c r="I337" s="87" t="s">
        <v>286</v>
      </c>
      <c r="J337" s="87" t="s">
        <v>287</v>
      </c>
    </row>
    <row r="338" customFormat="false" ht="15" hidden="false" customHeight="false" outlineLevel="0" collapsed="false">
      <c r="B338" s="90" t="s">
        <v>288</v>
      </c>
    </row>
    <row r="339" customFormat="false" ht="15" hidden="false" customHeight="false" outlineLevel="0" collapsed="false">
      <c r="B339" s="1" t="s">
        <v>289</v>
      </c>
      <c r="F339" s="57" t="s">
        <v>290</v>
      </c>
      <c r="G339" s="58" t="n">
        <v>2</v>
      </c>
      <c r="H339" s="59" t="n">
        <f aca="false">G339*8/$D$336</f>
        <v>0.8</v>
      </c>
      <c r="I339" s="30" t="n">
        <v>28.94</v>
      </c>
      <c r="J339" s="30" t="n">
        <f aca="false">H339*I339</f>
        <v>23.152</v>
      </c>
      <c r="K339" s="1" t="n">
        <v>47</v>
      </c>
    </row>
    <row r="340" customFormat="false" ht="15" hidden="false" customHeight="false" outlineLevel="0" collapsed="false">
      <c r="B340" s="1" t="s">
        <v>291</v>
      </c>
      <c r="F340" s="57" t="s">
        <v>290</v>
      </c>
      <c r="G340" s="58" t="n">
        <v>2</v>
      </c>
      <c r="H340" s="59" t="n">
        <f aca="false">G340*8/$D$336</f>
        <v>0.8</v>
      </c>
      <c r="I340" s="30" t="n">
        <v>22.66</v>
      </c>
      <c r="J340" s="30" t="n">
        <f aca="false">H340*I340</f>
        <v>18.128</v>
      </c>
      <c r="K340" s="1" t="n">
        <v>47</v>
      </c>
    </row>
    <row r="341" customFormat="false" ht="15" hidden="false" customHeight="false" outlineLevel="0" collapsed="false">
      <c r="F341" s="57"/>
      <c r="G341" s="58"/>
      <c r="H341" s="59"/>
      <c r="J341" s="89" t="n">
        <f aca="false">ROUND(SUM(J339:J340),2)</f>
        <v>41.28</v>
      </c>
    </row>
    <row r="342" customFormat="false" ht="15" hidden="false" customHeight="false" outlineLevel="0" collapsed="false">
      <c r="B342" s="90" t="s">
        <v>652</v>
      </c>
      <c r="F342" s="57"/>
      <c r="G342" s="58"/>
      <c r="H342" s="59"/>
      <c r="J342" s="30"/>
    </row>
    <row r="343" customFormat="false" ht="15" hidden="false" customHeight="false" outlineLevel="0" collapsed="false">
      <c r="B343" s="1" t="s">
        <v>680</v>
      </c>
      <c r="F343" s="57" t="s">
        <v>295</v>
      </c>
      <c r="H343" s="59" t="n">
        <v>0.16</v>
      </c>
      <c r="I343" s="30" t="n">
        <v>2.64</v>
      </c>
      <c r="J343" s="30" t="n">
        <f aca="false">H343*I343</f>
        <v>0.4224</v>
      </c>
      <c r="K343" s="1" t="n">
        <v>2</v>
      </c>
    </row>
    <row r="344" customFormat="false" ht="15" hidden="false" customHeight="false" outlineLevel="0" collapsed="false">
      <c r="B344" s="1" t="s">
        <v>300</v>
      </c>
      <c r="F344" s="57" t="s">
        <v>295</v>
      </c>
      <c r="H344" s="59" t="n">
        <v>0.16</v>
      </c>
      <c r="I344" s="30" t="n">
        <v>5.51</v>
      </c>
      <c r="J344" s="30" t="n">
        <f aca="false">H344*I344</f>
        <v>0.8816</v>
      </c>
      <c r="K344" s="1" t="n">
        <v>2</v>
      </c>
    </row>
    <row r="345" customFormat="false" ht="15" hidden="false" customHeight="false" outlineLevel="0" collapsed="false">
      <c r="B345" s="1" t="s">
        <v>667</v>
      </c>
      <c r="F345" s="57" t="s">
        <v>304</v>
      </c>
      <c r="H345" s="59" t="n">
        <v>3.35</v>
      </c>
      <c r="I345" s="30" t="n">
        <v>5.8</v>
      </c>
      <c r="J345" s="30" t="n">
        <f aca="false">H345*I345</f>
        <v>19.43</v>
      </c>
      <c r="K345" s="1" t="n">
        <v>43</v>
      </c>
    </row>
    <row r="346" customFormat="false" ht="15" hidden="false" customHeight="false" outlineLevel="0" collapsed="false">
      <c r="F346" s="57"/>
      <c r="H346" s="59"/>
      <c r="I346" s="30"/>
      <c r="J346" s="89" t="n">
        <f aca="false">ROUND(SUM(J343:J345),2)</f>
        <v>20.73</v>
      </c>
    </row>
    <row r="347" customFormat="false" ht="15" hidden="false" customHeight="false" outlineLevel="0" collapsed="false">
      <c r="B347" s="90" t="s">
        <v>308</v>
      </c>
    </row>
    <row r="348" customFormat="false" ht="15" hidden="false" customHeight="false" outlineLevel="0" collapsed="false">
      <c r="B348" s="1" t="s">
        <v>309</v>
      </c>
      <c r="F348" s="57" t="s">
        <v>310</v>
      </c>
      <c r="H348" s="59" t="n">
        <v>3</v>
      </c>
      <c r="I348" s="30" t="n">
        <f aca="false">J341</f>
        <v>41.28</v>
      </c>
      <c r="J348" s="30" t="n">
        <f aca="false">H348%*I348</f>
        <v>1.2384</v>
      </c>
      <c r="K348" s="1" t="n">
        <v>37</v>
      </c>
    </row>
    <row r="349" customFormat="false" ht="15" hidden="false" customHeight="false" outlineLevel="0" collapsed="false">
      <c r="A349" s="62"/>
      <c r="B349" s="62"/>
      <c r="C349" s="62"/>
      <c r="D349" s="62"/>
      <c r="E349" s="62"/>
      <c r="F349" s="62"/>
      <c r="G349" s="62"/>
      <c r="H349" s="62"/>
      <c r="I349" s="62"/>
      <c r="J349" s="91" t="n">
        <f aca="false">ROUND(SUM(J348),2)</f>
        <v>1.24</v>
      </c>
    </row>
    <row r="350" customFormat="false" ht="15" hidden="false" customHeight="false" outlineLevel="0" collapsed="false">
      <c r="J350" s="89"/>
    </row>
    <row r="351" customFormat="false" ht="15" hidden="false" customHeight="false" outlineLevel="0" collapsed="false">
      <c r="A351" s="85" t="s">
        <v>276</v>
      </c>
      <c r="B351" s="85" t="str">
        <f aca="false">ESTRUCTURA!A34</f>
        <v>02.03.03.03</v>
      </c>
      <c r="C351" s="85" t="s">
        <v>681</v>
      </c>
      <c r="D351" s="85"/>
    </row>
    <row r="352" customFormat="false" ht="15" hidden="false" customHeight="false" outlineLevel="0" collapsed="false">
      <c r="A352" s="85" t="s">
        <v>277</v>
      </c>
      <c r="B352" s="85" t="s">
        <v>674</v>
      </c>
      <c r="C352" s="87" t="s">
        <v>279</v>
      </c>
      <c r="D352" s="88" t="n">
        <v>250</v>
      </c>
      <c r="E352" s="87" t="s">
        <v>280</v>
      </c>
      <c r="F352" s="88" t="n">
        <f aca="false">D352</f>
        <v>250</v>
      </c>
      <c r="G352" s="85" t="s">
        <v>281</v>
      </c>
      <c r="I352" s="87" t="s">
        <v>295</v>
      </c>
      <c r="J352" s="89" t="n">
        <f aca="false">J358+J362+J366</f>
        <v>5.53</v>
      </c>
      <c r="S352" s="85"/>
    </row>
    <row r="353" customFormat="false" ht="15" hidden="false" customHeight="false" outlineLevel="0" collapsed="false">
      <c r="A353" s="85" t="s">
        <v>282</v>
      </c>
      <c r="B353" s="85" t="s">
        <v>283</v>
      </c>
      <c r="F353" s="87" t="s">
        <v>121</v>
      </c>
      <c r="G353" s="87" t="s">
        <v>284</v>
      </c>
      <c r="H353" s="87" t="s">
        <v>285</v>
      </c>
      <c r="I353" s="87" t="s">
        <v>286</v>
      </c>
      <c r="J353" s="87" t="s">
        <v>287</v>
      </c>
    </row>
    <row r="354" customFormat="false" ht="15" hidden="false" customHeight="false" outlineLevel="0" collapsed="false">
      <c r="B354" s="90" t="s">
        <v>288</v>
      </c>
      <c r="G354" s="58"/>
    </row>
    <row r="355" customFormat="false" ht="15" hidden="false" customHeight="false" outlineLevel="0" collapsed="false">
      <c r="B355" s="1" t="s">
        <v>289</v>
      </c>
      <c r="F355" s="57" t="s">
        <v>290</v>
      </c>
      <c r="G355" s="58" t="n">
        <v>1</v>
      </c>
      <c r="H355" s="101" t="n">
        <f aca="false">G355*8/$D$244</f>
        <v>0.032</v>
      </c>
      <c r="I355" s="30" t="n">
        <v>28.94</v>
      </c>
      <c r="J355" s="30" t="n">
        <f aca="false">H355*I355</f>
        <v>0.92608</v>
      </c>
      <c r="K355" s="1" t="n">
        <v>47</v>
      </c>
    </row>
    <row r="356" customFormat="false" ht="15" hidden="false" customHeight="false" outlineLevel="0" collapsed="false">
      <c r="B356" s="1" t="s">
        <v>675</v>
      </c>
      <c r="F356" s="57" t="s">
        <v>290</v>
      </c>
      <c r="G356" s="58" t="n">
        <v>1</v>
      </c>
      <c r="H356" s="101" t="n">
        <f aca="false">G356*8/$D$244</f>
        <v>0.032</v>
      </c>
      <c r="I356" s="30" t="n">
        <v>22.66</v>
      </c>
      <c r="J356" s="30" t="n">
        <f aca="false">H356*I356</f>
        <v>0.72512</v>
      </c>
      <c r="K356" s="1" t="n">
        <v>47</v>
      </c>
      <c r="S356" s="85"/>
    </row>
    <row r="357" customFormat="false" ht="15" hidden="false" customHeight="false" outlineLevel="0" collapsed="false">
      <c r="F357" s="57"/>
      <c r="G357" s="58"/>
      <c r="H357" s="101"/>
      <c r="I357" s="30"/>
      <c r="J357" s="30"/>
    </row>
    <row r="358" customFormat="false" ht="15" hidden="false" customHeight="false" outlineLevel="0" collapsed="false">
      <c r="F358" s="57"/>
      <c r="G358" s="58"/>
      <c r="J358" s="89" t="n">
        <f aca="false">ROUND(SUM(J355:J357),2)</f>
        <v>1.65</v>
      </c>
    </row>
    <row r="359" customFormat="false" ht="15" hidden="false" customHeight="false" outlineLevel="0" collapsed="false">
      <c r="B359" s="90" t="s">
        <v>293</v>
      </c>
      <c r="F359" s="57"/>
      <c r="G359" s="58"/>
      <c r="H359" s="101"/>
    </row>
    <row r="360" customFormat="false" ht="15" hidden="false" customHeight="false" outlineLevel="0" collapsed="false">
      <c r="B360" s="1" t="s">
        <v>294</v>
      </c>
      <c r="F360" s="57" t="s">
        <v>295</v>
      </c>
      <c r="G360" s="58"/>
      <c r="H360" s="101" t="n">
        <v>0.03</v>
      </c>
      <c r="I360" s="30" t="n">
        <v>2.64</v>
      </c>
      <c r="J360" s="30" t="n">
        <f aca="false">H360*I360</f>
        <v>0.0792</v>
      </c>
      <c r="K360" s="1" t="n">
        <v>2</v>
      </c>
    </row>
    <row r="361" customFormat="false" ht="15" hidden="false" customHeight="false" outlineLevel="0" collapsed="false">
      <c r="B361" s="1" t="s">
        <v>676</v>
      </c>
      <c r="F361" s="57" t="s">
        <v>295</v>
      </c>
      <c r="G361" s="58"/>
      <c r="H361" s="101" t="n">
        <v>1.05</v>
      </c>
      <c r="I361" s="30" t="n">
        <f aca="false">1012.71*3.379/1000</f>
        <v>3.42194709</v>
      </c>
      <c r="J361" s="30" t="n">
        <f aca="false">H361*I361</f>
        <v>3.5930444445</v>
      </c>
      <c r="K361" s="1" t="n">
        <v>3</v>
      </c>
    </row>
    <row r="362" customFormat="false" ht="15" hidden="false" customHeight="false" outlineLevel="0" collapsed="false">
      <c r="F362" s="57"/>
      <c r="G362" s="58"/>
      <c r="J362" s="89" t="n">
        <f aca="false">ROUND(SUM(J360:J361),2)</f>
        <v>3.67</v>
      </c>
    </row>
    <row r="363" customFormat="false" ht="15" hidden="false" customHeight="false" outlineLevel="0" collapsed="false">
      <c r="B363" s="90" t="s">
        <v>317</v>
      </c>
      <c r="F363" s="57"/>
      <c r="G363" s="58"/>
    </row>
    <row r="364" customFormat="false" ht="15" hidden="false" customHeight="false" outlineLevel="0" collapsed="false">
      <c r="B364" s="1" t="s">
        <v>309</v>
      </c>
      <c r="F364" s="57" t="s">
        <v>310</v>
      </c>
      <c r="H364" s="59" t="n">
        <v>3</v>
      </c>
      <c r="I364" s="30" t="n">
        <f aca="false">J358</f>
        <v>1.65</v>
      </c>
      <c r="J364" s="30" t="n">
        <f aca="false">H364%*I364</f>
        <v>0.0495</v>
      </c>
      <c r="K364" s="1" t="n">
        <v>37</v>
      </c>
    </row>
    <row r="365" customFormat="false" ht="15" hidden="false" customHeight="false" outlineLevel="0" collapsed="false">
      <c r="B365" s="1" t="s">
        <v>677</v>
      </c>
      <c r="F365" s="57" t="s">
        <v>290</v>
      </c>
      <c r="G365" s="58" t="n">
        <v>1</v>
      </c>
      <c r="H365" s="59" t="n">
        <f aca="false">G365*8/$D$352</f>
        <v>0.032</v>
      </c>
      <c r="I365" s="65" t="n">
        <v>5</v>
      </c>
      <c r="J365" s="30" t="n">
        <f aca="false">H365*I365</f>
        <v>0.16</v>
      </c>
      <c r="K365" s="1" t="n">
        <v>37</v>
      </c>
    </row>
    <row r="366" customFormat="false" ht="15" hidden="false" customHeight="false" outlineLevel="0" collapsed="false">
      <c r="A366" s="62"/>
      <c r="B366" s="62"/>
      <c r="C366" s="62"/>
      <c r="D366" s="62"/>
      <c r="E366" s="62"/>
      <c r="F366" s="62"/>
      <c r="G366" s="62"/>
      <c r="H366" s="62"/>
      <c r="I366" s="62"/>
      <c r="J366" s="91" t="n">
        <f aca="false">ROUND(SUM(J364:J365),2)</f>
        <v>0.21</v>
      </c>
    </row>
    <row r="369" customFormat="false" ht="15" hidden="false" customHeight="false" outlineLevel="0" collapsed="false">
      <c r="A369" s="85" t="s">
        <v>276</v>
      </c>
      <c r="B369" s="85" t="str">
        <f aca="false">ESTRUCTURA!A36</f>
        <v>02.03.04.01</v>
      </c>
      <c r="C369" s="85" t="s">
        <v>682</v>
      </c>
      <c r="D369" s="85"/>
    </row>
    <row r="370" customFormat="false" ht="15" hidden="false" customHeight="false" outlineLevel="0" collapsed="false">
      <c r="A370" s="85" t="s">
        <v>277</v>
      </c>
      <c r="B370" s="85" t="s">
        <v>415</v>
      </c>
      <c r="C370" s="87" t="s">
        <v>279</v>
      </c>
      <c r="D370" s="88" t="n">
        <v>15</v>
      </c>
      <c r="E370" s="87" t="s">
        <v>280</v>
      </c>
      <c r="F370" s="88" t="n">
        <f aca="false">D370</f>
        <v>15</v>
      </c>
      <c r="G370" s="85" t="s">
        <v>281</v>
      </c>
      <c r="I370" s="87" t="s">
        <v>202</v>
      </c>
      <c r="J370" s="89" t="n">
        <f aca="false">J376+J383+J388</f>
        <v>421.14</v>
      </c>
    </row>
    <row r="371" customFormat="false" ht="15" hidden="false" customHeight="false" outlineLevel="0" collapsed="false">
      <c r="A371" s="85" t="s">
        <v>282</v>
      </c>
      <c r="B371" s="85" t="s">
        <v>283</v>
      </c>
      <c r="F371" s="87" t="s">
        <v>121</v>
      </c>
      <c r="G371" s="87" t="s">
        <v>284</v>
      </c>
      <c r="H371" s="87" t="s">
        <v>285</v>
      </c>
      <c r="I371" s="87" t="s">
        <v>286</v>
      </c>
      <c r="J371" s="87" t="s">
        <v>287</v>
      </c>
    </row>
    <row r="372" customFormat="false" ht="15" hidden="false" customHeight="false" outlineLevel="0" collapsed="false">
      <c r="B372" s="90" t="s">
        <v>288</v>
      </c>
    </row>
    <row r="373" customFormat="false" ht="15" hidden="false" customHeight="false" outlineLevel="0" collapsed="false">
      <c r="B373" s="1" t="s">
        <v>289</v>
      </c>
      <c r="F373" s="57" t="s">
        <v>290</v>
      </c>
      <c r="G373" s="58" t="n">
        <v>1</v>
      </c>
      <c r="H373" s="59" t="n">
        <f aca="false">G373*8/$D$370</f>
        <v>0.533333333333333</v>
      </c>
      <c r="I373" s="30" t="n">
        <v>28.94</v>
      </c>
      <c r="J373" s="30" t="n">
        <f aca="false">H373*I373</f>
        <v>15.4346666666667</v>
      </c>
      <c r="K373" s="1" t="n">
        <v>47</v>
      </c>
    </row>
    <row r="374" customFormat="false" ht="15" hidden="false" customHeight="false" outlineLevel="0" collapsed="false">
      <c r="B374" s="1" t="s">
        <v>291</v>
      </c>
      <c r="F374" s="57" t="s">
        <v>290</v>
      </c>
      <c r="G374" s="58" t="n">
        <v>1</v>
      </c>
      <c r="H374" s="59" t="n">
        <f aca="false">G374*8/$D$370</f>
        <v>0.533333333333333</v>
      </c>
      <c r="I374" s="30" t="n">
        <v>22.66</v>
      </c>
      <c r="J374" s="30" t="n">
        <f aca="false">H374*I374</f>
        <v>12.0853333333333</v>
      </c>
      <c r="K374" s="1" t="n">
        <v>47</v>
      </c>
    </row>
    <row r="375" customFormat="false" ht="15" hidden="false" customHeight="false" outlineLevel="0" collapsed="false">
      <c r="B375" s="1" t="s">
        <v>292</v>
      </c>
      <c r="F375" s="57" t="s">
        <v>290</v>
      </c>
      <c r="G375" s="58" t="n">
        <v>7</v>
      </c>
      <c r="H375" s="59" t="n">
        <f aca="false">G375*8/$D$370</f>
        <v>3.73333333333333</v>
      </c>
      <c r="I375" s="30" t="n">
        <v>20.51</v>
      </c>
      <c r="J375" s="30" t="n">
        <f aca="false">H375*I375</f>
        <v>76.5706666666667</v>
      </c>
      <c r="K375" s="1" t="n">
        <v>47</v>
      </c>
    </row>
    <row r="376" customFormat="false" ht="15" hidden="false" customHeight="false" outlineLevel="0" collapsed="false">
      <c r="F376" s="57"/>
      <c r="G376" s="58"/>
      <c r="H376" s="59"/>
      <c r="J376" s="89" t="n">
        <f aca="false">ROUND(SUM(J373:J375),2)</f>
        <v>104.09</v>
      </c>
    </row>
    <row r="377" customFormat="false" ht="15" hidden="false" customHeight="false" outlineLevel="0" collapsed="false">
      <c r="B377" s="90" t="s">
        <v>652</v>
      </c>
      <c r="F377" s="57"/>
      <c r="G377" s="58"/>
      <c r="H377" s="59"/>
      <c r="J377" s="30"/>
    </row>
    <row r="378" customFormat="false" ht="15" hidden="false" customHeight="false" outlineLevel="0" collapsed="false">
      <c r="B378" s="1" t="s">
        <v>670</v>
      </c>
      <c r="F378" s="57" t="s">
        <v>202</v>
      </c>
      <c r="H378" s="59" t="n">
        <v>0.53</v>
      </c>
      <c r="I378" s="30" t="n">
        <v>55.08</v>
      </c>
      <c r="J378" s="30" t="n">
        <f aca="false">H378*I378</f>
        <v>29.1924</v>
      </c>
      <c r="K378" s="1" t="n">
        <v>5</v>
      </c>
    </row>
    <row r="379" customFormat="false" ht="15" hidden="false" customHeight="false" outlineLevel="0" collapsed="false">
      <c r="B379" s="1" t="s">
        <v>671</v>
      </c>
      <c r="F379" s="57" t="s">
        <v>202</v>
      </c>
      <c r="H379" s="59" t="n">
        <v>0.52</v>
      </c>
      <c r="I379" s="30" t="n">
        <v>47</v>
      </c>
      <c r="J379" s="30" t="n">
        <f aca="false">H379*I379</f>
        <v>24.44</v>
      </c>
      <c r="K379" s="1" t="n">
        <v>4</v>
      </c>
    </row>
    <row r="380" customFormat="false" ht="15" hidden="false" customHeight="false" outlineLevel="0" collapsed="false">
      <c r="B380" s="1" t="s">
        <v>305</v>
      </c>
      <c r="F380" s="57" t="s">
        <v>306</v>
      </c>
      <c r="H380" s="59" t="n">
        <v>9.73</v>
      </c>
      <c r="I380" s="30" t="n">
        <v>24.52</v>
      </c>
      <c r="J380" s="30" t="n">
        <f aca="false">H380*I380</f>
        <v>238.5796</v>
      </c>
      <c r="K380" s="1" t="n">
        <v>21</v>
      </c>
    </row>
    <row r="381" customFormat="false" ht="15" hidden="false" customHeight="false" outlineLevel="0" collapsed="false">
      <c r="B381" s="1" t="s">
        <v>654</v>
      </c>
      <c r="F381" s="57" t="s">
        <v>202</v>
      </c>
      <c r="H381" s="59" t="n">
        <v>0.186</v>
      </c>
      <c r="I381" s="1" t="n">
        <v>6.14</v>
      </c>
      <c r="J381" s="30" t="n">
        <f aca="false">H381*I381</f>
        <v>1.14204</v>
      </c>
      <c r="K381" s="1" t="n">
        <v>30</v>
      </c>
    </row>
    <row r="382" customFormat="false" ht="15" hidden="false" customHeight="false" outlineLevel="0" collapsed="false">
      <c r="B382" s="1" t="s">
        <v>663</v>
      </c>
      <c r="F382" s="57" t="s">
        <v>437</v>
      </c>
      <c r="H382" s="59" t="n">
        <v>0.36</v>
      </c>
      <c r="I382" s="1" t="n">
        <v>13.93</v>
      </c>
      <c r="J382" s="30" t="n">
        <f aca="false">H382*I382</f>
        <v>5.0148</v>
      </c>
      <c r="K382" s="1" t="n">
        <v>34</v>
      </c>
    </row>
    <row r="383" customFormat="false" ht="15" hidden="false" customHeight="false" outlineLevel="0" collapsed="false">
      <c r="F383" s="57"/>
      <c r="H383" s="59"/>
      <c r="I383" s="30"/>
      <c r="J383" s="89" t="n">
        <f aca="false">ROUND(SUM(J378:J382),2)</f>
        <v>298.37</v>
      </c>
    </row>
    <row r="384" customFormat="false" ht="15" hidden="false" customHeight="false" outlineLevel="0" collapsed="false">
      <c r="B384" s="90" t="s">
        <v>308</v>
      </c>
    </row>
    <row r="385" customFormat="false" ht="15" hidden="false" customHeight="false" outlineLevel="0" collapsed="false">
      <c r="B385" s="1" t="s">
        <v>309</v>
      </c>
      <c r="F385" s="57" t="s">
        <v>310</v>
      </c>
      <c r="H385" s="59" t="n">
        <v>3</v>
      </c>
      <c r="I385" s="30" t="n">
        <f aca="false">J376</f>
        <v>104.09</v>
      </c>
      <c r="J385" s="30" t="n">
        <f aca="false">H385%*I385</f>
        <v>3.1227</v>
      </c>
      <c r="K385" s="1" t="n">
        <v>37</v>
      </c>
    </row>
    <row r="386" customFormat="false" ht="15" hidden="false" customHeight="false" outlineLevel="0" collapsed="false">
      <c r="B386" s="1" t="s">
        <v>665</v>
      </c>
      <c r="F386" s="57" t="s">
        <v>337</v>
      </c>
      <c r="G386" s="58" t="n">
        <v>1</v>
      </c>
      <c r="H386" s="59" t="n">
        <f aca="false">G386*8/$D$370</f>
        <v>0.533333333333333</v>
      </c>
      <c r="I386" s="30" t="n">
        <v>25.63</v>
      </c>
      <c r="J386" s="30" t="n">
        <f aca="false">H386*I386</f>
        <v>13.6693333333333</v>
      </c>
      <c r="K386" s="1" t="n">
        <v>48</v>
      </c>
    </row>
    <row r="387" customFormat="false" ht="15" hidden="false" customHeight="false" outlineLevel="0" collapsed="false">
      <c r="B387" s="1" t="s">
        <v>673</v>
      </c>
      <c r="F387" s="57" t="s">
        <v>337</v>
      </c>
      <c r="G387" s="58" t="n">
        <v>0.5</v>
      </c>
      <c r="H387" s="59" t="n">
        <f aca="false">G387*8/$D$370</f>
        <v>0.266666666666667</v>
      </c>
      <c r="I387" s="30" t="n">
        <v>7.07</v>
      </c>
      <c r="J387" s="30" t="n">
        <f aca="false">H387*I387</f>
        <v>1.88533333333333</v>
      </c>
      <c r="K387" s="1" t="n">
        <v>49</v>
      </c>
    </row>
    <row r="388" customFormat="false" ht="15" hidden="false" customHeight="false" outlineLevel="0" collapsed="false">
      <c r="A388" s="62"/>
      <c r="B388" s="62"/>
      <c r="C388" s="62"/>
      <c r="D388" s="62"/>
      <c r="E388" s="62"/>
      <c r="F388" s="62"/>
      <c r="G388" s="62"/>
      <c r="H388" s="62"/>
      <c r="I388" s="62"/>
      <c r="J388" s="91" t="n">
        <f aca="false">ROUND(SUM(J385:J387),2)</f>
        <v>18.68</v>
      </c>
    </row>
    <row r="390" customFormat="false" ht="15" hidden="false" customHeight="false" outlineLevel="0" collapsed="false">
      <c r="A390" s="85" t="s">
        <v>276</v>
      </c>
      <c r="B390" s="85" t="str">
        <f aca="false">ESTRUCTURA!A37</f>
        <v>02.03.04.02</v>
      </c>
      <c r="C390" s="85" t="s">
        <v>683</v>
      </c>
      <c r="D390" s="85"/>
    </row>
    <row r="391" customFormat="false" ht="15" hidden="false" customHeight="false" outlineLevel="0" collapsed="false">
      <c r="A391" s="85" t="s">
        <v>277</v>
      </c>
      <c r="B391" s="85" t="s">
        <v>278</v>
      </c>
      <c r="C391" s="87" t="s">
        <v>279</v>
      </c>
      <c r="D391" s="88" t="n">
        <v>20</v>
      </c>
      <c r="E391" s="87" t="s">
        <v>280</v>
      </c>
      <c r="F391" s="88" t="n">
        <f aca="false">D391</f>
        <v>20</v>
      </c>
      <c r="G391" s="85" t="s">
        <v>281</v>
      </c>
      <c r="I391" s="87" t="s">
        <v>132</v>
      </c>
      <c r="J391" s="89" t="n">
        <f aca="false">J396+J401+J404</f>
        <v>42.26</v>
      </c>
    </row>
    <row r="392" customFormat="false" ht="15" hidden="false" customHeight="false" outlineLevel="0" collapsed="false">
      <c r="A392" s="85" t="s">
        <v>282</v>
      </c>
      <c r="B392" s="85" t="s">
        <v>283</v>
      </c>
      <c r="F392" s="87" t="s">
        <v>121</v>
      </c>
      <c r="G392" s="87" t="s">
        <v>284</v>
      </c>
      <c r="H392" s="87" t="s">
        <v>285</v>
      </c>
      <c r="I392" s="87" t="s">
        <v>286</v>
      </c>
      <c r="J392" s="87" t="s">
        <v>287</v>
      </c>
    </row>
    <row r="393" customFormat="false" ht="15" hidden="false" customHeight="false" outlineLevel="0" collapsed="false">
      <c r="B393" s="90" t="s">
        <v>288</v>
      </c>
    </row>
    <row r="394" customFormat="false" ht="15" hidden="false" customHeight="false" outlineLevel="0" collapsed="false">
      <c r="B394" s="1" t="s">
        <v>289</v>
      </c>
      <c r="F394" s="57" t="s">
        <v>290</v>
      </c>
      <c r="G394" s="58" t="n">
        <v>1</v>
      </c>
      <c r="H394" s="59" t="n">
        <f aca="false">G394*8/$D$391</f>
        <v>0.4</v>
      </c>
      <c r="I394" s="30" t="n">
        <v>28.94</v>
      </c>
      <c r="J394" s="30" t="n">
        <f aca="false">H394*I394</f>
        <v>11.576</v>
      </c>
      <c r="K394" s="1" t="n">
        <v>47</v>
      </c>
    </row>
    <row r="395" customFormat="false" ht="15" hidden="false" customHeight="false" outlineLevel="0" collapsed="false">
      <c r="B395" s="1" t="s">
        <v>291</v>
      </c>
      <c r="F395" s="57" t="s">
        <v>290</v>
      </c>
      <c r="G395" s="58" t="n">
        <v>1</v>
      </c>
      <c r="H395" s="59" t="n">
        <f aca="false">G395*8/$D$391</f>
        <v>0.4</v>
      </c>
      <c r="I395" s="30" t="n">
        <v>22.66</v>
      </c>
      <c r="J395" s="30" t="n">
        <f aca="false">H395*I395</f>
        <v>9.064</v>
      </c>
      <c r="K395" s="1" t="n">
        <v>47</v>
      </c>
    </row>
    <row r="396" customFormat="false" ht="15" hidden="false" customHeight="false" outlineLevel="0" collapsed="false">
      <c r="F396" s="57"/>
      <c r="G396" s="58"/>
      <c r="H396" s="59"/>
      <c r="J396" s="89" t="n">
        <f aca="false">ROUND(SUM(J394:J395),2)</f>
        <v>20.64</v>
      </c>
    </row>
    <row r="397" customFormat="false" ht="15" hidden="false" customHeight="false" outlineLevel="0" collapsed="false">
      <c r="B397" s="90" t="s">
        <v>652</v>
      </c>
      <c r="F397" s="57"/>
      <c r="G397" s="58"/>
      <c r="H397" s="59"/>
      <c r="J397" s="30"/>
    </row>
    <row r="398" customFormat="false" ht="15" hidden="false" customHeight="false" outlineLevel="0" collapsed="false">
      <c r="B398" s="1" t="s">
        <v>680</v>
      </c>
      <c r="F398" s="57" t="s">
        <v>295</v>
      </c>
      <c r="H398" s="59" t="n">
        <v>0.26</v>
      </c>
      <c r="I398" s="30" t="n">
        <v>2.64</v>
      </c>
      <c r="J398" s="30" t="n">
        <f aca="false">H398*I398</f>
        <v>0.6864</v>
      </c>
      <c r="K398" s="1" t="n">
        <v>2</v>
      </c>
    </row>
    <row r="399" customFormat="false" ht="15" hidden="false" customHeight="false" outlineLevel="0" collapsed="false">
      <c r="B399" s="1" t="s">
        <v>300</v>
      </c>
      <c r="F399" s="57" t="s">
        <v>295</v>
      </c>
      <c r="H399" s="59" t="n">
        <v>0.16</v>
      </c>
      <c r="I399" s="30" t="n">
        <v>5.51</v>
      </c>
      <c r="J399" s="30" t="n">
        <f aca="false">H399*I399</f>
        <v>0.8816</v>
      </c>
      <c r="K399" s="1" t="n">
        <v>2</v>
      </c>
    </row>
    <row r="400" customFormat="false" ht="15" hidden="false" customHeight="false" outlineLevel="0" collapsed="false">
      <c r="B400" s="1" t="s">
        <v>667</v>
      </c>
      <c r="F400" s="57" t="s">
        <v>304</v>
      </c>
      <c r="H400" s="59" t="n">
        <v>3.35</v>
      </c>
      <c r="I400" s="30" t="n">
        <v>5.8</v>
      </c>
      <c r="J400" s="30" t="n">
        <f aca="false">H400*I400</f>
        <v>19.43</v>
      </c>
      <c r="K400" s="1" t="n">
        <v>43</v>
      </c>
    </row>
    <row r="401" customFormat="false" ht="15" hidden="false" customHeight="false" outlineLevel="0" collapsed="false">
      <c r="F401" s="57"/>
      <c r="H401" s="59"/>
      <c r="I401" s="30"/>
      <c r="J401" s="89" t="n">
        <f aca="false">ROUND(SUM(J398:J400),2)</f>
        <v>21</v>
      </c>
    </row>
    <row r="402" customFormat="false" ht="15" hidden="false" customHeight="false" outlineLevel="0" collapsed="false">
      <c r="B402" s="90" t="s">
        <v>308</v>
      </c>
    </row>
    <row r="403" customFormat="false" ht="15" hidden="false" customHeight="false" outlineLevel="0" collapsed="false">
      <c r="B403" s="1" t="s">
        <v>309</v>
      </c>
      <c r="F403" s="57" t="s">
        <v>310</v>
      </c>
      <c r="H403" s="59" t="n">
        <v>3</v>
      </c>
      <c r="I403" s="30" t="n">
        <f aca="false">J396</f>
        <v>20.64</v>
      </c>
      <c r="J403" s="30" t="n">
        <f aca="false">H403%*I403</f>
        <v>0.6192</v>
      </c>
      <c r="K403" s="1" t="n">
        <v>37</v>
      </c>
    </row>
    <row r="404" customFormat="false" ht="15" hidden="false" customHeight="false" outlineLevel="0" collapsed="false">
      <c r="A404" s="62"/>
      <c r="B404" s="62"/>
      <c r="C404" s="62"/>
      <c r="D404" s="62"/>
      <c r="E404" s="62"/>
      <c r="F404" s="62"/>
      <c r="G404" s="62"/>
      <c r="H404" s="62"/>
      <c r="I404" s="62"/>
      <c r="J404" s="91" t="n">
        <f aca="false">ROUND(SUM(J403),2)</f>
        <v>0.62</v>
      </c>
    </row>
    <row r="406" customFormat="false" ht="15" hidden="false" customHeight="false" outlineLevel="0" collapsed="false">
      <c r="A406" s="85" t="s">
        <v>276</v>
      </c>
      <c r="B406" s="85" t="str">
        <f aca="false">ESTRUCTURA!A38</f>
        <v>02.03.04.03</v>
      </c>
      <c r="C406" s="85" t="s">
        <v>684</v>
      </c>
      <c r="D406" s="85"/>
    </row>
    <row r="407" customFormat="false" ht="15" hidden="false" customHeight="false" outlineLevel="0" collapsed="false">
      <c r="A407" s="85" t="s">
        <v>277</v>
      </c>
      <c r="B407" s="85" t="s">
        <v>674</v>
      </c>
      <c r="C407" s="87" t="s">
        <v>279</v>
      </c>
      <c r="D407" s="88" t="n">
        <v>250</v>
      </c>
      <c r="E407" s="87" t="s">
        <v>280</v>
      </c>
      <c r="F407" s="88" t="n">
        <f aca="false">D407</f>
        <v>250</v>
      </c>
      <c r="G407" s="85" t="s">
        <v>281</v>
      </c>
      <c r="I407" s="87" t="s">
        <v>295</v>
      </c>
      <c r="J407" s="89" t="n">
        <f aca="false">J412+J416+J420</f>
        <v>5.53</v>
      </c>
    </row>
    <row r="408" customFormat="false" ht="15" hidden="false" customHeight="false" outlineLevel="0" collapsed="false">
      <c r="A408" s="85" t="s">
        <v>282</v>
      </c>
      <c r="B408" s="85" t="s">
        <v>283</v>
      </c>
      <c r="F408" s="87" t="s">
        <v>121</v>
      </c>
      <c r="G408" s="87" t="s">
        <v>284</v>
      </c>
      <c r="H408" s="87" t="s">
        <v>285</v>
      </c>
      <c r="I408" s="87" t="s">
        <v>286</v>
      </c>
      <c r="J408" s="87" t="s">
        <v>287</v>
      </c>
    </row>
    <row r="409" customFormat="false" ht="15" hidden="false" customHeight="false" outlineLevel="0" collapsed="false">
      <c r="B409" s="90" t="s">
        <v>288</v>
      </c>
      <c r="G409" s="58"/>
    </row>
    <row r="410" customFormat="false" ht="15" hidden="false" customHeight="false" outlineLevel="0" collapsed="false">
      <c r="B410" s="1" t="s">
        <v>289</v>
      </c>
      <c r="F410" s="57" t="s">
        <v>290</v>
      </c>
      <c r="G410" s="58" t="n">
        <v>1</v>
      </c>
      <c r="H410" s="59" t="n">
        <f aca="false">G410*8/$D$407</f>
        <v>0.032</v>
      </c>
      <c r="I410" s="30" t="n">
        <v>28.94</v>
      </c>
      <c r="J410" s="30" t="n">
        <f aca="false">H410*I410</f>
        <v>0.92608</v>
      </c>
      <c r="K410" s="1" t="n">
        <v>47</v>
      </c>
    </row>
    <row r="411" customFormat="false" ht="15" hidden="false" customHeight="false" outlineLevel="0" collapsed="false">
      <c r="B411" s="1" t="s">
        <v>675</v>
      </c>
      <c r="F411" s="57" t="s">
        <v>290</v>
      </c>
      <c r="G411" s="58" t="n">
        <v>1</v>
      </c>
      <c r="H411" s="59" t="n">
        <f aca="false">G411*8/$D$407</f>
        <v>0.032</v>
      </c>
      <c r="I411" s="30" t="n">
        <v>22.66</v>
      </c>
      <c r="J411" s="30" t="n">
        <f aca="false">H411*I411</f>
        <v>0.72512</v>
      </c>
      <c r="K411" s="1" t="n">
        <v>47</v>
      </c>
    </row>
    <row r="412" customFormat="false" ht="15" hidden="false" customHeight="false" outlineLevel="0" collapsed="false">
      <c r="F412" s="57"/>
      <c r="G412" s="58"/>
      <c r="J412" s="89" t="n">
        <f aca="false">ROUND(SUM(J410:J411),2)</f>
        <v>1.65</v>
      </c>
    </row>
    <row r="413" customFormat="false" ht="15" hidden="false" customHeight="false" outlineLevel="0" collapsed="false">
      <c r="B413" s="90" t="s">
        <v>293</v>
      </c>
      <c r="F413" s="57"/>
      <c r="G413" s="58"/>
      <c r="H413" s="101"/>
    </row>
    <row r="414" customFormat="false" ht="15" hidden="false" customHeight="false" outlineLevel="0" collapsed="false">
      <c r="B414" s="1" t="s">
        <v>294</v>
      </c>
      <c r="F414" s="57" t="s">
        <v>295</v>
      </c>
      <c r="G414" s="58"/>
      <c r="H414" s="101" t="n">
        <v>0.03</v>
      </c>
      <c r="I414" s="30" t="n">
        <v>2.64</v>
      </c>
      <c r="J414" s="30" t="n">
        <f aca="false">H414*I414</f>
        <v>0.0792</v>
      </c>
      <c r="K414" s="1" t="n">
        <v>2</v>
      </c>
    </row>
    <row r="415" customFormat="false" ht="15" hidden="false" customHeight="false" outlineLevel="0" collapsed="false">
      <c r="B415" s="1" t="s">
        <v>676</v>
      </c>
      <c r="F415" s="57" t="s">
        <v>295</v>
      </c>
      <c r="G415" s="58"/>
      <c r="H415" s="101" t="n">
        <v>1.05</v>
      </c>
      <c r="I415" s="30" t="n">
        <f aca="false">1012.71*3.379/1000</f>
        <v>3.42194709</v>
      </c>
      <c r="J415" s="30" t="n">
        <f aca="false">H415*I415</f>
        <v>3.5930444445</v>
      </c>
      <c r="K415" s="1" t="n">
        <v>3</v>
      </c>
    </row>
    <row r="416" customFormat="false" ht="15" hidden="false" customHeight="false" outlineLevel="0" collapsed="false">
      <c r="F416" s="57"/>
      <c r="G416" s="58"/>
      <c r="J416" s="89" t="n">
        <f aca="false">ROUND(SUM(J414:J415),2)</f>
        <v>3.67</v>
      </c>
    </row>
    <row r="417" customFormat="false" ht="15" hidden="false" customHeight="false" outlineLevel="0" collapsed="false">
      <c r="B417" s="90" t="s">
        <v>317</v>
      </c>
      <c r="F417" s="57"/>
      <c r="G417" s="58"/>
    </row>
    <row r="418" customFormat="false" ht="15" hidden="false" customHeight="false" outlineLevel="0" collapsed="false">
      <c r="B418" s="1" t="s">
        <v>309</v>
      </c>
      <c r="F418" s="57" t="s">
        <v>310</v>
      </c>
      <c r="H418" s="59" t="n">
        <v>3</v>
      </c>
      <c r="I418" s="30" t="n">
        <f aca="false">J412</f>
        <v>1.65</v>
      </c>
      <c r="J418" s="30" t="n">
        <f aca="false">H418%*I418</f>
        <v>0.0495</v>
      </c>
      <c r="K418" s="1" t="n">
        <v>37</v>
      </c>
    </row>
    <row r="419" customFormat="false" ht="15" hidden="false" customHeight="false" outlineLevel="0" collapsed="false">
      <c r="B419" s="1" t="s">
        <v>677</v>
      </c>
      <c r="F419" s="57" t="s">
        <v>290</v>
      </c>
      <c r="G419" s="58" t="n">
        <v>1</v>
      </c>
      <c r="H419" s="59" t="n">
        <f aca="false">G419*8/$D$407</f>
        <v>0.032</v>
      </c>
      <c r="I419" s="65" t="n">
        <v>5</v>
      </c>
      <c r="J419" s="30" t="n">
        <f aca="false">H419*I419</f>
        <v>0.16</v>
      </c>
      <c r="K419" s="1" t="n">
        <v>37</v>
      </c>
    </row>
    <row r="420" customFormat="false" ht="15" hidden="false" customHeight="false" outlineLevel="0" collapsed="false">
      <c r="A420" s="62"/>
      <c r="B420" s="62"/>
      <c r="C420" s="62"/>
      <c r="D420" s="62"/>
      <c r="E420" s="62"/>
      <c r="F420" s="62"/>
      <c r="G420" s="62"/>
      <c r="H420" s="62"/>
      <c r="I420" s="62"/>
      <c r="J420" s="91" t="n">
        <f aca="false">ROUND(SUM(J418:J419),2)</f>
        <v>0.21</v>
      </c>
    </row>
    <row r="422" customFormat="false" ht="15" hidden="false" customHeight="false" outlineLevel="0" collapsed="false">
      <c r="A422" s="85" t="s">
        <v>276</v>
      </c>
      <c r="B422" s="85" t="str">
        <f aca="false">ESTRUCTURA!A40</f>
        <v>02.03.05.01</v>
      </c>
      <c r="C422" s="85" t="s">
        <v>525</v>
      </c>
      <c r="D422" s="85"/>
    </row>
    <row r="423" customFormat="false" ht="15" hidden="false" customHeight="false" outlineLevel="0" collapsed="false">
      <c r="A423" s="85" t="s">
        <v>277</v>
      </c>
      <c r="B423" s="85" t="s">
        <v>415</v>
      </c>
      <c r="C423" s="87" t="s">
        <v>279</v>
      </c>
      <c r="D423" s="88" t="n">
        <v>15</v>
      </c>
      <c r="E423" s="87" t="s">
        <v>280</v>
      </c>
      <c r="F423" s="88" t="n">
        <f aca="false">D423</f>
        <v>15</v>
      </c>
      <c r="G423" s="85" t="s">
        <v>281</v>
      </c>
      <c r="I423" s="87" t="s">
        <v>202</v>
      </c>
      <c r="J423" s="89" t="n">
        <f aca="false">J429+J436+J441</f>
        <v>399.79</v>
      </c>
    </row>
    <row r="424" customFormat="false" ht="15" hidden="false" customHeight="false" outlineLevel="0" collapsed="false">
      <c r="A424" s="85" t="s">
        <v>282</v>
      </c>
      <c r="B424" s="85" t="s">
        <v>283</v>
      </c>
      <c r="F424" s="87" t="s">
        <v>121</v>
      </c>
      <c r="G424" s="87" t="s">
        <v>284</v>
      </c>
      <c r="H424" s="87" t="s">
        <v>285</v>
      </c>
      <c r="I424" s="87" t="s">
        <v>286</v>
      </c>
      <c r="J424" s="87" t="s">
        <v>287</v>
      </c>
    </row>
    <row r="425" customFormat="false" ht="15" hidden="false" customHeight="false" outlineLevel="0" collapsed="false">
      <c r="B425" s="90" t="s">
        <v>288</v>
      </c>
    </row>
    <row r="426" customFormat="false" ht="15" hidden="false" customHeight="false" outlineLevel="0" collapsed="false">
      <c r="B426" s="1" t="s">
        <v>289</v>
      </c>
      <c r="F426" s="57" t="s">
        <v>290</v>
      </c>
      <c r="G426" s="58" t="n">
        <v>1</v>
      </c>
      <c r="H426" s="59" t="n">
        <f aca="false">G426*8/$D$423</f>
        <v>0.533333333333333</v>
      </c>
      <c r="I426" s="30" t="n">
        <v>28.94</v>
      </c>
      <c r="J426" s="30" t="n">
        <f aca="false">H426*I426</f>
        <v>15.4346666666667</v>
      </c>
      <c r="K426" s="1" t="n">
        <v>47</v>
      </c>
    </row>
    <row r="427" customFormat="false" ht="15" hidden="false" customHeight="false" outlineLevel="0" collapsed="false">
      <c r="B427" s="1" t="s">
        <v>291</v>
      </c>
      <c r="F427" s="57" t="s">
        <v>290</v>
      </c>
      <c r="G427" s="58" t="n">
        <v>2</v>
      </c>
      <c r="H427" s="59" t="n">
        <f aca="false">G427*8/$D$423</f>
        <v>1.06666666666667</v>
      </c>
      <c r="I427" s="30" t="n">
        <v>22.66</v>
      </c>
      <c r="J427" s="30" t="n">
        <f aca="false">H427*I427</f>
        <v>24.1706666666667</v>
      </c>
      <c r="K427" s="1" t="n">
        <v>47</v>
      </c>
    </row>
    <row r="428" customFormat="false" ht="15" hidden="false" customHeight="false" outlineLevel="0" collapsed="false">
      <c r="B428" s="1" t="s">
        <v>292</v>
      </c>
      <c r="F428" s="57" t="s">
        <v>290</v>
      </c>
      <c r="G428" s="58" t="n">
        <v>4</v>
      </c>
      <c r="H428" s="59" t="n">
        <f aca="false">G428*8/$D$423</f>
        <v>2.13333333333333</v>
      </c>
      <c r="I428" s="30" t="n">
        <v>20.51</v>
      </c>
      <c r="J428" s="30" t="n">
        <f aca="false">H428*I428</f>
        <v>43.7546666666667</v>
      </c>
      <c r="K428" s="1" t="n">
        <v>47</v>
      </c>
    </row>
    <row r="429" customFormat="false" ht="15" hidden="false" customHeight="false" outlineLevel="0" collapsed="false">
      <c r="F429" s="57"/>
      <c r="G429" s="58"/>
      <c r="H429" s="59"/>
      <c r="J429" s="89" t="n">
        <f aca="false">ROUND(SUM(J426:J428),2)</f>
        <v>83.36</v>
      </c>
    </row>
    <row r="430" customFormat="false" ht="15" hidden="false" customHeight="false" outlineLevel="0" collapsed="false">
      <c r="B430" s="90" t="s">
        <v>652</v>
      </c>
      <c r="F430" s="57"/>
      <c r="G430" s="58"/>
      <c r="H430" s="59"/>
      <c r="J430" s="30"/>
    </row>
    <row r="431" customFormat="false" ht="15" hidden="false" customHeight="false" outlineLevel="0" collapsed="false">
      <c r="B431" s="1" t="s">
        <v>670</v>
      </c>
      <c r="F431" s="57" t="s">
        <v>202</v>
      </c>
      <c r="H431" s="59" t="n">
        <v>0.53</v>
      </c>
      <c r="I431" s="30" t="n">
        <v>55.08</v>
      </c>
      <c r="J431" s="30" t="n">
        <f aca="false">H431*I431</f>
        <v>29.1924</v>
      </c>
      <c r="K431" s="1" t="n">
        <v>5</v>
      </c>
    </row>
    <row r="432" customFormat="false" ht="15" hidden="false" customHeight="false" outlineLevel="0" collapsed="false">
      <c r="B432" s="1" t="s">
        <v>671</v>
      </c>
      <c r="F432" s="57" t="s">
        <v>202</v>
      </c>
      <c r="H432" s="59" t="n">
        <v>0.52</v>
      </c>
      <c r="I432" s="30" t="n">
        <v>47</v>
      </c>
      <c r="J432" s="30" t="n">
        <f aca="false">H432*I432</f>
        <v>24.44</v>
      </c>
      <c r="K432" s="1" t="n">
        <v>4</v>
      </c>
    </row>
    <row r="433" customFormat="false" ht="15" hidden="false" customHeight="false" outlineLevel="0" collapsed="false">
      <c r="B433" s="1" t="s">
        <v>305</v>
      </c>
      <c r="F433" s="57" t="s">
        <v>306</v>
      </c>
      <c r="H433" s="59" t="n">
        <v>9.73</v>
      </c>
      <c r="I433" s="30" t="n">
        <v>24.52</v>
      </c>
      <c r="J433" s="30" t="n">
        <f aca="false">H433*I433</f>
        <v>238.5796</v>
      </c>
      <c r="K433" s="1" t="n">
        <v>21</v>
      </c>
    </row>
    <row r="434" customFormat="false" ht="15" hidden="false" customHeight="false" outlineLevel="0" collapsed="false">
      <c r="B434" s="1" t="s">
        <v>654</v>
      </c>
      <c r="F434" s="57" t="s">
        <v>202</v>
      </c>
      <c r="H434" s="59" t="n">
        <v>0.186</v>
      </c>
      <c r="I434" s="1" t="n">
        <v>6.14</v>
      </c>
      <c r="J434" s="30" t="n">
        <f aca="false">H434*I434</f>
        <v>1.14204</v>
      </c>
      <c r="K434" s="1" t="n">
        <v>30</v>
      </c>
    </row>
    <row r="435" customFormat="false" ht="15" hidden="false" customHeight="false" outlineLevel="0" collapsed="false">
      <c r="B435" s="1" t="s">
        <v>663</v>
      </c>
      <c r="F435" s="57" t="s">
        <v>437</v>
      </c>
      <c r="H435" s="59" t="n">
        <v>0.36</v>
      </c>
      <c r="I435" s="1" t="n">
        <v>13.93</v>
      </c>
      <c r="J435" s="30" t="n">
        <f aca="false">H435*I435</f>
        <v>5.0148</v>
      </c>
      <c r="K435" s="1" t="n">
        <v>34</v>
      </c>
    </row>
    <row r="436" customFormat="false" ht="15" hidden="false" customHeight="false" outlineLevel="0" collapsed="false">
      <c r="F436" s="57"/>
      <c r="H436" s="59"/>
      <c r="I436" s="30"/>
      <c r="J436" s="89" t="n">
        <f aca="false">ROUND(SUM(J431:J435),2)</f>
        <v>298.37</v>
      </c>
    </row>
    <row r="437" customFormat="false" ht="15" hidden="false" customHeight="false" outlineLevel="0" collapsed="false">
      <c r="B437" s="90" t="s">
        <v>308</v>
      </c>
    </row>
    <row r="438" customFormat="false" ht="15" hidden="false" customHeight="false" outlineLevel="0" collapsed="false">
      <c r="B438" s="1" t="s">
        <v>309</v>
      </c>
      <c r="F438" s="57" t="s">
        <v>310</v>
      </c>
      <c r="H438" s="59" t="n">
        <v>3</v>
      </c>
      <c r="I438" s="30" t="n">
        <f aca="false">J429</f>
        <v>83.36</v>
      </c>
      <c r="J438" s="30" t="n">
        <f aca="false">H438%*I438</f>
        <v>2.5008</v>
      </c>
      <c r="K438" s="1" t="n">
        <v>37</v>
      </c>
    </row>
    <row r="439" customFormat="false" ht="15" hidden="false" customHeight="false" outlineLevel="0" collapsed="false">
      <c r="B439" s="1" t="s">
        <v>665</v>
      </c>
      <c r="F439" s="57" t="s">
        <v>337</v>
      </c>
      <c r="G439" s="58" t="n">
        <v>1</v>
      </c>
      <c r="H439" s="59" t="n">
        <f aca="false">G439*8/$D$423</f>
        <v>0.533333333333333</v>
      </c>
      <c r="I439" s="30" t="n">
        <v>25.63</v>
      </c>
      <c r="J439" s="30" t="n">
        <f aca="false">H439*I439</f>
        <v>13.6693333333333</v>
      </c>
      <c r="K439" s="1" t="n">
        <v>48</v>
      </c>
    </row>
    <row r="440" customFormat="false" ht="15" hidden="false" customHeight="false" outlineLevel="0" collapsed="false">
      <c r="B440" s="1" t="s">
        <v>673</v>
      </c>
      <c r="F440" s="57" t="s">
        <v>337</v>
      </c>
      <c r="G440" s="58" t="n">
        <v>0.5</v>
      </c>
      <c r="H440" s="59" t="n">
        <f aca="false">G440*8/$D$423</f>
        <v>0.266666666666667</v>
      </c>
      <c r="I440" s="30" t="n">
        <v>7.07</v>
      </c>
      <c r="J440" s="30" t="n">
        <f aca="false">H440*I440</f>
        <v>1.88533333333333</v>
      </c>
      <c r="K440" s="1" t="n">
        <v>49</v>
      </c>
    </row>
    <row r="441" customFormat="false" ht="15" hidden="false" customHeight="false" outlineLevel="0" collapsed="false">
      <c r="A441" s="62"/>
      <c r="B441" s="62"/>
      <c r="C441" s="62"/>
      <c r="D441" s="62"/>
      <c r="E441" s="62"/>
      <c r="F441" s="62"/>
      <c r="G441" s="62"/>
      <c r="H441" s="62"/>
      <c r="I441" s="62"/>
      <c r="J441" s="91" t="n">
        <f aca="false">ROUND(SUM(J438:J440),2)</f>
        <v>18.06</v>
      </c>
    </row>
    <row r="443" customFormat="false" ht="15" hidden="false" customHeight="false" outlineLevel="0" collapsed="false">
      <c r="A443" s="85" t="s">
        <v>276</v>
      </c>
      <c r="B443" s="85" t="str">
        <f aca="false">ESTRUCTURA!A41</f>
        <v>02.03.05.02</v>
      </c>
      <c r="C443" s="85" t="s">
        <v>527</v>
      </c>
      <c r="D443" s="85"/>
    </row>
    <row r="444" customFormat="false" ht="15" hidden="false" customHeight="false" outlineLevel="0" collapsed="false">
      <c r="A444" s="85" t="s">
        <v>277</v>
      </c>
      <c r="B444" s="85" t="s">
        <v>278</v>
      </c>
      <c r="C444" s="87" t="s">
        <v>279</v>
      </c>
      <c r="D444" s="88" t="n">
        <v>35</v>
      </c>
      <c r="E444" s="87" t="s">
        <v>280</v>
      </c>
      <c r="F444" s="88" t="n">
        <f aca="false">D444</f>
        <v>35</v>
      </c>
      <c r="G444" s="85" t="s">
        <v>281</v>
      </c>
      <c r="I444" s="87" t="s">
        <v>132</v>
      </c>
      <c r="J444" s="89" t="n">
        <f aca="false">J450+J455+J458</f>
        <v>46.59</v>
      </c>
    </row>
    <row r="445" customFormat="false" ht="15" hidden="false" customHeight="false" outlineLevel="0" collapsed="false">
      <c r="A445" s="85" t="s">
        <v>282</v>
      </c>
      <c r="B445" s="85" t="s">
        <v>283</v>
      </c>
      <c r="F445" s="87" t="s">
        <v>121</v>
      </c>
      <c r="G445" s="87" t="s">
        <v>284</v>
      </c>
      <c r="H445" s="87" t="s">
        <v>285</v>
      </c>
      <c r="I445" s="87" t="s">
        <v>286</v>
      </c>
      <c r="J445" s="87" t="s">
        <v>287</v>
      </c>
    </row>
    <row r="446" customFormat="false" ht="15" hidden="false" customHeight="false" outlineLevel="0" collapsed="false">
      <c r="B446" s="90" t="s">
        <v>288</v>
      </c>
    </row>
    <row r="447" customFormat="false" ht="15" hidden="false" customHeight="false" outlineLevel="0" collapsed="false">
      <c r="B447" s="1" t="s">
        <v>289</v>
      </c>
      <c r="F447" s="57" t="s">
        <v>290</v>
      </c>
      <c r="G447" s="58" t="n">
        <v>2</v>
      </c>
      <c r="H447" s="59" t="n">
        <f aca="false">G447*8/$D$444</f>
        <v>0.457142857142857</v>
      </c>
      <c r="I447" s="30" t="n">
        <v>28.94</v>
      </c>
      <c r="J447" s="30" t="n">
        <f aca="false">H447*I447</f>
        <v>13.2297142857143</v>
      </c>
      <c r="K447" s="1" t="n">
        <v>47</v>
      </c>
    </row>
    <row r="448" customFormat="false" ht="15" hidden="false" customHeight="false" outlineLevel="0" collapsed="false">
      <c r="B448" s="1" t="s">
        <v>291</v>
      </c>
      <c r="F448" s="57" t="s">
        <v>290</v>
      </c>
      <c r="G448" s="58" t="n">
        <v>1</v>
      </c>
      <c r="H448" s="59" t="n">
        <f aca="false">G448*8/$D$444</f>
        <v>0.228571428571429</v>
      </c>
      <c r="I448" s="30" t="n">
        <v>22.66</v>
      </c>
      <c r="J448" s="30" t="n">
        <f aca="false">H448*I448</f>
        <v>5.17942857142857</v>
      </c>
      <c r="K448" s="1" t="n">
        <v>47</v>
      </c>
    </row>
    <row r="449" customFormat="false" ht="15" hidden="false" customHeight="false" outlineLevel="0" collapsed="false">
      <c r="B449" s="1" t="s">
        <v>292</v>
      </c>
      <c r="F449" s="57" t="s">
        <v>290</v>
      </c>
      <c r="G449" s="58" t="n">
        <v>1</v>
      </c>
      <c r="H449" s="59" t="n">
        <f aca="false">G449*8/$D$444</f>
        <v>0.228571428571429</v>
      </c>
      <c r="I449" s="30" t="n">
        <v>20.51</v>
      </c>
      <c r="J449" s="30" t="n">
        <f aca="false">H449*I449</f>
        <v>4.688</v>
      </c>
      <c r="K449" s="1" t="n">
        <v>47</v>
      </c>
    </row>
    <row r="450" customFormat="false" ht="15" hidden="false" customHeight="false" outlineLevel="0" collapsed="false">
      <c r="F450" s="57"/>
      <c r="G450" s="58"/>
      <c r="H450" s="59"/>
      <c r="J450" s="89" t="n">
        <f aca="false">ROUND(SUM(J447:J449),2)</f>
        <v>23.1</v>
      </c>
    </row>
    <row r="451" customFormat="false" ht="15" hidden="false" customHeight="false" outlineLevel="0" collapsed="false">
      <c r="B451" s="90" t="s">
        <v>652</v>
      </c>
      <c r="F451" s="57"/>
      <c r="G451" s="58"/>
      <c r="H451" s="59"/>
      <c r="J451" s="30"/>
    </row>
    <row r="452" customFormat="false" ht="15" hidden="false" customHeight="false" outlineLevel="0" collapsed="false">
      <c r="B452" s="1" t="s">
        <v>685</v>
      </c>
      <c r="F452" s="57" t="s">
        <v>295</v>
      </c>
      <c r="H452" s="59" t="n">
        <v>0.3</v>
      </c>
      <c r="I452" s="30" t="n">
        <v>2.64</v>
      </c>
      <c r="J452" s="30" t="n">
        <f aca="false">H452*I452</f>
        <v>0.792</v>
      </c>
      <c r="K452" s="1" t="n">
        <v>2</v>
      </c>
    </row>
    <row r="453" customFormat="false" ht="15" hidden="false" customHeight="false" outlineLevel="0" collapsed="false">
      <c r="B453" s="1" t="s">
        <v>300</v>
      </c>
      <c r="F453" s="57" t="s">
        <v>295</v>
      </c>
      <c r="H453" s="59" t="n">
        <v>0.31</v>
      </c>
      <c r="I453" s="30" t="n">
        <v>5.51</v>
      </c>
      <c r="J453" s="30" t="n">
        <f aca="false">H453*I453</f>
        <v>1.7081</v>
      </c>
      <c r="K453" s="1" t="n">
        <v>2</v>
      </c>
    </row>
    <row r="454" customFormat="false" ht="15" hidden="false" customHeight="false" outlineLevel="0" collapsed="false">
      <c r="B454" s="1" t="s">
        <v>667</v>
      </c>
      <c r="F454" s="57" t="s">
        <v>304</v>
      </c>
      <c r="H454" s="59" t="n">
        <v>3.5</v>
      </c>
      <c r="I454" s="30" t="n">
        <v>5.8</v>
      </c>
      <c r="J454" s="30" t="n">
        <f aca="false">H454*I454</f>
        <v>20.3</v>
      </c>
      <c r="K454" s="1" t="n">
        <v>43</v>
      </c>
    </row>
    <row r="455" customFormat="false" ht="15" hidden="false" customHeight="false" outlineLevel="0" collapsed="false">
      <c r="F455" s="57"/>
      <c r="H455" s="59"/>
      <c r="I455" s="30"/>
      <c r="J455" s="89" t="n">
        <f aca="false">ROUND(SUM(J452:J454),2)</f>
        <v>22.8</v>
      </c>
    </row>
    <row r="456" customFormat="false" ht="15" hidden="false" customHeight="false" outlineLevel="0" collapsed="false">
      <c r="B456" s="90" t="s">
        <v>308</v>
      </c>
    </row>
    <row r="457" customFormat="false" ht="15" hidden="false" customHeight="false" outlineLevel="0" collapsed="false">
      <c r="B457" s="1" t="s">
        <v>309</v>
      </c>
      <c r="F457" s="57" t="s">
        <v>310</v>
      </c>
      <c r="H457" s="59" t="n">
        <v>3</v>
      </c>
      <c r="I457" s="30" t="n">
        <f aca="false">J450</f>
        <v>23.1</v>
      </c>
      <c r="J457" s="30" t="n">
        <f aca="false">H457%*I457</f>
        <v>0.693</v>
      </c>
      <c r="K457" s="1" t="n">
        <v>37</v>
      </c>
    </row>
    <row r="458" customFormat="false" ht="15" hidden="false" customHeight="false" outlineLevel="0" collapsed="false">
      <c r="A458" s="62"/>
      <c r="B458" s="62"/>
      <c r="C458" s="62"/>
      <c r="D458" s="62"/>
      <c r="E458" s="62"/>
      <c r="F458" s="62"/>
      <c r="G458" s="62"/>
      <c r="H458" s="62"/>
      <c r="I458" s="62"/>
      <c r="J458" s="91" t="n">
        <f aca="false">ROUND(SUM(J457),2)</f>
        <v>0.69</v>
      </c>
    </row>
    <row r="460" customFormat="false" ht="15" hidden="false" customHeight="false" outlineLevel="0" collapsed="false">
      <c r="A460" s="85" t="s">
        <v>276</v>
      </c>
      <c r="B460" s="85" t="str">
        <f aca="false">ESTRUCTURA!A42</f>
        <v>02.03.05.03</v>
      </c>
      <c r="C460" s="85" t="s">
        <v>529</v>
      </c>
      <c r="D460" s="85"/>
    </row>
    <row r="461" customFormat="false" ht="15" hidden="false" customHeight="false" outlineLevel="0" collapsed="false">
      <c r="A461" s="85" t="s">
        <v>277</v>
      </c>
      <c r="B461" s="85" t="s">
        <v>278</v>
      </c>
      <c r="C461" s="87" t="s">
        <v>279</v>
      </c>
      <c r="D461" s="88" t="n">
        <v>250</v>
      </c>
      <c r="E461" s="87" t="s">
        <v>280</v>
      </c>
      <c r="F461" s="88" t="n">
        <f aca="false">D461</f>
        <v>250</v>
      </c>
      <c r="G461" s="85" t="s">
        <v>281</v>
      </c>
      <c r="I461" s="87" t="s">
        <v>132</v>
      </c>
      <c r="J461" s="89" t="n">
        <f aca="false">J466+J470+J474</f>
        <v>5.53</v>
      </c>
    </row>
    <row r="462" customFormat="false" ht="15" hidden="false" customHeight="false" outlineLevel="0" collapsed="false">
      <c r="A462" s="85" t="s">
        <v>282</v>
      </c>
      <c r="B462" s="85" t="s">
        <v>283</v>
      </c>
      <c r="F462" s="87" t="s">
        <v>121</v>
      </c>
      <c r="G462" s="87" t="s">
        <v>284</v>
      </c>
      <c r="H462" s="87" t="s">
        <v>285</v>
      </c>
      <c r="I462" s="87" t="s">
        <v>286</v>
      </c>
      <c r="J462" s="87" t="s">
        <v>287</v>
      </c>
    </row>
    <row r="463" customFormat="false" ht="15" hidden="false" customHeight="false" outlineLevel="0" collapsed="false">
      <c r="B463" s="90" t="s">
        <v>288</v>
      </c>
    </row>
    <row r="464" customFormat="false" ht="15" hidden="false" customHeight="false" outlineLevel="0" collapsed="false">
      <c r="B464" s="1" t="s">
        <v>289</v>
      </c>
      <c r="F464" s="57" t="s">
        <v>290</v>
      </c>
      <c r="G464" s="58" t="n">
        <v>1</v>
      </c>
      <c r="H464" s="101" t="n">
        <f aca="false">G464*8/$D$461</f>
        <v>0.032</v>
      </c>
      <c r="I464" s="30" t="n">
        <v>28.94</v>
      </c>
      <c r="J464" s="30" t="n">
        <f aca="false">H464*I464</f>
        <v>0.92608</v>
      </c>
      <c r="K464" s="1" t="n">
        <v>47</v>
      </c>
    </row>
    <row r="465" customFormat="false" ht="15" hidden="false" customHeight="false" outlineLevel="0" collapsed="false">
      <c r="B465" s="1" t="s">
        <v>675</v>
      </c>
      <c r="F465" s="57" t="s">
        <v>290</v>
      </c>
      <c r="G465" s="58" t="n">
        <v>1</v>
      </c>
      <c r="H465" s="101" t="n">
        <f aca="false">G465*8/$D$461</f>
        <v>0.032</v>
      </c>
      <c r="I465" s="30" t="n">
        <v>22.66</v>
      </c>
      <c r="J465" s="30" t="n">
        <f aca="false">H465*I465</f>
        <v>0.72512</v>
      </c>
      <c r="K465" s="1" t="n">
        <v>47</v>
      </c>
    </row>
    <row r="466" customFormat="false" ht="15" hidden="false" customHeight="false" outlineLevel="0" collapsed="false">
      <c r="F466" s="57"/>
      <c r="G466" s="58"/>
      <c r="J466" s="89" t="n">
        <f aca="false">ROUND(SUM(J464:J465),2)</f>
        <v>1.65</v>
      </c>
    </row>
    <row r="467" customFormat="false" ht="15" hidden="false" customHeight="false" outlineLevel="0" collapsed="false">
      <c r="B467" s="90" t="s">
        <v>293</v>
      </c>
      <c r="F467" s="57"/>
      <c r="G467" s="58"/>
      <c r="H467" s="101"/>
    </row>
    <row r="468" customFormat="false" ht="15" hidden="false" customHeight="false" outlineLevel="0" collapsed="false">
      <c r="B468" s="1" t="s">
        <v>294</v>
      </c>
      <c r="F468" s="57" t="s">
        <v>295</v>
      </c>
      <c r="G468" s="58"/>
      <c r="H468" s="101" t="n">
        <v>0.03</v>
      </c>
      <c r="I468" s="30" t="n">
        <v>2.64</v>
      </c>
      <c r="J468" s="30" t="n">
        <f aca="false">H468*I468</f>
        <v>0.0792</v>
      </c>
      <c r="K468" s="1" t="n">
        <v>2</v>
      </c>
    </row>
    <row r="469" customFormat="false" ht="15" hidden="false" customHeight="false" outlineLevel="0" collapsed="false">
      <c r="B469" s="1" t="s">
        <v>676</v>
      </c>
      <c r="F469" s="57" t="s">
        <v>295</v>
      </c>
      <c r="G469" s="58"/>
      <c r="H469" s="101" t="n">
        <v>1.05</v>
      </c>
      <c r="I469" s="30" t="n">
        <f aca="false">1012.71*3.379/1000</f>
        <v>3.42194709</v>
      </c>
      <c r="J469" s="30" t="n">
        <f aca="false">H469*I469</f>
        <v>3.5930444445</v>
      </c>
      <c r="K469" s="1" t="n">
        <v>3</v>
      </c>
    </row>
    <row r="470" customFormat="false" ht="15" hidden="false" customHeight="false" outlineLevel="0" collapsed="false">
      <c r="F470" s="57"/>
      <c r="G470" s="58"/>
      <c r="J470" s="89" t="n">
        <f aca="false">ROUND(SUM(J468:J469),2)</f>
        <v>3.67</v>
      </c>
    </row>
    <row r="471" customFormat="false" ht="15" hidden="false" customHeight="false" outlineLevel="0" collapsed="false">
      <c r="B471" s="90" t="s">
        <v>317</v>
      </c>
      <c r="F471" s="57"/>
      <c r="G471" s="58"/>
    </row>
    <row r="472" customFormat="false" ht="15" hidden="false" customHeight="false" outlineLevel="0" collapsed="false">
      <c r="B472" s="1" t="s">
        <v>309</v>
      </c>
      <c r="F472" s="57" t="s">
        <v>310</v>
      </c>
      <c r="H472" s="59" t="n">
        <v>3</v>
      </c>
      <c r="I472" s="30" t="n">
        <f aca="false">J466</f>
        <v>1.65</v>
      </c>
      <c r="J472" s="30" t="n">
        <f aca="false">H472%*I472</f>
        <v>0.0495</v>
      </c>
      <c r="K472" s="1" t="n">
        <v>37</v>
      </c>
    </row>
    <row r="473" customFormat="false" ht="15" hidden="false" customHeight="false" outlineLevel="0" collapsed="false">
      <c r="B473" s="1" t="s">
        <v>677</v>
      </c>
      <c r="F473" s="57" t="s">
        <v>290</v>
      </c>
      <c r="G473" s="58" t="n">
        <v>1</v>
      </c>
      <c r="H473" s="101" t="n">
        <f aca="false">G473*8/$D$461</f>
        <v>0.032</v>
      </c>
      <c r="I473" s="65" t="n">
        <v>5</v>
      </c>
      <c r="J473" s="30" t="n">
        <f aca="false">H473*I473</f>
        <v>0.16</v>
      </c>
      <c r="K473" s="1" t="n">
        <v>37</v>
      </c>
    </row>
    <row r="474" customFormat="false" ht="15" hidden="false" customHeight="false" outlineLevel="0" collapsed="false">
      <c r="A474" s="62"/>
      <c r="B474" s="62"/>
      <c r="C474" s="62"/>
      <c r="D474" s="62"/>
      <c r="E474" s="62"/>
      <c r="F474" s="62"/>
      <c r="G474" s="62"/>
      <c r="H474" s="62"/>
      <c r="I474" s="62"/>
      <c r="J474" s="91" t="n">
        <f aca="false">ROUND(SUM(J472:J473),2)</f>
        <v>0.21</v>
      </c>
    </row>
    <row r="475" customFormat="false" ht="15" hidden="false" customHeight="false" outlineLevel="0" collapsed="false">
      <c r="J475" s="89"/>
    </row>
    <row r="476" customFormat="false" ht="15" hidden="false" customHeight="false" outlineLevel="0" collapsed="false">
      <c r="A476" s="85" t="s">
        <v>276</v>
      </c>
      <c r="B476" s="85" t="str">
        <f aca="false">ESTRUCTURA!A44</f>
        <v>02.03.06.01</v>
      </c>
      <c r="C476" s="85" t="s">
        <v>686</v>
      </c>
      <c r="D476" s="85"/>
    </row>
    <row r="477" customFormat="false" ht="15" hidden="false" customHeight="false" outlineLevel="0" collapsed="false">
      <c r="A477" s="85" t="s">
        <v>277</v>
      </c>
      <c r="B477" s="85" t="s">
        <v>415</v>
      </c>
      <c r="C477" s="87" t="s">
        <v>279</v>
      </c>
      <c r="D477" s="88" t="n">
        <v>15</v>
      </c>
      <c r="E477" s="87" t="s">
        <v>280</v>
      </c>
      <c r="F477" s="88" t="n">
        <f aca="false">D477</f>
        <v>15</v>
      </c>
      <c r="G477" s="85" t="s">
        <v>281</v>
      </c>
      <c r="I477" s="87" t="s">
        <v>202</v>
      </c>
      <c r="J477" s="89" t="n">
        <f aca="false">J483+J490+J495</f>
        <v>356.19</v>
      </c>
    </row>
    <row r="478" customFormat="false" ht="15" hidden="false" customHeight="false" outlineLevel="0" collapsed="false">
      <c r="A478" s="85" t="s">
        <v>282</v>
      </c>
      <c r="B478" s="85" t="s">
        <v>283</v>
      </c>
      <c r="F478" s="87" t="s">
        <v>121</v>
      </c>
      <c r="G478" s="87" t="s">
        <v>284</v>
      </c>
      <c r="H478" s="87" t="s">
        <v>285</v>
      </c>
      <c r="I478" s="87" t="s">
        <v>286</v>
      </c>
      <c r="J478" s="87" t="s">
        <v>287</v>
      </c>
    </row>
    <row r="479" customFormat="false" ht="15" hidden="false" customHeight="false" outlineLevel="0" collapsed="false">
      <c r="B479" s="90" t="s">
        <v>288</v>
      </c>
    </row>
    <row r="480" customFormat="false" ht="15" hidden="false" customHeight="false" outlineLevel="0" collapsed="false">
      <c r="B480" s="1" t="s">
        <v>289</v>
      </c>
      <c r="F480" s="57" t="s">
        <v>290</v>
      </c>
      <c r="G480" s="58" t="n">
        <v>1</v>
      </c>
      <c r="H480" s="59" t="n">
        <f aca="false">G480*8/$D$477</f>
        <v>0.533333333333333</v>
      </c>
      <c r="I480" s="30" t="n">
        <v>28.94</v>
      </c>
      <c r="J480" s="30" t="n">
        <f aca="false">H480*I480</f>
        <v>15.4346666666667</v>
      </c>
      <c r="K480" s="1" t="n">
        <v>47</v>
      </c>
    </row>
    <row r="481" customFormat="false" ht="15" hidden="false" customHeight="false" outlineLevel="0" collapsed="false">
      <c r="B481" s="1" t="s">
        <v>291</v>
      </c>
      <c r="F481" s="57" t="s">
        <v>290</v>
      </c>
      <c r="G481" s="58" t="n">
        <v>2</v>
      </c>
      <c r="H481" s="59" t="n">
        <f aca="false">G481*8/$D$477</f>
        <v>1.06666666666667</v>
      </c>
      <c r="I481" s="30" t="n">
        <v>22.66</v>
      </c>
      <c r="J481" s="30" t="n">
        <f aca="false">H481*I481</f>
        <v>24.1706666666667</v>
      </c>
      <c r="K481" s="1" t="n">
        <v>47</v>
      </c>
    </row>
    <row r="482" customFormat="false" ht="15" hidden="false" customHeight="false" outlineLevel="0" collapsed="false">
      <c r="B482" s="1" t="s">
        <v>292</v>
      </c>
      <c r="F482" s="57" t="s">
        <v>290</v>
      </c>
      <c r="G482" s="58" t="n">
        <v>4</v>
      </c>
      <c r="H482" s="59" t="n">
        <f aca="false">G482*8/$D$477</f>
        <v>2.13333333333333</v>
      </c>
      <c r="I482" s="30" t="n">
        <v>20.51</v>
      </c>
      <c r="J482" s="30" t="n">
        <f aca="false">H482*I482</f>
        <v>43.7546666666667</v>
      </c>
      <c r="K482" s="1" t="n">
        <v>47</v>
      </c>
    </row>
    <row r="483" customFormat="false" ht="15" hidden="false" customHeight="false" outlineLevel="0" collapsed="false">
      <c r="F483" s="57"/>
      <c r="G483" s="58"/>
      <c r="H483" s="59"/>
      <c r="J483" s="89" t="n">
        <f aca="false">ROUND(SUM(J480:J482),2)</f>
        <v>83.36</v>
      </c>
    </row>
    <row r="484" customFormat="false" ht="15" hidden="false" customHeight="false" outlineLevel="0" collapsed="false">
      <c r="B484" s="90" t="s">
        <v>652</v>
      </c>
      <c r="F484" s="57"/>
      <c r="G484" s="58"/>
      <c r="H484" s="59"/>
      <c r="J484" s="30"/>
    </row>
    <row r="485" customFormat="false" ht="15" hidden="false" customHeight="false" outlineLevel="0" collapsed="false">
      <c r="B485" s="1" t="s">
        <v>670</v>
      </c>
      <c r="F485" s="57" t="s">
        <v>202</v>
      </c>
      <c r="H485" s="59" t="n">
        <v>0.51</v>
      </c>
      <c r="I485" s="30" t="n">
        <v>55.08</v>
      </c>
      <c r="J485" s="30" t="n">
        <f aca="false">H485*I485</f>
        <v>28.0908</v>
      </c>
      <c r="K485" s="1" t="n">
        <v>5</v>
      </c>
    </row>
    <row r="486" customFormat="false" ht="15" hidden="false" customHeight="false" outlineLevel="0" collapsed="false">
      <c r="B486" s="1" t="s">
        <v>671</v>
      </c>
      <c r="F486" s="57" t="s">
        <v>202</v>
      </c>
      <c r="H486" s="59" t="n">
        <v>0.49</v>
      </c>
      <c r="I486" s="30" t="n">
        <v>47</v>
      </c>
      <c r="J486" s="30" t="n">
        <f aca="false">H486*I486</f>
        <v>23.03</v>
      </c>
      <c r="K486" s="1" t="n">
        <v>4</v>
      </c>
    </row>
    <row r="487" customFormat="false" ht="15" hidden="false" customHeight="false" outlineLevel="0" collapsed="false">
      <c r="B487" s="1" t="s">
        <v>305</v>
      </c>
      <c r="F487" s="57" t="s">
        <v>306</v>
      </c>
      <c r="H487" s="59" t="n">
        <v>8.02</v>
      </c>
      <c r="I487" s="30" t="n">
        <v>24.52</v>
      </c>
      <c r="J487" s="30" t="n">
        <f aca="false">H487*I487</f>
        <v>196.6504</v>
      </c>
      <c r="K487" s="1" t="n">
        <v>21</v>
      </c>
    </row>
    <row r="488" customFormat="false" ht="15" hidden="false" customHeight="false" outlineLevel="0" collapsed="false">
      <c r="B488" s="1" t="s">
        <v>654</v>
      </c>
      <c r="F488" s="57" t="s">
        <v>202</v>
      </c>
      <c r="H488" s="59" t="n">
        <v>0.232</v>
      </c>
      <c r="I488" s="1" t="n">
        <v>6.14</v>
      </c>
      <c r="J488" s="30" t="n">
        <f aca="false">H488*I488</f>
        <v>1.42448</v>
      </c>
      <c r="K488" s="1" t="n">
        <v>30</v>
      </c>
    </row>
    <row r="489" customFormat="false" ht="15" hidden="false" customHeight="false" outlineLevel="0" collapsed="false">
      <c r="B489" s="1" t="s">
        <v>663</v>
      </c>
      <c r="F489" s="57" t="s">
        <v>437</v>
      </c>
      <c r="H489" s="59" t="n">
        <v>0.4</v>
      </c>
      <c r="I489" s="1" t="n">
        <v>13.93</v>
      </c>
      <c r="J489" s="30" t="n">
        <f aca="false">H489*I489</f>
        <v>5.572</v>
      </c>
      <c r="K489" s="1" t="n">
        <v>34</v>
      </c>
    </row>
    <row r="490" customFormat="false" ht="15" hidden="false" customHeight="false" outlineLevel="0" collapsed="false">
      <c r="F490" s="57"/>
      <c r="H490" s="59"/>
      <c r="I490" s="30"/>
      <c r="J490" s="89" t="n">
        <f aca="false">ROUND(SUM(J485:J489),2)</f>
        <v>254.77</v>
      </c>
    </row>
    <row r="491" customFormat="false" ht="15" hidden="false" customHeight="false" outlineLevel="0" collapsed="false">
      <c r="B491" s="90" t="s">
        <v>308</v>
      </c>
    </row>
    <row r="492" customFormat="false" ht="15" hidden="false" customHeight="false" outlineLevel="0" collapsed="false">
      <c r="B492" s="1" t="s">
        <v>309</v>
      </c>
      <c r="F492" s="57" t="s">
        <v>310</v>
      </c>
      <c r="H492" s="59" t="n">
        <v>3</v>
      </c>
      <c r="I492" s="30" t="n">
        <f aca="false">J483</f>
        <v>83.36</v>
      </c>
      <c r="J492" s="30" t="n">
        <f aca="false">H492%*I492</f>
        <v>2.5008</v>
      </c>
      <c r="K492" s="1" t="n">
        <v>37</v>
      </c>
    </row>
    <row r="493" customFormat="false" ht="15" hidden="false" customHeight="false" outlineLevel="0" collapsed="false">
      <c r="B493" s="1" t="s">
        <v>665</v>
      </c>
      <c r="F493" s="57" t="s">
        <v>337</v>
      </c>
      <c r="G493" s="58" t="n">
        <v>1</v>
      </c>
      <c r="H493" s="59" t="n">
        <f aca="false">G493*8/$D$477</f>
        <v>0.533333333333333</v>
      </c>
      <c r="I493" s="30" t="n">
        <v>25.63</v>
      </c>
      <c r="J493" s="30" t="n">
        <f aca="false">H493*I493</f>
        <v>13.6693333333333</v>
      </c>
      <c r="K493" s="1" t="n">
        <v>48</v>
      </c>
    </row>
    <row r="494" customFormat="false" ht="15" hidden="false" customHeight="false" outlineLevel="0" collapsed="false">
      <c r="B494" s="1" t="s">
        <v>673</v>
      </c>
      <c r="F494" s="57" t="s">
        <v>337</v>
      </c>
      <c r="G494" s="58" t="n">
        <v>0.5</v>
      </c>
      <c r="H494" s="59" t="n">
        <f aca="false">G494*8/$D$477</f>
        <v>0.266666666666667</v>
      </c>
      <c r="I494" s="30" t="n">
        <v>7.07</v>
      </c>
      <c r="J494" s="30" t="n">
        <f aca="false">H494*I494</f>
        <v>1.88533333333333</v>
      </c>
      <c r="K494" s="1" t="n">
        <v>49</v>
      </c>
    </row>
    <row r="495" customFormat="false" ht="15" hidden="false" customHeight="false" outlineLevel="0" collapsed="false">
      <c r="A495" s="62"/>
      <c r="B495" s="62"/>
      <c r="C495" s="62"/>
      <c r="D495" s="62"/>
      <c r="E495" s="62"/>
      <c r="F495" s="62"/>
      <c r="G495" s="62"/>
      <c r="H495" s="62"/>
      <c r="I495" s="62"/>
      <c r="J495" s="91" t="n">
        <f aca="false">ROUND(SUM(J492:J494),2)</f>
        <v>18.06</v>
      </c>
    </row>
    <row r="497" customFormat="false" ht="15" hidden="false" customHeight="false" outlineLevel="0" collapsed="false">
      <c r="A497" s="85" t="s">
        <v>276</v>
      </c>
      <c r="B497" s="85" t="str">
        <f aca="false">ESTRUCTURA!A45</f>
        <v>02.03.06.02</v>
      </c>
      <c r="C497" s="85" t="s">
        <v>535</v>
      </c>
      <c r="D497" s="85"/>
    </row>
    <row r="498" customFormat="false" ht="15" hidden="false" customHeight="false" outlineLevel="0" collapsed="false">
      <c r="A498" s="85" t="s">
        <v>277</v>
      </c>
      <c r="B498" s="85" t="s">
        <v>278</v>
      </c>
      <c r="C498" s="87" t="s">
        <v>279</v>
      </c>
      <c r="D498" s="88" t="n">
        <v>35</v>
      </c>
      <c r="E498" s="87" t="s">
        <v>280</v>
      </c>
      <c r="F498" s="88" t="n">
        <f aca="false">D498</f>
        <v>35</v>
      </c>
      <c r="G498" s="85" t="s">
        <v>281</v>
      </c>
      <c r="I498" s="87" t="s">
        <v>132</v>
      </c>
      <c r="J498" s="89" t="n">
        <f aca="false">J504+J509+J512</f>
        <v>46.59</v>
      </c>
    </row>
    <row r="499" customFormat="false" ht="15" hidden="false" customHeight="false" outlineLevel="0" collapsed="false">
      <c r="A499" s="85" t="s">
        <v>282</v>
      </c>
      <c r="B499" s="85" t="s">
        <v>283</v>
      </c>
      <c r="F499" s="87" t="s">
        <v>121</v>
      </c>
      <c r="G499" s="87" t="s">
        <v>284</v>
      </c>
      <c r="H499" s="87" t="s">
        <v>285</v>
      </c>
      <c r="I499" s="87" t="s">
        <v>286</v>
      </c>
      <c r="J499" s="87" t="s">
        <v>287</v>
      </c>
    </row>
    <row r="500" customFormat="false" ht="15" hidden="false" customHeight="false" outlineLevel="0" collapsed="false">
      <c r="B500" s="90" t="s">
        <v>288</v>
      </c>
    </row>
    <row r="501" customFormat="false" ht="15" hidden="false" customHeight="false" outlineLevel="0" collapsed="false">
      <c r="B501" s="1" t="s">
        <v>289</v>
      </c>
      <c r="F501" s="57" t="s">
        <v>290</v>
      </c>
      <c r="G501" s="58" t="n">
        <v>2</v>
      </c>
      <c r="H501" s="59" t="n">
        <f aca="false">G501*8/$D$498</f>
        <v>0.457142857142857</v>
      </c>
      <c r="I501" s="30" t="n">
        <v>28.94</v>
      </c>
      <c r="J501" s="30" t="n">
        <f aca="false">H501*I501</f>
        <v>13.2297142857143</v>
      </c>
      <c r="K501" s="1" t="n">
        <v>47</v>
      </c>
    </row>
    <row r="502" customFormat="false" ht="15" hidden="false" customHeight="false" outlineLevel="0" collapsed="false">
      <c r="B502" s="1" t="s">
        <v>291</v>
      </c>
      <c r="F502" s="57" t="s">
        <v>290</v>
      </c>
      <c r="G502" s="58" t="n">
        <v>1</v>
      </c>
      <c r="H502" s="59" t="n">
        <f aca="false">G502*8/$D$498</f>
        <v>0.228571428571429</v>
      </c>
      <c r="I502" s="30" t="n">
        <v>22.66</v>
      </c>
      <c r="J502" s="30" t="n">
        <f aca="false">H502*I502</f>
        <v>5.17942857142857</v>
      </c>
      <c r="K502" s="1" t="n">
        <v>47</v>
      </c>
    </row>
    <row r="503" customFormat="false" ht="15" hidden="false" customHeight="false" outlineLevel="0" collapsed="false">
      <c r="B503" s="1" t="s">
        <v>292</v>
      </c>
      <c r="F503" s="57" t="s">
        <v>290</v>
      </c>
      <c r="G503" s="58" t="n">
        <v>1</v>
      </c>
      <c r="H503" s="59" t="n">
        <f aca="false">G503*8/$D$498</f>
        <v>0.228571428571429</v>
      </c>
      <c r="I503" s="30" t="n">
        <v>20.51</v>
      </c>
      <c r="J503" s="30" t="n">
        <f aca="false">H503*I503</f>
        <v>4.688</v>
      </c>
      <c r="K503" s="1" t="n">
        <v>47</v>
      </c>
    </row>
    <row r="504" customFormat="false" ht="15" hidden="false" customHeight="false" outlineLevel="0" collapsed="false">
      <c r="F504" s="57"/>
      <c r="G504" s="58"/>
      <c r="H504" s="59"/>
      <c r="J504" s="89" t="n">
        <f aca="false">ROUND(SUM(J501:J503),2)</f>
        <v>23.1</v>
      </c>
    </row>
    <row r="505" customFormat="false" ht="15" hidden="false" customHeight="false" outlineLevel="0" collapsed="false">
      <c r="B505" s="90" t="s">
        <v>652</v>
      </c>
      <c r="F505" s="57"/>
      <c r="G505" s="58"/>
      <c r="H505" s="59"/>
      <c r="J505" s="30"/>
    </row>
    <row r="506" customFormat="false" ht="15" hidden="false" customHeight="false" outlineLevel="0" collapsed="false">
      <c r="B506" s="1" t="s">
        <v>685</v>
      </c>
      <c r="F506" s="57" t="s">
        <v>295</v>
      </c>
      <c r="H506" s="59" t="n">
        <v>0.3</v>
      </c>
      <c r="I506" s="30" t="n">
        <v>2.64</v>
      </c>
      <c r="J506" s="30" t="n">
        <f aca="false">H506*I506</f>
        <v>0.792</v>
      </c>
      <c r="K506" s="1" t="n">
        <v>2</v>
      </c>
    </row>
    <row r="507" customFormat="false" ht="15" hidden="false" customHeight="false" outlineLevel="0" collapsed="false">
      <c r="B507" s="1" t="s">
        <v>300</v>
      </c>
      <c r="F507" s="57" t="s">
        <v>295</v>
      </c>
      <c r="H507" s="59" t="n">
        <v>0.31</v>
      </c>
      <c r="I507" s="30" t="n">
        <v>5.51</v>
      </c>
      <c r="J507" s="30" t="n">
        <f aca="false">H507*I507</f>
        <v>1.7081</v>
      </c>
      <c r="K507" s="1" t="n">
        <v>2</v>
      </c>
    </row>
    <row r="508" customFormat="false" ht="15" hidden="false" customHeight="false" outlineLevel="0" collapsed="false">
      <c r="B508" s="1" t="s">
        <v>667</v>
      </c>
      <c r="F508" s="57" t="s">
        <v>304</v>
      </c>
      <c r="H508" s="59" t="n">
        <v>3.5</v>
      </c>
      <c r="I508" s="30" t="n">
        <v>5.8</v>
      </c>
      <c r="J508" s="30" t="n">
        <f aca="false">H508*I508</f>
        <v>20.3</v>
      </c>
      <c r="K508" s="1" t="n">
        <v>43</v>
      </c>
    </row>
    <row r="509" customFormat="false" ht="15" hidden="false" customHeight="false" outlineLevel="0" collapsed="false">
      <c r="F509" s="57"/>
      <c r="H509" s="59"/>
      <c r="I509" s="30"/>
      <c r="J509" s="89" t="n">
        <f aca="false">ROUND(SUM(J506:J508),2)</f>
        <v>22.8</v>
      </c>
    </row>
    <row r="510" customFormat="false" ht="15" hidden="false" customHeight="false" outlineLevel="0" collapsed="false">
      <c r="B510" s="90" t="s">
        <v>308</v>
      </c>
    </row>
    <row r="511" customFormat="false" ht="15" hidden="false" customHeight="false" outlineLevel="0" collapsed="false">
      <c r="B511" s="1" t="s">
        <v>309</v>
      </c>
      <c r="F511" s="57" t="s">
        <v>310</v>
      </c>
      <c r="H511" s="59" t="n">
        <v>3</v>
      </c>
      <c r="I511" s="30" t="n">
        <f aca="false">J504</f>
        <v>23.1</v>
      </c>
      <c r="J511" s="30" t="n">
        <f aca="false">H511%*I511</f>
        <v>0.693</v>
      </c>
      <c r="K511" s="1" t="n">
        <v>37</v>
      </c>
    </row>
    <row r="512" customFormat="false" ht="15" hidden="false" customHeight="false" outlineLevel="0" collapsed="false">
      <c r="A512" s="62"/>
      <c r="B512" s="62"/>
      <c r="C512" s="62"/>
      <c r="D512" s="62"/>
      <c r="E512" s="62"/>
      <c r="F512" s="62"/>
      <c r="G512" s="62"/>
      <c r="H512" s="62"/>
      <c r="I512" s="62"/>
      <c r="J512" s="91" t="n">
        <f aca="false">ROUND(SUM(J511),2)</f>
        <v>0.69</v>
      </c>
    </row>
    <row r="514" customFormat="false" ht="15" hidden="false" customHeight="false" outlineLevel="0" collapsed="false">
      <c r="A514" s="85" t="s">
        <v>276</v>
      </c>
      <c r="B514" s="85" t="str">
        <f aca="false">ESTRUCTURA!A46</f>
        <v>02.03.06.03</v>
      </c>
      <c r="C514" s="85" t="s">
        <v>537</v>
      </c>
      <c r="D514" s="85"/>
    </row>
    <row r="515" customFormat="false" ht="15" hidden="false" customHeight="false" outlineLevel="0" collapsed="false">
      <c r="A515" s="85" t="s">
        <v>277</v>
      </c>
      <c r="B515" s="85" t="s">
        <v>278</v>
      </c>
      <c r="C515" s="87" t="s">
        <v>279</v>
      </c>
      <c r="D515" s="88" t="n">
        <v>250</v>
      </c>
      <c r="E515" s="87" t="s">
        <v>280</v>
      </c>
      <c r="F515" s="88" t="n">
        <f aca="false">D515</f>
        <v>250</v>
      </c>
      <c r="G515" s="85" t="s">
        <v>281</v>
      </c>
      <c r="I515" s="87" t="s">
        <v>132</v>
      </c>
      <c r="J515" s="89" t="n">
        <f aca="false">J520+J524+J528</f>
        <v>5.53</v>
      </c>
    </row>
    <row r="516" customFormat="false" ht="15" hidden="false" customHeight="false" outlineLevel="0" collapsed="false">
      <c r="A516" s="85" t="s">
        <v>282</v>
      </c>
      <c r="B516" s="85" t="s">
        <v>283</v>
      </c>
      <c r="F516" s="87" t="s">
        <v>121</v>
      </c>
      <c r="G516" s="87" t="s">
        <v>284</v>
      </c>
      <c r="H516" s="87" t="s">
        <v>285</v>
      </c>
      <c r="I516" s="87" t="s">
        <v>286</v>
      </c>
      <c r="J516" s="87" t="s">
        <v>287</v>
      </c>
    </row>
    <row r="517" customFormat="false" ht="15" hidden="false" customHeight="false" outlineLevel="0" collapsed="false">
      <c r="B517" s="90" t="s">
        <v>288</v>
      </c>
    </row>
    <row r="518" customFormat="false" ht="15" hidden="false" customHeight="false" outlineLevel="0" collapsed="false">
      <c r="B518" s="1" t="s">
        <v>289</v>
      </c>
      <c r="F518" s="57" t="s">
        <v>290</v>
      </c>
      <c r="G518" s="58" t="n">
        <v>1</v>
      </c>
      <c r="H518" s="59" t="n">
        <f aca="false">G518*8/$D$515</f>
        <v>0.032</v>
      </c>
      <c r="I518" s="30" t="n">
        <v>28.94</v>
      </c>
      <c r="J518" s="30" t="n">
        <f aca="false">H518*I518</f>
        <v>0.92608</v>
      </c>
      <c r="K518" s="1" t="n">
        <v>47</v>
      </c>
    </row>
    <row r="519" customFormat="false" ht="15" hidden="false" customHeight="false" outlineLevel="0" collapsed="false">
      <c r="B519" s="1" t="s">
        <v>675</v>
      </c>
      <c r="F519" s="57" t="s">
        <v>290</v>
      </c>
      <c r="G519" s="58" t="n">
        <v>1</v>
      </c>
      <c r="H519" s="59" t="n">
        <f aca="false">G519*8/$D$515</f>
        <v>0.032</v>
      </c>
      <c r="I519" s="30" t="n">
        <v>22.66</v>
      </c>
      <c r="J519" s="30" t="n">
        <f aca="false">H519*I519</f>
        <v>0.72512</v>
      </c>
      <c r="K519" s="1" t="n">
        <v>47</v>
      </c>
    </row>
    <row r="520" customFormat="false" ht="15" hidden="false" customHeight="false" outlineLevel="0" collapsed="false">
      <c r="F520" s="57"/>
      <c r="G520" s="58"/>
      <c r="J520" s="89" t="n">
        <f aca="false">ROUND(SUM(J518:J519),2)</f>
        <v>1.65</v>
      </c>
    </row>
    <row r="521" customFormat="false" ht="15" hidden="false" customHeight="false" outlineLevel="0" collapsed="false">
      <c r="B521" s="90" t="s">
        <v>293</v>
      </c>
      <c r="F521" s="57"/>
      <c r="G521" s="58"/>
      <c r="H521" s="101"/>
    </row>
    <row r="522" customFormat="false" ht="15" hidden="false" customHeight="false" outlineLevel="0" collapsed="false">
      <c r="B522" s="1" t="s">
        <v>294</v>
      </c>
      <c r="F522" s="57" t="s">
        <v>295</v>
      </c>
      <c r="G522" s="58"/>
      <c r="H522" s="101" t="n">
        <v>0.03</v>
      </c>
      <c r="I522" s="30" t="n">
        <v>2.64</v>
      </c>
      <c r="J522" s="30" t="n">
        <f aca="false">H522*I522</f>
        <v>0.0792</v>
      </c>
      <c r="K522" s="1" t="n">
        <v>2</v>
      </c>
    </row>
    <row r="523" customFormat="false" ht="15" hidden="false" customHeight="false" outlineLevel="0" collapsed="false">
      <c r="B523" s="1" t="s">
        <v>676</v>
      </c>
      <c r="F523" s="57" t="s">
        <v>295</v>
      </c>
      <c r="G523" s="58"/>
      <c r="H523" s="101" t="n">
        <v>1.05</v>
      </c>
      <c r="I523" s="30" t="n">
        <f aca="false">1012.71*3.379/1000</f>
        <v>3.42194709</v>
      </c>
      <c r="J523" s="30" t="n">
        <f aca="false">H523*I523</f>
        <v>3.5930444445</v>
      </c>
      <c r="K523" s="1" t="n">
        <v>3</v>
      </c>
    </row>
    <row r="524" customFormat="false" ht="15" hidden="false" customHeight="false" outlineLevel="0" collapsed="false">
      <c r="F524" s="57"/>
      <c r="G524" s="58"/>
      <c r="J524" s="89" t="n">
        <f aca="false">ROUND(SUM(J522:J523),2)</f>
        <v>3.67</v>
      </c>
    </row>
    <row r="525" customFormat="false" ht="15" hidden="false" customHeight="false" outlineLevel="0" collapsed="false">
      <c r="B525" s="90" t="s">
        <v>317</v>
      </c>
      <c r="F525" s="57"/>
      <c r="G525" s="58"/>
    </row>
    <row r="526" customFormat="false" ht="15" hidden="false" customHeight="false" outlineLevel="0" collapsed="false">
      <c r="B526" s="1" t="s">
        <v>309</v>
      </c>
      <c r="F526" s="57" t="s">
        <v>310</v>
      </c>
      <c r="H526" s="59" t="n">
        <v>3</v>
      </c>
      <c r="I526" s="30" t="n">
        <f aca="false">J520</f>
        <v>1.65</v>
      </c>
      <c r="J526" s="30" t="n">
        <f aca="false">H526%*I526</f>
        <v>0.0495</v>
      </c>
      <c r="K526" s="1" t="n">
        <v>37</v>
      </c>
    </row>
    <row r="527" customFormat="false" ht="15" hidden="false" customHeight="false" outlineLevel="0" collapsed="false">
      <c r="B527" s="1" t="s">
        <v>677</v>
      </c>
      <c r="F527" s="57" t="s">
        <v>290</v>
      </c>
      <c r="G527" s="58" t="n">
        <v>1</v>
      </c>
      <c r="H527" s="59" t="n">
        <f aca="false">G527*8/$D$515</f>
        <v>0.032</v>
      </c>
      <c r="I527" s="65" t="n">
        <v>5</v>
      </c>
      <c r="J527" s="30" t="n">
        <f aca="false">H527*I527</f>
        <v>0.16</v>
      </c>
      <c r="K527" s="1" t="n">
        <v>37</v>
      </c>
    </row>
    <row r="528" customFormat="false" ht="15" hidden="false" customHeight="false" outlineLevel="0" collapsed="false">
      <c r="A528" s="62"/>
      <c r="B528" s="62"/>
      <c r="C528" s="62"/>
      <c r="D528" s="62"/>
      <c r="E528" s="62"/>
      <c r="F528" s="62"/>
      <c r="G528" s="62"/>
      <c r="H528" s="62"/>
      <c r="I528" s="62"/>
      <c r="J528" s="91" t="n">
        <f aca="false">ROUND(SUM(J526:J527),2)</f>
        <v>0.21</v>
      </c>
    </row>
    <row r="530" customFormat="false" ht="15" hidden="false" customHeight="false" outlineLevel="0" collapsed="false">
      <c r="A530" s="85" t="s">
        <v>276</v>
      </c>
      <c r="B530" s="85" t="str">
        <f aca="false">ESTRUCTURA!A48</f>
        <v>02.03.07.01</v>
      </c>
      <c r="C530" s="85" t="s">
        <v>541</v>
      </c>
      <c r="D530" s="85"/>
      <c r="R530" s="85"/>
    </row>
    <row r="531" customFormat="false" ht="15" hidden="false" customHeight="false" outlineLevel="0" collapsed="false">
      <c r="A531" s="85" t="s">
        <v>277</v>
      </c>
      <c r="B531" s="85" t="s">
        <v>415</v>
      </c>
      <c r="C531" s="87" t="s">
        <v>279</v>
      </c>
      <c r="D531" s="88" t="n">
        <v>22</v>
      </c>
      <c r="E531" s="87" t="s">
        <v>280</v>
      </c>
      <c r="F531" s="88" t="n">
        <f aca="false">D531</f>
        <v>22</v>
      </c>
      <c r="G531" s="85" t="s">
        <v>281</v>
      </c>
      <c r="I531" s="87" t="s">
        <v>202</v>
      </c>
      <c r="J531" s="89" t="n">
        <f aca="false">J537+J544+J550</f>
        <v>390.28</v>
      </c>
    </row>
    <row r="532" customFormat="false" ht="15" hidden="false" customHeight="false" outlineLevel="0" collapsed="false">
      <c r="A532" s="85" t="s">
        <v>282</v>
      </c>
      <c r="B532" s="85" t="s">
        <v>283</v>
      </c>
      <c r="F532" s="87" t="s">
        <v>121</v>
      </c>
      <c r="G532" s="87" t="s">
        <v>284</v>
      </c>
      <c r="H532" s="87" t="s">
        <v>285</v>
      </c>
      <c r="I532" s="87" t="s">
        <v>286</v>
      </c>
      <c r="J532" s="87" t="s">
        <v>287</v>
      </c>
    </row>
    <row r="533" customFormat="false" ht="15" hidden="false" customHeight="false" outlineLevel="0" collapsed="false">
      <c r="B533" s="90" t="s">
        <v>288</v>
      </c>
    </row>
    <row r="534" customFormat="false" ht="15" hidden="false" customHeight="false" outlineLevel="0" collapsed="false">
      <c r="B534" s="1" t="s">
        <v>289</v>
      </c>
      <c r="F534" s="57" t="s">
        <v>290</v>
      </c>
      <c r="G534" s="58" t="n">
        <v>2</v>
      </c>
      <c r="H534" s="59" t="n">
        <f aca="false">G534*8/$D$531</f>
        <v>0.727272727272727</v>
      </c>
      <c r="I534" s="30" t="n">
        <v>28.94</v>
      </c>
      <c r="J534" s="30" t="n">
        <f aca="false">H534*I534</f>
        <v>21.0472727272727</v>
      </c>
      <c r="K534" s="1" t="n">
        <v>47</v>
      </c>
      <c r="R534" s="85"/>
    </row>
    <row r="535" customFormat="false" ht="15" hidden="false" customHeight="false" outlineLevel="0" collapsed="false">
      <c r="B535" s="1" t="s">
        <v>291</v>
      </c>
      <c r="F535" s="57" t="s">
        <v>290</v>
      </c>
      <c r="G535" s="58" t="n">
        <v>1</v>
      </c>
      <c r="H535" s="59" t="n">
        <f aca="false">G535*8/$D$531</f>
        <v>0.363636363636364</v>
      </c>
      <c r="I535" s="30" t="n">
        <v>22.66</v>
      </c>
      <c r="J535" s="30" t="n">
        <f aca="false">H535*I535</f>
        <v>8.24</v>
      </c>
      <c r="K535" s="1" t="n">
        <v>47</v>
      </c>
      <c r="R535" s="85"/>
    </row>
    <row r="536" customFormat="false" ht="15" hidden="false" customHeight="false" outlineLevel="0" collapsed="false">
      <c r="B536" s="1" t="s">
        <v>292</v>
      </c>
      <c r="F536" s="57" t="s">
        <v>290</v>
      </c>
      <c r="G536" s="58" t="n">
        <v>6</v>
      </c>
      <c r="H536" s="59" t="n">
        <f aca="false">G536*8/$D$531</f>
        <v>2.18181818181818</v>
      </c>
      <c r="I536" s="30" t="n">
        <v>20.51</v>
      </c>
      <c r="J536" s="30" t="n">
        <f aca="false">H536*I536</f>
        <v>44.7490909090909</v>
      </c>
      <c r="K536" s="1" t="n">
        <v>47</v>
      </c>
      <c r="R536" s="85"/>
    </row>
    <row r="537" customFormat="false" ht="15" hidden="false" customHeight="false" outlineLevel="0" collapsed="false">
      <c r="F537" s="57"/>
      <c r="G537" s="58"/>
      <c r="H537" s="59"/>
      <c r="J537" s="89" t="n">
        <f aca="false">ROUND(SUM(J534:J536),2)</f>
        <v>74.04</v>
      </c>
      <c r="R537" s="85"/>
    </row>
    <row r="538" customFormat="false" ht="15" hidden="false" customHeight="false" outlineLevel="0" collapsed="false">
      <c r="B538" s="90" t="s">
        <v>652</v>
      </c>
      <c r="F538" s="57"/>
      <c r="G538" s="58"/>
      <c r="H538" s="59"/>
      <c r="J538" s="30"/>
      <c r="R538" s="85"/>
    </row>
    <row r="539" customFormat="false" ht="15" hidden="false" customHeight="false" outlineLevel="0" collapsed="false">
      <c r="B539" s="1" t="s">
        <v>670</v>
      </c>
      <c r="F539" s="57" t="s">
        <v>202</v>
      </c>
      <c r="H539" s="59" t="n">
        <v>0.53</v>
      </c>
      <c r="I539" s="30" t="n">
        <v>55.08</v>
      </c>
      <c r="J539" s="30" t="n">
        <f aca="false">H539*I539</f>
        <v>29.1924</v>
      </c>
      <c r="K539" s="1" t="n">
        <v>5</v>
      </c>
      <c r="R539" s="85"/>
    </row>
    <row r="540" customFormat="false" ht="15" hidden="false" customHeight="false" outlineLevel="0" collapsed="false">
      <c r="B540" s="1" t="s">
        <v>671</v>
      </c>
      <c r="F540" s="57" t="s">
        <v>202</v>
      </c>
      <c r="H540" s="59" t="n">
        <v>0.52</v>
      </c>
      <c r="I540" s="30" t="n">
        <v>47</v>
      </c>
      <c r="J540" s="30" t="n">
        <f aca="false">H540*I540</f>
        <v>24.44</v>
      </c>
      <c r="K540" s="1" t="n">
        <v>4</v>
      </c>
      <c r="R540" s="85"/>
    </row>
    <row r="541" customFormat="false" ht="15" hidden="false" customHeight="false" outlineLevel="0" collapsed="false">
      <c r="B541" s="1" t="s">
        <v>305</v>
      </c>
      <c r="F541" s="57" t="s">
        <v>306</v>
      </c>
      <c r="H541" s="59" t="n">
        <v>9.73</v>
      </c>
      <c r="I541" s="30" t="n">
        <v>24.52</v>
      </c>
      <c r="J541" s="30" t="n">
        <f aca="false">H541*I541</f>
        <v>238.5796</v>
      </c>
      <c r="K541" s="1" t="n">
        <v>21</v>
      </c>
      <c r="R541" s="85"/>
    </row>
    <row r="542" customFormat="false" ht="15" hidden="false" customHeight="false" outlineLevel="0" collapsed="false">
      <c r="B542" s="1" t="s">
        <v>654</v>
      </c>
      <c r="F542" s="57" t="s">
        <v>202</v>
      </c>
      <c r="H542" s="59" t="n">
        <v>0.186</v>
      </c>
      <c r="I542" s="1" t="n">
        <v>6.14</v>
      </c>
      <c r="J542" s="30" t="n">
        <f aca="false">H542*I542</f>
        <v>1.14204</v>
      </c>
      <c r="K542" s="1" t="n">
        <v>30</v>
      </c>
      <c r="R542" s="85"/>
    </row>
    <row r="543" customFormat="false" ht="15" hidden="false" customHeight="false" outlineLevel="0" collapsed="false">
      <c r="B543" s="1" t="s">
        <v>663</v>
      </c>
      <c r="F543" s="57" t="s">
        <v>437</v>
      </c>
      <c r="H543" s="59" t="n">
        <v>0.2</v>
      </c>
      <c r="I543" s="1" t="n">
        <v>13.93</v>
      </c>
      <c r="J543" s="30" t="n">
        <f aca="false">H543*I543</f>
        <v>2.786</v>
      </c>
      <c r="K543" s="1" t="n">
        <v>34</v>
      </c>
      <c r="R543" s="85"/>
    </row>
    <row r="544" customFormat="false" ht="15" hidden="false" customHeight="false" outlineLevel="0" collapsed="false">
      <c r="F544" s="57"/>
      <c r="H544" s="59"/>
      <c r="I544" s="30"/>
      <c r="J544" s="89" t="n">
        <f aca="false">ROUND(SUM(J539:J543),2)</f>
        <v>296.14</v>
      </c>
      <c r="R544" s="85"/>
    </row>
    <row r="545" customFormat="false" ht="15" hidden="false" customHeight="false" outlineLevel="0" collapsed="false">
      <c r="B545" s="90" t="s">
        <v>308</v>
      </c>
      <c r="R545" s="85"/>
    </row>
    <row r="546" customFormat="false" ht="15" hidden="false" customHeight="false" outlineLevel="0" collapsed="false">
      <c r="B546" s="1" t="s">
        <v>309</v>
      </c>
      <c r="F546" s="57" t="s">
        <v>310</v>
      </c>
      <c r="H546" s="59" t="n">
        <v>3</v>
      </c>
      <c r="I546" s="30" t="n">
        <f aca="false">J537</f>
        <v>74.04</v>
      </c>
      <c r="J546" s="30" t="n">
        <f aca="false">H546%*I546</f>
        <v>2.2212</v>
      </c>
      <c r="K546" s="1" t="n">
        <v>37</v>
      </c>
    </row>
    <row r="547" customFormat="false" ht="15" hidden="false" customHeight="false" outlineLevel="0" collapsed="false">
      <c r="B547" s="1" t="s">
        <v>665</v>
      </c>
      <c r="F547" s="57" t="s">
        <v>337</v>
      </c>
      <c r="G547" s="58" t="n">
        <v>1</v>
      </c>
      <c r="H547" s="59" t="n">
        <f aca="false">G547*8/$D$531</f>
        <v>0.363636363636364</v>
      </c>
      <c r="I547" s="30" t="n">
        <v>25.63</v>
      </c>
      <c r="J547" s="30" t="n">
        <f aca="false">H547*I547</f>
        <v>9.32</v>
      </c>
      <c r="K547" s="1" t="n">
        <v>48</v>
      </c>
    </row>
    <row r="548" customFormat="false" ht="15" hidden="false" customHeight="false" outlineLevel="0" collapsed="false">
      <c r="B548" s="1" t="s">
        <v>687</v>
      </c>
      <c r="F548" s="57" t="s">
        <v>337</v>
      </c>
      <c r="G548" s="58" t="n">
        <v>1</v>
      </c>
      <c r="H548" s="59" t="n">
        <f aca="false">G548*8/$D$531</f>
        <v>0.363636363636364</v>
      </c>
      <c r="I548" s="65" t="n">
        <v>20</v>
      </c>
      <c r="J548" s="30" t="n">
        <f aca="false">H548*I548</f>
        <v>7.27272727272727</v>
      </c>
      <c r="K548" s="1" t="n">
        <v>49</v>
      </c>
    </row>
    <row r="549" customFormat="false" ht="15" hidden="false" customHeight="false" outlineLevel="0" collapsed="false">
      <c r="B549" s="1" t="s">
        <v>673</v>
      </c>
      <c r="F549" s="57" t="s">
        <v>337</v>
      </c>
      <c r="G549" s="58" t="n">
        <v>0.5</v>
      </c>
      <c r="H549" s="59" t="n">
        <f aca="false">G549*8/$D$531</f>
        <v>0.181818181818182</v>
      </c>
      <c r="I549" s="1" t="n">
        <v>7.07</v>
      </c>
      <c r="J549" s="30" t="n">
        <f aca="false">H549*I549</f>
        <v>1.28545454545455</v>
      </c>
      <c r="K549" s="1" t="n">
        <v>49</v>
      </c>
    </row>
    <row r="550" customFormat="false" ht="15" hidden="false" customHeight="false" outlineLevel="0" collapsed="false">
      <c r="A550" s="62"/>
      <c r="B550" s="62"/>
      <c r="C550" s="62"/>
      <c r="D550" s="62"/>
      <c r="E550" s="62"/>
      <c r="F550" s="62"/>
      <c r="G550" s="62"/>
      <c r="H550" s="62"/>
      <c r="I550" s="62"/>
      <c r="J550" s="91" t="n">
        <f aca="false">ROUND(SUM(J546:J549),2)</f>
        <v>20.1</v>
      </c>
    </row>
    <row r="552" customFormat="false" ht="15" hidden="false" customHeight="false" outlineLevel="0" collapsed="false">
      <c r="A552" s="85" t="s">
        <v>276</v>
      </c>
      <c r="B552" s="85" t="str">
        <f aca="false">ESTRUCTURA!A49</f>
        <v>02.03.07.02</v>
      </c>
      <c r="C552" s="85" t="s">
        <v>543</v>
      </c>
      <c r="D552" s="85"/>
    </row>
    <row r="553" customFormat="false" ht="15" hidden="false" customHeight="false" outlineLevel="0" collapsed="false">
      <c r="A553" s="85" t="s">
        <v>277</v>
      </c>
      <c r="B553" s="85" t="s">
        <v>278</v>
      </c>
      <c r="C553" s="87" t="s">
        <v>279</v>
      </c>
      <c r="D553" s="88" t="n">
        <v>35</v>
      </c>
      <c r="E553" s="87" t="s">
        <v>280</v>
      </c>
      <c r="F553" s="88" t="n">
        <f aca="false">D553</f>
        <v>35</v>
      </c>
      <c r="G553" s="85" t="s">
        <v>281</v>
      </c>
      <c r="I553" s="87" t="s">
        <v>132</v>
      </c>
      <c r="J553" s="89" t="n">
        <f aca="false">J558+J563+J566</f>
        <v>50.4</v>
      </c>
    </row>
    <row r="554" customFormat="false" ht="15" hidden="false" customHeight="false" outlineLevel="0" collapsed="false">
      <c r="A554" s="85" t="s">
        <v>282</v>
      </c>
      <c r="B554" s="85" t="s">
        <v>283</v>
      </c>
      <c r="F554" s="87" t="s">
        <v>121</v>
      </c>
      <c r="G554" s="87" t="s">
        <v>284</v>
      </c>
      <c r="H554" s="87" t="s">
        <v>285</v>
      </c>
      <c r="I554" s="87" t="s">
        <v>286</v>
      </c>
      <c r="J554" s="87" t="s">
        <v>287</v>
      </c>
    </row>
    <row r="555" customFormat="false" ht="15" hidden="false" customHeight="false" outlineLevel="0" collapsed="false">
      <c r="B555" s="90" t="s">
        <v>288</v>
      </c>
    </row>
    <row r="556" customFormat="false" ht="15" hidden="false" customHeight="false" outlineLevel="0" collapsed="false">
      <c r="B556" s="1" t="s">
        <v>289</v>
      </c>
      <c r="F556" s="57" t="s">
        <v>290</v>
      </c>
      <c r="G556" s="58" t="n">
        <v>2</v>
      </c>
      <c r="H556" s="59" t="n">
        <f aca="false">G556*8/$D$553</f>
        <v>0.457142857142857</v>
      </c>
      <c r="I556" s="30" t="n">
        <v>28.94</v>
      </c>
      <c r="J556" s="30" t="n">
        <f aca="false">H556*I556</f>
        <v>13.2297142857143</v>
      </c>
      <c r="K556" s="1" t="n">
        <v>47</v>
      </c>
    </row>
    <row r="557" customFormat="false" ht="15" hidden="false" customHeight="false" outlineLevel="0" collapsed="false">
      <c r="B557" s="1" t="s">
        <v>292</v>
      </c>
      <c r="F557" s="57" t="s">
        <v>290</v>
      </c>
      <c r="G557" s="58" t="n">
        <v>2</v>
      </c>
      <c r="H557" s="59" t="n">
        <f aca="false">G557*8/$D$553</f>
        <v>0.457142857142857</v>
      </c>
      <c r="I557" s="30" t="n">
        <v>20.51</v>
      </c>
      <c r="J557" s="30" t="n">
        <f aca="false">H557*I557</f>
        <v>9.376</v>
      </c>
      <c r="K557" s="1" t="n">
        <v>47</v>
      </c>
    </row>
    <row r="558" customFormat="false" ht="15" hidden="false" customHeight="false" outlineLevel="0" collapsed="false">
      <c r="F558" s="57"/>
      <c r="G558" s="58"/>
      <c r="H558" s="59"/>
      <c r="I558" s="30"/>
      <c r="J558" s="89" t="n">
        <f aca="false">ROUND(SUM(J556:J557),2)</f>
        <v>22.61</v>
      </c>
    </row>
    <row r="559" customFormat="false" ht="15" hidden="false" customHeight="false" outlineLevel="0" collapsed="false">
      <c r="B559" s="90" t="s">
        <v>652</v>
      </c>
      <c r="F559" s="57"/>
      <c r="G559" s="58"/>
      <c r="H559" s="59"/>
      <c r="J559" s="30"/>
    </row>
    <row r="560" customFormat="false" ht="15" hidden="false" customHeight="false" outlineLevel="0" collapsed="false">
      <c r="B560" s="1" t="s">
        <v>685</v>
      </c>
      <c r="F560" s="57" t="s">
        <v>295</v>
      </c>
      <c r="H560" s="59" t="n">
        <v>0.1</v>
      </c>
      <c r="I560" s="30" t="n">
        <v>2.64</v>
      </c>
      <c r="J560" s="30" t="n">
        <f aca="false">H560*I560</f>
        <v>0.264</v>
      </c>
      <c r="K560" s="1" t="n">
        <v>2</v>
      </c>
    </row>
    <row r="561" customFormat="false" ht="15" hidden="false" customHeight="false" outlineLevel="0" collapsed="false">
      <c r="B561" s="1" t="s">
        <v>300</v>
      </c>
      <c r="F561" s="57" t="s">
        <v>295</v>
      </c>
      <c r="H561" s="59" t="n">
        <v>0.24</v>
      </c>
      <c r="I561" s="30" t="n">
        <v>5.51</v>
      </c>
      <c r="J561" s="30" t="n">
        <f aca="false">H561*I561</f>
        <v>1.3224</v>
      </c>
      <c r="K561" s="1" t="n">
        <v>2</v>
      </c>
    </row>
    <row r="562" customFormat="false" ht="15" hidden="false" customHeight="false" outlineLevel="0" collapsed="false">
      <c r="B562" s="1" t="s">
        <v>667</v>
      </c>
      <c r="F562" s="57" t="s">
        <v>304</v>
      </c>
      <c r="H562" s="59" t="n">
        <v>4.4</v>
      </c>
      <c r="I562" s="30" t="n">
        <v>5.8</v>
      </c>
      <c r="J562" s="30" t="n">
        <f aca="false">H562*I562</f>
        <v>25.52</v>
      </c>
      <c r="K562" s="1" t="n">
        <v>43</v>
      </c>
    </row>
    <row r="563" customFormat="false" ht="15" hidden="false" customHeight="false" outlineLevel="0" collapsed="false">
      <c r="F563" s="57"/>
      <c r="H563" s="59"/>
      <c r="I563" s="30"/>
      <c r="J563" s="89" t="n">
        <f aca="false">ROUND(SUM(J560:J562),2)</f>
        <v>27.11</v>
      </c>
    </row>
    <row r="564" customFormat="false" ht="15" hidden="false" customHeight="false" outlineLevel="0" collapsed="false">
      <c r="B564" s="90" t="s">
        <v>308</v>
      </c>
    </row>
    <row r="565" customFormat="false" ht="15" hidden="false" customHeight="false" outlineLevel="0" collapsed="false">
      <c r="B565" s="1" t="s">
        <v>309</v>
      </c>
      <c r="F565" s="57" t="s">
        <v>310</v>
      </c>
      <c r="H565" s="59" t="n">
        <v>3</v>
      </c>
      <c r="I565" s="30" t="n">
        <f aca="false">J558</f>
        <v>22.61</v>
      </c>
      <c r="J565" s="30" t="n">
        <f aca="false">H565%*I565</f>
        <v>0.6783</v>
      </c>
      <c r="K565" s="1" t="n">
        <v>37</v>
      </c>
    </row>
    <row r="566" customFormat="false" ht="15" hidden="false" customHeight="false" outlineLevel="0" collapsed="false">
      <c r="A566" s="62"/>
      <c r="B566" s="62"/>
      <c r="C566" s="62"/>
      <c r="D566" s="62"/>
      <c r="E566" s="62"/>
      <c r="F566" s="62"/>
      <c r="G566" s="62"/>
      <c r="H566" s="62"/>
      <c r="I566" s="62"/>
      <c r="J566" s="91" t="n">
        <f aca="false">ROUND(SUM(J565),2)</f>
        <v>0.68</v>
      </c>
    </row>
    <row r="568" customFormat="false" ht="15" hidden="false" customHeight="false" outlineLevel="0" collapsed="false">
      <c r="A568" s="85" t="s">
        <v>276</v>
      </c>
      <c r="B568" s="85" t="str">
        <f aca="false">ESTRUCTURA!A50</f>
        <v>02.03.07.03</v>
      </c>
      <c r="C568" s="85" t="s">
        <v>688</v>
      </c>
      <c r="D568" s="85"/>
    </row>
    <row r="569" customFormat="false" ht="15" hidden="false" customHeight="false" outlineLevel="0" collapsed="false">
      <c r="A569" s="85" t="s">
        <v>277</v>
      </c>
      <c r="B569" s="85" t="s">
        <v>674</v>
      </c>
      <c r="C569" s="87" t="s">
        <v>279</v>
      </c>
      <c r="D569" s="88" t="n">
        <v>250</v>
      </c>
      <c r="E569" s="87" t="s">
        <v>280</v>
      </c>
      <c r="F569" s="88" t="n">
        <f aca="false">D569</f>
        <v>250</v>
      </c>
      <c r="G569" s="85" t="s">
        <v>281</v>
      </c>
      <c r="I569" s="87" t="s">
        <v>295</v>
      </c>
      <c r="J569" s="89" t="n">
        <f aca="false">J574+J578+J582</f>
        <v>5.53</v>
      </c>
    </row>
    <row r="570" customFormat="false" ht="15" hidden="false" customHeight="false" outlineLevel="0" collapsed="false">
      <c r="A570" s="85" t="s">
        <v>282</v>
      </c>
      <c r="B570" s="85" t="s">
        <v>283</v>
      </c>
      <c r="F570" s="87" t="s">
        <v>121</v>
      </c>
      <c r="G570" s="87" t="s">
        <v>284</v>
      </c>
      <c r="H570" s="87" t="s">
        <v>285</v>
      </c>
      <c r="I570" s="87" t="s">
        <v>286</v>
      </c>
      <c r="J570" s="87" t="s">
        <v>287</v>
      </c>
    </row>
    <row r="571" customFormat="false" ht="15" hidden="false" customHeight="false" outlineLevel="0" collapsed="false">
      <c r="B571" s="90" t="s">
        <v>288</v>
      </c>
    </row>
    <row r="572" customFormat="false" ht="15" hidden="false" customHeight="false" outlineLevel="0" collapsed="false">
      <c r="B572" s="1" t="s">
        <v>289</v>
      </c>
      <c r="F572" s="57" t="s">
        <v>290</v>
      </c>
      <c r="G572" s="58" t="n">
        <v>1</v>
      </c>
      <c r="H572" s="101" t="n">
        <f aca="false">G572*8/$D$569</f>
        <v>0.032</v>
      </c>
      <c r="I572" s="30" t="n">
        <v>28.94</v>
      </c>
      <c r="J572" s="30" t="n">
        <f aca="false">H572*I572</f>
        <v>0.92608</v>
      </c>
      <c r="K572" s="1" t="n">
        <v>47</v>
      </c>
    </row>
    <row r="573" customFormat="false" ht="15" hidden="false" customHeight="false" outlineLevel="0" collapsed="false">
      <c r="B573" s="1" t="s">
        <v>675</v>
      </c>
      <c r="F573" s="57" t="s">
        <v>290</v>
      </c>
      <c r="G573" s="58" t="n">
        <v>1</v>
      </c>
      <c r="H573" s="101" t="n">
        <f aca="false">G573*8/$D$569</f>
        <v>0.032</v>
      </c>
      <c r="I573" s="30" t="n">
        <v>22.66</v>
      </c>
      <c r="J573" s="30" t="n">
        <f aca="false">H573*I573</f>
        <v>0.72512</v>
      </c>
      <c r="K573" s="1" t="n">
        <v>47</v>
      </c>
    </row>
    <row r="574" customFormat="false" ht="15" hidden="false" customHeight="false" outlineLevel="0" collapsed="false">
      <c r="F574" s="57"/>
      <c r="G574" s="58"/>
      <c r="J574" s="89" t="n">
        <f aca="false">ROUND(SUM(J572:J573),2)</f>
        <v>1.65</v>
      </c>
    </row>
    <row r="575" customFormat="false" ht="15" hidden="false" customHeight="false" outlineLevel="0" collapsed="false">
      <c r="B575" s="90" t="s">
        <v>293</v>
      </c>
      <c r="F575" s="57"/>
      <c r="G575" s="58"/>
      <c r="H575" s="101"/>
    </row>
    <row r="576" customFormat="false" ht="15" hidden="false" customHeight="false" outlineLevel="0" collapsed="false">
      <c r="B576" s="1" t="s">
        <v>294</v>
      </c>
      <c r="F576" s="57" t="s">
        <v>295</v>
      </c>
      <c r="G576" s="58"/>
      <c r="H576" s="101" t="n">
        <v>0.03</v>
      </c>
      <c r="I576" s="30" t="n">
        <v>2.64</v>
      </c>
      <c r="J576" s="30" t="n">
        <f aca="false">H576*I576</f>
        <v>0.0792</v>
      </c>
      <c r="K576" s="1" t="n">
        <v>2</v>
      </c>
    </row>
    <row r="577" customFormat="false" ht="15" hidden="false" customHeight="false" outlineLevel="0" collapsed="false">
      <c r="B577" s="1" t="s">
        <v>676</v>
      </c>
      <c r="F577" s="57" t="s">
        <v>295</v>
      </c>
      <c r="G577" s="58"/>
      <c r="H577" s="101" t="n">
        <v>1.05</v>
      </c>
      <c r="I577" s="30" t="n">
        <f aca="false">1012.71*3.379/1000</f>
        <v>3.42194709</v>
      </c>
      <c r="J577" s="30" t="n">
        <f aca="false">H577*I577</f>
        <v>3.5930444445</v>
      </c>
      <c r="K577" s="1" t="n">
        <v>3</v>
      </c>
    </row>
    <row r="578" customFormat="false" ht="15" hidden="false" customHeight="false" outlineLevel="0" collapsed="false">
      <c r="F578" s="57"/>
      <c r="G578" s="58"/>
      <c r="J578" s="89" t="n">
        <f aca="false">ROUND(SUM(J576:J577),2)</f>
        <v>3.67</v>
      </c>
    </row>
    <row r="579" customFormat="false" ht="15" hidden="false" customHeight="false" outlineLevel="0" collapsed="false">
      <c r="B579" s="90" t="s">
        <v>317</v>
      </c>
      <c r="F579" s="57"/>
      <c r="G579" s="58"/>
    </row>
    <row r="580" customFormat="false" ht="15" hidden="false" customHeight="false" outlineLevel="0" collapsed="false">
      <c r="B580" s="1" t="s">
        <v>309</v>
      </c>
      <c r="F580" s="57" t="s">
        <v>310</v>
      </c>
      <c r="H580" s="59" t="n">
        <v>3</v>
      </c>
      <c r="I580" s="30" t="n">
        <f aca="false">J574</f>
        <v>1.65</v>
      </c>
      <c r="J580" s="30" t="n">
        <f aca="false">H580%*I580</f>
        <v>0.0495</v>
      </c>
      <c r="K580" s="1" t="n">
        <v>37</v>
      </c>
    </row>
    <row r="581" customFormat="false" ht="15" hidden="false" customHeight="false" outlineLevel="0" collapsed="false">
      <c r="B581" s="1" t="s">
        <v>677</v>
      </c>
      <c r="F581" s="57" t="s">
        <v>290</v>
      </c>
      <c r="G581" s="58" t="n">
        <v>1</v>
      </c>
      <c r="H581" s="101" t="n">
        <f aca="false">G581*8/$D$569</f>
        <v>0.032</v>
      </c>
      <c r="I581" s="65" t="n">
        <v>5</v>
      </c>
      <c r="J581" s="30" t="n">
        <f aca="false">H581*I581</f>
        <v>0.16</v>
      </c>
      <c r="K581" s="1" t="n">
        <v>37</v>
      </c>
    </row>
    <row r="582" customFormat="false" ht="15" hidden="false" customHeight="false" outlineLevel="0" collapsed="false">
      <c r="A582" s="62"/>
      <c r="B582" s="62"/>
      <c r="C582" s="62"/>
      <c r="D582" s="62"/>
      <c r="E582" s="62"/>
      <c r="F582" s="62"/>
      <c r="G582" s="62"/>
      <c r="H582" s="62"/>
      <c r="I582" s="62"/>
      <c r="J582" s="91" t="n">
        <f aca="false">ROUND(SUM(J580:J581),2)</f>
        <v>0.21</v>
      </c>
    </row>
    <row r="583" customFormat="false" ht="15" hidden="false" customHeight="false" outlineLevel="0" collapsed="false">
      <c r="J583" s="89"/>
    </row>
    <row r="584" customFormat="false" ht="15" hidden="false" customHeight="false" outlineLevel="0" collapsed="false">
      <c r="A584" s="85" t="s">
        <v>276</v>
      </c>
      <c r="B584" s="85" t="str">
        <f aca="false">ESTRUCTURA!A52</f>
        <v>02.03.08.01</v>
      </c>
      <c r="C584" s="85" t="s">
        <v>689</v>
      </c>
      <c r="D584" s="85"/>
    </row>
    <row r="585" customFormat="false" ht="15" hidden="false" customHeight="false" outlineLevel="0" collapsed="false">
      <c r="A585" s="85" t="s">
        <v>277</v>
      </c>
      <c r="B585" s="85" t="s">
        <v>415</v>
      </c>
      <c r="C585" s="87" t="s">
        <v>279</v>
      </c>
      <c r="D585" s="88" t="n">
        <v>25</v>
      </c>
      <c r="E585" s="87" t="s">
        <v>280</v>
      </c>
      <c r="F585" s="88" t="n">
        <f aca="false">D585</f>
        <v>25</v>
      </c>
      <c r="G585" s="85" t="s">
        <v>281</v>
      </c>
      <c r="I585" s="87" t="s">
        <v>202</v>
      </c>
      <c r="J585" s="89" t="n">
        <f aca="false">J591+J598+J604</f>
        <v>348.19</v>
      </c>
    </row>
    <row r="586" customFormat="false" ht="15" hidden="false" customHeight="false" outlineLevel="0" collapsed="false">
      <c r="A586" s="85" t="s">
        <v>282</v>
      </c>
      <c r="B586" s="85" t="s">
        <v>283</v>
      </c>
      <c r="F586" s="87" t="s">
        <v>121</v>
      </c>
      <c r="G586" s="87" t="s">
        <v>284</v>
      </c>
      <c r="H586" s="87" t="s">
        <v>285</v>
      </c>
      <c r="I586" s="87" t="s">
        <v>286</v>
      </c>
      <c r="J586" s="87" t="s">
        <v>287</v>
      </c>
    </row>
    <row r="587" customFormat="false" ht="15" hidden="false" customHeight="false" outlineLevel="0" collapsed="false">
      <c r="B587" s="90" t="s">
        <v>288</v>
      </c>
    </row>
    <row r="588" customFormat="false" ht="15" hidden="false" customHeight="false" outlineLevel="0" collapsed="false">
      <c r="B588" s="1" t="s">
        <v>289</v>
      </c>
      <c r="F588" s="57" t="s">
        <v>290</v>
      </c>
      <c r="G588" s="58" t="n">
        <v>2</v>
      </c>
      <c r="H588" s="101" t="n">
        <f aca="false">G588*8/$D$585</f>
        <v>0.64</v>
      </c>
      <c r="I588" s="30" t="n">
        <v>28.94</v>
      </c>
      <c r="J588" s="30" t="n">
        <f aca="false">H588*I588</f>
        <v>18.5216</v>
      </c>
      <c r="K588" s="1" t="n">
        <v>47</v>
      </c>
    </row>
    <row r="589" customFormat="false" ht="15" hidden="false" customHeight="false" outlineLevel="0" collapsed="false">
      <c r="B589" s="1" t="s">
        <v>291</v>
      </c>
      <c r="F589" s="57" t="s">
        <v>290</v>
      </c>
      <c r="G589" s="58" t="n">
        <v>1</v>
      </c>
      <c r="H589" s="101" t="n">
        <f aca="false">G589*8/$D$585</f>
        <v>0.32</v>
      </c>
      <c r="I589" s="30" t="n">
        <v>22.66</v>
      </c>
      <c r="J589" s="30" t="n">
        <f aca="false">H589*I589</f>
        <v>7.2512</v>
      </c>
      <c r="K589" s="1" t="n">
        <v>47</v>
      </c>
    </row>
    <row r="590" customFormat="false" ht="15" hidden="false" customHeight="false" outlineLevel="0" collapsed="false">
      <c r="B590" s="1" t="s">
        <v>292</v>
      </c>
      <c r="F590" s="57" t="s">
        <v>290</v>
      </c>
      <c r="G590" s="58" t="n">
        <v>4</v>
      </c>
      <c r="H590" s="101" t="n">
        <f aca="false">G590*8/$D$585</f>
        <v>1.28</v>
      </c>
      <c r="I590" s="30" t="n">
        <v>20.51</v>
      </c>
      <c r="J590" s="30" t="n">
        <f aca="false">H590*I590</f>
        <v>26.2528</v>
      </c>
      <c r="K590" s="1" t="n">
        <v>47</v>
      </c>
    </row>
    <row r="591" customFormat="false" ht="15" hidden="false" customHeight="false" outlineLevel="0" collapsed="false">
      <c r="F591" s="57"/>
      <c r="G591" s="58"/>
      <c r="H591" s="59"/>
      <c r="J591" s="89" t="n">
        <f aca="false">ROUND(SUM(J588:J590),2)</f>
        <v>52.03</v>
      </c>
    </row>
    <row r="592" customFormat="false" ht="15" hidden="false" customHeight="false" outlineLevel="0" collapsed="false">
      <c r="B592" s="90" t="s">
        <v>652</v>
      </c>
      <c r="F592" s="57"/>
      <c r="G592" s="58"/>
      <c r="H592" s="59"/>
      <c r="J592" s="30"/>
    </row>
    <row r="593" customFormat="false" ht="15" hidden="false" customHeight="false" outlineLevel="0" collapsed="false">
      <c r="B593" s="1" t="s">
        <v>670</v>
      </c>
      <c r="F593" s="57" t="s">
        <v>202</v>
      </c>
      <c r="H593" s="59" t="n">
        <v>0.85</v>
      </c>
      <c r="I593" s="30" t="n">
        <v>55.08</v>
      </c>
      <c r="J593" s="30" t="n">
        <f aca="false">H593*I593</f>
        <v>46.818</v>
      </c>
      <c r="K593" s="1" t="n">
        <v>5</v>
      </c>
    </row>
    <row r="594" customFormat="false" ht="15" hidden="false" customHeight="false" outlineLevel="0" collapsed="false">
      <c r="B594" s="1" t="s">
        <v>671</v>
      </c>
      <c r="F594" s="57" t="s">
        <v>202</v>
      </c>
      <c r="H594" s="59" t="n">
        <v>0.42</v>
      </c>
      <c r="I594" s="30" t="n">
        <v>47</v>
      </c>
      <c r="J594" s="30" t="n">
        <f aca="false">H594*I594</f>
        <v>19.74</v>
      </c>
      <c r="K594" s="1" t="n">
        <v>4</v>
      </c>
    </row>
    <row r="595" customFormat="false" ht="15" hidden="false" customHeight="false" outlineLevel="0" collapsed="false">
      <c r="B595" s="1" t="s">
        <v>305</v>
      </c>
      <c r="F595" s="57" t="s">
        <v>306</v>
      </c>
      <c r="H595" s="59" t="n">
        <v>8.5</v>
      </c>
      <c r="I595" s="30" t="n">
        <v>24.52</v>
      </c>
      <c r="J595" s="30" t="n">
        <f aca="false">H595*I595</f>
        <v>208.42</v>
      </c>
      <c r="K595" s="1" t="n">
        <v>21</v>
      </c>
    </row>
    <row r="596" customFormat="false" ht="15" hidden="false" customHeight="false" outlineLevel="0" collapsed="false">
      <c r="B596" s="1" t="s">
        <v>654</v>
      </c>
      <c r="F596" s="57" t="s">
        <v>202</v>
      </c>
      <c r="H596" s="59" t="n">
        <v>0.18</v>
      </c>
      <c r="I596" s="1" t="n">
        <v>6.14</v>
      </c>
      <c r="J596" s="30" t="n">
        <f aca="false">H596*I596</f>
        <v>1.1052</v>
      </c>
      <c r="K596" s="1" t="n">
        <v>30</v>
      </c>
    </row>
    <row r="597" customFormat="false" ht="15" hidden="false" customHeight="false" outlineLevel="0" collapsed="false">
      <c r="B597" s="1" t="s">
        <v>663</v>
      </c>
      <c r="F597" s="57" t="s">
        <v>437</v>
      </c>
      <c r="H597" s="59" t="n">
        <v>0.2</v>
      </c>
      <c r="I597" s="1" t="n">
        <v>13.93</v>
      </c>
      <c r="J597" s="30" t="n">
        <f aca="false">H597*I597</f>
        <v>2.786</v>
      </c>
      <c r="K597" s="1" t="n">
        <v>34</v>
      </c>
    </row>
    <row r="598" customFormat="false" ht="15" hidden="false" customHeight="false" outlineLevel="0" collapsed="false">
      <c r="F598" s="57"/>
      <c r="H598" s="59"/>
      <c r="I598" s="30"/>
      <c r="J598" s="89" t="n">
        <f aca="false">ROUND(SUM(J593:J597),2)</f>
        <v>278.87</v>
      </c>
    </row>
    <row r="599" customFormat="false" ht="15" hidden="false" customHeight="false" outlineLevel="0" collapsed="false">
      <c r="B599" s="90" t="s">
        <v>308</v>
      </c>
    </row>
    <row r="600" customFormat="false" ht="15" hidden="false" customHeight="false" outlineLevel="0" collapsed="false">
      <c r="B600" s="1" t="s">
        <v>309</v>
      </c>
      <c r="F600" s="57" t="s">
        <v>310</v>
      </c>
      <c r="H600" s="59" t="n">
        <v>3</v>
      </c>
      <c r="I600" s="30" t="n">
        <f aca="false">J591</f>
        <v>52.03</v>
      </c>
      <c r="J600" s="30" t="n">
        <f aca="false">H600%*I600</f>
        <v>1.5609</v>
      </c>
      <c r="K600" s="1" t="n">
        <v>37</v>
      </c>
    </row>
    <row r="601" customFormat="false" ht="15" hidden="false" customHeight="false" outlineLevel="0" collapsed="false">
      <c r="B601" s="1" t="s">
        <v>665</v>
      </c>
      <c r="F601" s="57" t="s">
        <v>337</v>
      </c>
      <c r="G601" s="58" t="n">
        <v>1</v>
      </c>
      <c r="H601" s="101" t="n">
        <f aca="false">G601*8/$D$585</f>
        <v>0.32</v>
      </c>
      <c r="I601" s="30" t="n">
        <v>25.63</v>
      </c>
      <c r="J601" s="30" t="n">
        <f aca="false">H601*I601</f>
        <v>8.2016</v>
      </c>
      <c r="K601" s="1" t="n">
        <v>48</v>
      </c>
    </row>
    <row r="602" customFormat="false" ht="15" hidden="false" customHeight="false" outlineLevel="0" collapsed="false">
      <c r="B602" s="1" t="s">
        <v>687</v>
      </c>
      <c r="F602" s="57" t="s">
        <v>337</v>
      </c>
      <c r="G602" s="58" t="n">
        <v>1</v>
      </c>
      <c r="H602" s="101" t="n">
        <f aca="false">G602*8/$D$585</f>
        <v>0.32</v>
      </c>
      <c r="I602" s="65" t="n">
        <v>20</v>
      </c>
      <c r="J602" s="30" t="n">
        <f aca="false">H602*I602</f>
        <v>6.4</v>
      </c>
      <c r="K602" s="1" t="n">
        <v>49</v>
      </c>
    </row>
    <row r="603" customFormat="false" ht="15" hidden="false" customHeight="false" outlineLevel="0" collapsed="false">
      <c r="B603" s="1" t="s">
        <v>673</v>
      </c>
      <c r="F603" s="57" t="s">
        <v>337</v>
      </c>
      <c r="G603" s="58" t="n">
        <v>0.5</v>
      </c>
      <c r="H603" s="101" t="n">
        <f aca="false">G603*8/$D$585</f>
        <v>0.16</v>
      </c>
      <c r="I603" s="1" t="n">
        <v>7.07</v>
      </c>
      <c r="J603" s="30" t="n">
        <f aca="false">H603*I603</f>
        <v>1.1312</v>
      </c>
      <c r="K603" s="1" t="n">
        <v>49</v>
      </c>
    </row>
    <row r="604" customFormat="false" ht="15" hidden="false" customHeight="false" outlineLevel="0" collapsed="false">
      <c r="A604" s="62"/>
      <c r="B604" s="62"/>
      <c r="C604" s="62"/>
      <c r="D604" s="62"/>
      <c r="E604" s="62"/>
      <c r="F604" s="62"/>
      <c r="G604" s="62"/>
      <c r="H604" s="62"/>
      <c r="I604" s="62"/>
      <c r="J604" s="91" t="n">
        <f aca="false">ROUND(SUM(J600:J603),2)</f>
        <v>17.29</v>
      </c>
    </row>
    <row r="606" customFormat="false" ht="15" hidden="false" customHeight="false" outlineLevel="0" collapsed="false">
      <c r="A606" s="85" t="s">
        <v>276</v>
      </c>
      <c r="B606" s="85" t="str">
        <f aca="false">ESTRUCTURA!A53</f>
        <v>02.03.08.02</v>
      </c>
      <c r="C606" s="85" t="s">
        <v>551</v>
      </c>
      <c r="D606" s="85"/>
    </row>
    <row r="607" customFormat="false" ht="15" hidden="false" customHeight="false" outlineLevel="0" collapsed="false">
      <c r="A607" s="85" t="s">
        <v>277</v>
      </c>
      <c r="B607" s="85" t="s">
        <v>278</v>
      </c>
      <c r="C607" s="87" t="s">
        <v>279</v>
      </c>
      <c r="D607" s="88" t="n">
        <v>35</v>
      </c>
      <c r="E607" s="87" t="s">
        <v>280</v>
      </c>
      <c r="F607" s="88" t="n">
        <f aca="false">D607</f>
        <v>35</v>
      </c>
      <c r="G607" s="85" t="s">
        <v>281</v>
      </c>
      <c r="I607" s="87" t="s">
        <v>132</v>
      </c>
      <c r="J607" s="89" t="n">
        <f aca="false">J612+J617+J620</f>
        <v>50.4</v>
      </c>
    </row>
    <row r="608" customFormat="false" ht="15" hidden="false" customHeight="false" outlineLevel="0" collapsed="false">
      <c r="A608" s="85" t="s">
        <v>282</v>
      </c>
      <c r="B608" s="85" t="s">
        <v>283</v>
      </c>
      <c r="F608" s="87" t="s">
        <v>121</v>
      </c>
      <c r="G608" s="87" t="s">
        <v>284</v>
      </c>
      <c r="H608" s="87" t="s">
        <v>285</v>
      </c>
      <c r="I608" s="87" t="s">
        <v>286</v>
      </c>
      <c r="J608" s="87" t="s">
        <v>287</v>
      </c>
    </row>
    <row r="609" customFormat="false" ht="15" hidden="false" customHeight="false" outlineLevel="0" collapsed="false">
      <c r="B609" s="90" t="s">
        <v>288</v>
      </c>
    </row>
    <row r="610" customFormat="false" ht="15" hidden="false" customHeight="false" outlineLevel="0" collapsed="false">
      <c r="B610" s="1" t="s">
        <v>289</v>
      </c>
      <c r="F610" s="57" t="s">
        <v>290</v>
      </c>
      <c r="G610" s="58" t="n">
        <v>2</v>
      </c>
      <c r="H610" s="101" t="n">
        <f aca="false">G610*8/$D$607</f>
        <v>0.457142857142857</v>
      </c>
      <c r="I610" s="30" t="n">
        <v>28.94</v>
      </c>
      <c r="J610" s="30" t="n">
        <f aca="false">H610*I610</f>
        <v>13.2297142857143</v>
      </c>
      <c r="K610" s="1" t="n">
        <v>47</v>
      </c>
    </row>
    <row r="611" customFormat="false" ht="15" hidden="false" customHeight="false" outlineLevel="0" collapsed="false">
      <c r="B611" s="1" t="s">
        <v>292</v>
      </c>
      <c r="F611" s="57" t="s">
        <v>290</v>
      </c>
      <c r="G611" s="58" t="n">
        <v>2</v>
      </c>
      <c r="H611" s="101" t="n">
        <f aca="false">G611*8/$D$607</f>
        <v>0.457142857142857</v>
      </c>
      <c r="I611" s="30" t="n">
        <v>20.51</v>
      </c>
      <c r="J611" s="30" t="n">
        <f aca="false">H611*I611</f>
        <v>9.376</v>
      </c>
      <c r="K611" s="1" t="n">
        <v>47</v>
      </c>
    </row>
    <row r="612" customFormat="false" ht="15" hidden="false" customHeight="false" outlineLevel="0" collapsed="false">
      <c r="F612" s="57"/>
      <c r="G612" s="58"/>
      <c r="H612" s="59"/>
      <c r="I612" s="30"/>
      <c r="J612" s="89" t="n">
        <f aca="false">ROUND(SUM(J610:J611),2)</f>
        <v>22.61</v>
      </c>
    </row>
    <row r="613" customFormat="false" ht="15" hidden="false" customHeight="false" outlineLevel="0" collapsed="false">
      <c r="B613" s="90" t="s">
        <v>652</v>
      </c>
      <c r="F613" s="57"/>
      <c r="G613" s="58"/>
      <c r="H613" s="59"/>
      <c r="J613" s="30"/>
    </row>
    <row r="614" customFormat="false" ht="15" hidden="false" customHeight="false" outlineLevel="0" collapsed="false">
      <c r="B614" s="1" t="s">
        <v>685</v>
      </c>
      <c r="F614" s="57" t="s">
        <v>295</v>
      </c>
      <c r="H614" s="59" t="n">
        <v>0.1</v>
      </c>
      <c r="I614" s="30" t="n">
        <v>2.64</v>
      </c>
      <c r="J614" s="30" t="n">
        <f aca="false">H614*I614</f>
        <v>0.264</v>
      </c>
      <c r="K614" s="1" t="n">
        <v>2</v>
      </c>
    </row>
    <row r="615" customFormat="false" ht="15" hidden="false" customHeight="false" outlineLevel="0" collapsed="false">
      <c r="B615" s="1" t="s">
        <v>300</v>
      </c>
      <c r="F615" s="57" t="s">
        <v>295</v>
      </c>
      <c r="H615" s="59" t="n">
        <v>0.24</v>
      </c>
      <c r="I615" s="30" t="n">
        <v>5.51</v>
      </c>
      <c r="J615" s="30" t="n">
        <f aca="false">H615*I615</f>
        <v>1.3224</v>
      </c>
      <c r="K615" s="1" t="n">
        <v>2</v>
      </c>
    </row>
    <row r="616" customFormat="false" ht="15" hidden="false" customHeight="false" outlineLevel="0" collapsed="false">
      <c r="B616" s="1" t="s">
        <v>667</v>
      </c>
      <c r="F616" s="57" t="s">
        <v>304</v>
      </c>
      <c r="H616" s="59" t="n">
        <v>4.4</v>
      </c>
      <c r="I616" s="30" t="n">
        <v>5.8</v>
      </c>
      <c r="J616" s="30" t="n">
        <f aca="false">H616*I616</f>
        <v>25.52</v>
      </c>
      <c r="K616" s="1" t="n">
        <v>43</v>
      </c>
    </row>
    <row r="617" customFormat="false" ht="15" hidden="false" customHeight="false" outlineLevel="0" collapsed="false">
      <c r="F617" s="57"/>
      <c r="H617" s="59"/>
      <c r="I617" s="30"/>
      <c r="J617" s="89" t="n">
        <f aca="false">ROUND(SUM(J614:J616),2)</f>
        <v>27.11</v>
      </c>
    </row>
    <row r="618" customFormat="false" ht="15" hidden="false" customHeight="false" outlineLevel="0" collapsed="false">
      <c r="B618" s="90" t="s">
        <v>308</v>
      </c>
    </row>
    <row r="619" customFormat="false" ht="15" hidden="false" customHeight="false" outlineLevel="0" collapsed="false">
      <c r="B619" s="1" t="s">
        <v>309</v>
      </c>
      <c r="F619" s="57" t="s">
        <v>310</v>
      </c>
      <c r="H619" s="59" t="n">
        <v>3</v>
      </c>
      <c r="I619" s="30" t="n">
        <f aca="false">J612</f>
        <v>22.61</v>
      </c>
      <c r="J619" s="30" t="n">
        <f aca="false">H619%*I619</f>
        <v>0.6783</v>
      </c>
      <c r="K619" s="1" t="n">
        <v>37</v>
      </c>
    </row>
    <row r="620" customFormat="false" ht="15" hidden="false" customHeight="false" outlineLevel="0" collapsed="false">
      <c r="A620" s="62"/>
      <c r="B620" s="62"/>
      <c r="C620" s="62"/>
      <c r="D620" s="62"/>
      <c r="E620" s="62"/>
      <c r="F620" s="62"/>
      <c r="G620" s="62"/>
      <c r="H620" s="62"/>
      <c r="I620" s="62"/>
      <c r="J620" s="91" t="n">
        <f aca="false">ROUND(SUM(J619),2)</f>
        <v>0.68</v>
      </c>
    </row>
    <row r="622" customFormat="false" ht="15" hidden="false" customHeight="false" outlineLevel="0" collapsed="false">
      <c r="A622" s="85" t="s">
        <v>276</v>
      </c>
      <c r="B622" s="85" t="str">
        <f aca="false">ESTRUCTURA!A54</f>
        <v>02.03.08.03</v>
      </c>
      <c r="C622" s="85" t="s">
        <v>690</v>
      </c>
      <c r="D622" s="85"/>
    </row>
    <row r="623" customFormat="false" ht="15" hidden="false" customHeight="false" outlineLevel="0" collapsed="false">
      <c r="A623" s="85" t="s">
        <v>277</v>
      </c>
      <c r="B623" s="85" t="s">
        <v>674</v>
      </c>
      <c r="C623" s="87" t="s">
        <v>279</v>
      </c>
      <c r="D623" s="88" t="n">
        <v>250</v>
      </c>
      <c r="E623" s="87" t="s">
        <v>280</v>
      </c>
      <c r="F623" s="88" t="n">
        <f aca="false">D623</f>
        <v>250</v>
      </c>
      <c r="G623" s="85" t="s">
        <v>281</v>
      </c>
      <c r="I623" s="87" t="s">
        <v>295</v>
      </c>
      <c r="J623" s="89" t="n">
        <f aca="false">J628+J632+J636</f>
        <v>5.53</v>
      </c>
    </row>
    <row r="624" customFormat="false" ht="15" hidden="false" customHeight="false" outlineLevel="0" collapsed="false">
      <c r="A624" s="85" t="s">
        <v>282</v>
      </c>
      <c r="B624" s="85" t="s">
        <v>283</v>
      </c>
      <c r="F624" s="87" t="s">
        <v>121</v>
      </c>
      <c r="G624" s="87" t="s">
        <v>284</v>
      </c>
      <c r="H624" s="87" t="s">
        <v>285</v>
      </c>
      <c r="I624" s="87" t="s">
        <v>286</v>
      </c>
      <c r="J624" s="87" t="s">
        <v>287</v>
      </c>
    </row>
    <row r="625" customFormat="false" ht="15" hidden="false" customHeight="false" outlineLevel="0" collapsed="false">
      <c r="B625" s="90" t="s">
        <v>288</v>
      </c>
    </row>
    <row r="626" customFormat="false" ht="15" hidden="false" customHeight="false" outlineLevel="0" collapsed="false">
      <c r="B626" s="1" t="s">
        <v>289</v>
      </c>
      <c r="F626" s="57" t="s">
        <v>290</v>
      </c>
      <c r="G626" s="58" t="n">
        <v>1</v>
      </c>
      <c r="H626" s="101" t="n">
        <f aca="false">G626*8/$D$623</f>
        <v>0.032</v>
      </c>
      <c r="I626" s="30" t="n">
        <v>28.94</v>
      </c>
      <c r="J626" s="30" t="n">
        <f aca="false">H626*I626</f>
        <v>0.92608</v>
      </c>
      <c r="K626" s="1" t="n">
        <v>47</v>
      </c>
    </row>
    <row r="627" customFormat="false" ht="15" hidden="false" customHeight="false" outlineLevel="0" collapsed="false">
      <c r="B627" s="1" t="s">
        <v>675</v>
      </c>
      <c r="F627" s="57" t="s">
        <v>290</v>
      </c>
      <c r="G627" s="58" t="n">
        <v>1</v>
      </c>
      <c r="H627" s="101" t="n">
        <f aca="false">G627*8/$D$623</f>
        <v>0.032</v>
      </c>
      <c r="I627" s="30" t="n">
        <v>22.66</v>
      </c>
      <c r="J627" s="30" t="n">
        <f aca="false">H627*I627</f>
        <v>0.72512</v>
      </c>
      <c r="K627" s="1" t="n">
        <v>47</v>
      </c>
    </row>
    <row r="628" customFormat="false" ht="15" hidden="false" customHeight="false" outlineLevel="0" collapsed="false">
      <c r="F628" s="57"/>
      <c r="G628" s="58"/>
      <c r="J628" s="89" t="n">
        <f aca="false">ROUND(SUM(J626:J627),2)</f>
        <v>1.65</v>
      </c>
    </row>
    <row r="629" customFormat="false" ht="15" hidden="false" customHeight="false" outlineLevel="0" collapsed="false">
      <c r="B629" s="90" t="s">
        <v>293</v>
      </c>
      <c r="F629" s="57"/>
      <c r="G629" s="58"/>
      <c r="H629" s="101"/>
    </row>
    <row r="630" customFormat="false" ht="15" hidden="false" customHeight="false" outlineLevel="0" collapsed="false">
      <c r="B630" s="1" t="s">
        <v>294</v>
      </c>
      <c r="F630" s="57" t="s">
        <v>295</v>
      </c>
      <c r="G630" s="58"/>
      <c r="H630" s="101" t="n">
        <v>0.03</v>
      </c>
      <c r="I630" s="30" t="n">
        <v>2.64</v>
      </c>
      <c r="J630" s="30" t="n">
        <f aca="false">H630*I630</f>
        <v>0.0792</v>
      </c>
      <c r="K630" s="1" t="n">
        <v>2</v>
      </c>
    </row>
    <row r="631" customFormat="false" ht="15" hidden="false" customHeight="false" outlineLevel="0" collapsed="false">
      <c r="B631" s="1" t="s">
        <v>676</v>
      </c>
      <c r="F631" s="57" t="s">
        <v>295</v>
      </c>
      <c r="G631" s="58"/>
      <c r="H631" s="101" t="n">
        <v>1.05</v>
      </c>
      <c r="I631" s="30" t="n">
        <f aca="false">1012.71*3.379/1000</f>
        <v>3.42194709</v>
      </c>
      <c r="J631" s="30" t="n">
        <f aca="false">H631*I631</f>
        <v>3.5930444445</v>
      </c>
      <c r="K631" s="1" t="n">
        <v>3</v>
      </c>
    </row>
    <row r="632" customFormat="false" ht="15" hidden="false" customHeight="false" outlineLevel="0" collapsed="false">
      <c r="F632" s="57"/>
      <c r="G632" s="58"/>
      <c r="J632" s="89" t="n">
        <f aca="false">ROUND(SUM(J630:J631),2)</f>
        <v>3.67</v>
      </c>
    </row>
    <row r="633" customFormat="false" ht="15" hidden="false" customHeight="false" outlineLevel="0" collapsed="false">
      <c r="B633" s="90" t="s">
        <v>317</v>
      </c>
      <c r="F633" s="57"/>
      <c r="G633" s="58"/>
    </row>
    <row r="634" customFormat="false" ht="15" hidden="false" customHeight="false" outlineLevel="0" collapsed="false">
      <c r="B634" s="1" t="s">
        <v>309</v>
      </c>
      <c r="F634" s="57" t="s">
        <v>310</v>
      </c>
      <c r="H634" s="59" t="n">
        <v>3</v>
      </c>
      <c r="I634" s="30" t="n">
        <f aca="false">J628</f>
        <v>1.65</v>
      </c>
      <c r="J634" s="30" t="n">
        <f aca="false">H634%*I634</f>
        <v>0.0495</v>
      </c>
      <c r="K634" s="1" t="n">
        <v>37</v>
      </c>
    </row>
    <row r="635" customFormat="false" ht="15" hidden="false" customHeight="false" outlineLevel="0" collapsed="false">
      <c r="B635" s="1" t="s">
        <v>677</v>
      </c>
      <c r="F635" s="57" t="s">
        <v>290</v>
      </c>
      <c r="G635" s="58" t="n">
        <v>1</v>
      </c>
      <c r="H635" s="101" t="n">
        <f aca="false">G635*8/$D$623</f>
        <v>0.032</v>
      </c>
      <c r="I635" s="65" t="n">
        <v>5</v>
      </c>
      <c r="J635" s="30" t="n">
        <f aca="false">H635*I635</f>
        <v>0.16</v>
      </c>
      <c r="K635" s="1" t="n">
        <v>37</v>
      </c>
    </row>
    <row r="636" customFormat="false" ht="15" hidden="false" customHeight="false" outlineLevel="0" collapsed="false">
      <c r="A636" s="62"/>
      <c r="B636" s="62"/>
      <c r="C636" s="62"/>
      <c r="D636" s="62"/>
      <c r="E636" s="62"/>
      <c r="F636" s="62"/>
      <c r="G636" s="62"/>
      <c r="H636" s="62"/>
      <c r="I636" s="62"/>
      <c r="J636" s="91" t="n">
        <f aca="false">ROUND(SUM(J634:J635),2)</f>
        <v>0.21</v>
      </c>
    </row>
    <row r="637" customFormat="false" ht="15" hidden="false" customHeight="false" outlineLevel="0" collapsed="false">
      <c r="C637" s="85"/>
      <c r="J637" s="89"/>
    </row>
    <row r="638" customFormat="false" ht="15" hidden="false" customHeight="false" outlineLevel="0" collapsed="false">
      <c r="A638" s="14" t="s">
        <v>276</v>
      </c>
      <c r="B638" s="14" t="str">
        <f aca="false">ESTRUCTURA!A56</f>
        <v>02.03.09.01</v>
      </c>
      <c r="C638" s="85" t="s">
        <v>691</v>
      </c>
      <c r="D638" s="14"/>
    </row>
    <row r="639" customFormat="false" ht="15" hidden="false" customHeight="false" outlineLevel="0" collapsed="false">
      <c r="A639" s="14" t="s">
        <v>277</v>
      </c>
      <c r="B639" s="14" t="s">
        <v>415</v>
      </c>
      <c r="C639" s="38" t="s">
        <v>279</v>
      </c>
      <c r="D639" s="54" t="n">
        <v>25</v>
      </c>
      <c r="E639" s="38" t="s">
        <v>280</v>
      </c>
      <c r="F639" s="54" t="n">
        <f aca="false">D639</f>
        <v>25</v>
      </c>
      <c r="G639" s="14" t="s">
        <v>281</v>
      </c>
      <c r="I639" s="38" t="s">
        <v>202</v>
      </c>
      <c r="J639" s="55" t="n">
        <f aca="false">J647+J656+J661</f>
        <v>394.57</v>
      </c>
    </row>
    <row r="640" customFormat="false" ht="15" hidden="false" customHeight="false" outlineLevel="0" collapsed="false">
      <c r="A640" s="14" t="s">
        <v>282</v>
      </c>
      <c r="B640" s="14" t="s">
        <v>283</v>
      </c>
      <c r="F640" s="38" t="s">
        <v>121</v>
      </c>
      <c r="G640" s="38" t="s">
        <v>284</v>
      </c>
      <c r="H640" s="38" t="s">
        <v>285</v>
      </c>
      <c r="I640" s="38" t="s">
        <v>286</v>
      </c>
      <c r="J640" s="38" t="s">
        <v>287</v>
      </c>
    </row>
    <row r="641" customFormat="false" ht="15" hidden="false" customHeight="false" outlineLevel="0" collapsed="false">
      <c r="B641" s="56" t="s">
        <v>288</v>
      </c>
    </row>
    <row r="642" customFormat="false" ht="15" hidden="false" customHeight="false" outlineLevel="0" collapsed="false">
      <c r="B642" s="1" t="s">
        <v>649</v>
      </c>
      <c r="F642" s="57" t="s">
        <v>290</v>
      </c>
      <c r="G642" s="58" t="n">
        <v>0.2</v>
      </c>
      <c r="H642" s="59" t="n">
        <f aca="false">G642*8/$D$639</f>
        <v>0.064</v>
      </c>
      <c r="I642" s="49" t="n">
        <v>34.73</v>
      </c>
      <c r="J642" s="30" t="n">
        <f aca="false">H642*I642</f>
        <v>2.22272</v>
      </c>
      <c r="K642" s="1" t="n">
        <v>47</v>
      </c>
    </row>
    <row r="643" customFormat="false" ht="15" hidden="false" customHeight="false" outlineLevel="0" collapsed="false">
      <c r="B643" s="1" t="s">
        <v>289</v>
      </c>
      <c r="F643" s="57" t="s">
        <v>290</v>
      </c>
      <c r="G643" s="58" t="n">
        <v>2</v>
      </c>
      <c r="H643" s="59" t="n">
        <f aca="false">G643*8/$D$639</f>
        <v>0.64</v>
      </c>
      <c r="I643" s="49" t="n">
        <v>28.94</v>
      </c>
      <c r="J643" s="30" t="n">
        <f aca="false">H643*I643</f>
        <v>18.5216</v>
      </c>
      <c r="K643" s="1" t="n">
        <v>47</v>
      </c>
    </row>
    <row r="644" customFormat="false" ht="15" hidden="false" customHeight="false" outlineLevel="0" collapsed="false">
      <c r="B644" s="1" t="s">
        <v>675</v>
      </c>
      <c r="F644" s="57" t="s">
        <v>290</v>
      </c>
      <c r="G644" s="58" t="n">
        <v>1</v>
      </c>
      <c r="H644" s="59" t="n">
        <f aca="false">G644*8/$D$639</f>
        <v>0.32</v>
      </c>
      <c r="I644" s="1" t="n">
        <v>22.66</v>
      </c>
      <c r="J644" s="30" t="n">
        <f aca="false">H644*I644</f>
        <v>7.2512</v>
      </c>
    </row>
    <row r="645" customFormat="false" ht="15" hidden="false" customHeight="false" outlineLevel="0" collapsed="false">
      <c r="B645" s="1" t="s">
        <v>292</v>
      </c>
      <c r="F645" s="57" t="s">
        <v>290</v>
      </c>
      <c r="G645" s="58" t="n">
        <v>7</v>
      </c>
      <c r="H645" s="59" t="n">
        <f aca="false">G645*8/$D$639</f>
        <v>2.24</v>
      </c>
      <c r="I645" s="30" t="n">
        <v>20.51</v>
      </c>
      <c r="J645" s="30" t="n">
        <f aca="false">H645*I645</f>
        <v>45.9424</v>
      </c>
      <c r="K645" s="1" t="n">
        <v>47</v>
      </c>
    </row>
    <row r="646" customFormat="false" ht="15" hidden="false" customHeight="false" outlineLevel="0" collapsed="false">
      <c r="B646" s="1" t="s">
        <v>651</v>
      </c>
      <c r="F646" s="57" t="s">
        <v>290</v>
      </c>
      <c r="G646" s="58" t="n">
        <v>1</v>
      </c>
      <c r="H646" s="59" t="n">
        <f aca="false">G646*8/$D$639</f>
        <v>0.32</v>
      </c>
      <c r="I646" s="1" t="n">
        <v>29.94</v>
      </c>
      <c r="J646" s="30" t="n">
        <f aca="false">H646*I646</f>
        <v>9.5808</v>
      </c>
      <c r="K646" s="1" t="n">
        <v>47</v>
      </c>
    </row>
    <row r="647" customFormat="false" ht="15" hidden="false" customHeight="false" outlineLevel="0" collapsed="false">
      <c r="F647" s="57"/>
      <c r="J647" s="55" t="n">
        <f aca="false">ROUND(SUM(J642:J646),2)</f>
        <v>83.52</v>
      </c>
    </row>
    <row r="648" customFormat="false" ht="15" hidden="false" customHeight="false" outlineLevel="0" collapsed="false">
      <c r="B648" s="56" t="s">
        <v>652</v>
      </c>
    </row>
    <row r="649" customFormat="false" ht="15" hidden="false" customHeight="false" outlineLevel="0" collapsed="false">
      <c r="B649" s="1" t="s">
        <v>692</v>
      </c>
      <c r="F649" s="57" t="s">
        <v>437</v>
      </c>
      <c r="H649" s="59" t="n">
        <v>0.01</v>
      </c>
      <c r="I649" s="30" t="n">
        <v>38.22</v>
      </c>
      <c r="J649" s="30" t="n">
        <f aca="false">H649*I649</f>
        <v>0.3822</v>
      </c>
      <c r="K649" s="1" t="n">
        <v>34</v>
      </c>
    </row>
    <row r="650" customFormat="false" ht="15" hidden="false" customHeight="false" outlineLevel="0" collapsed="false">
      <c r="B650" s="1" t="s">
        <v>693</v>
      </c>
      <c r="F650" s="57" t="s">
        <v>694</v>
      </c>
      <c r="H650" s="59" t="n">
        <v>0.008</v>
      </c>
      <c r="I650" s="30" t="n">
        <v>12.63</v>
      </c>
      <c r="J650" s="30" t="n">
        <f aca="false">H650*I650</f>
        <v>0.10104</v>
      </c>
      <c r="K650" s="1" t="n">
        <v>53</v>
      </c>
    </row>
    <row r="651" customFormat="false" ht="15" hidden="false" customHeight="false" outlineLevel="0" collapsed="false">
      <c r="B651" s="1" t="s">
        <v>695</v>
      </c>
      <c r="F651" s="57" t="s">
        <v>437</v>
      </c>
      <c r="H651" s="59" t="n">
        <v>0.12</v>
      </c>
      <c r="I651" s="30" t="n">
        <v>13.93</v>
      </c>
      <c r="J651" s="30" t="n">
        <f aca="false">H651*I651</f>
        <v>1.6716</v>
      </c>
      <c r="K651" s="1" t="n">
        <v>34</v>
      </c>
    </row>
    <row r="652" customFormat="false" ht="15" hidden="false" customHeight="false" outlineLevel="0" collapsed="false">
      <c r="B652" s="1" t="s">
        <v>696</v>
      </c>
      <c r="F652" s="57" t="s">
        <v>202</v>
      </c>
      <c r="H652" s="59" t="n">
        <v>0.8</v>
      </c>
      <c r="I652" s="30" t="n">
        <v>55.08</v>
      </c>
      <c r="J652" s="30" t="n">
        <f aca="false">H652*I652</f>
        <v>44.064</v>
      </c>
      <c r="K652" s="1" t="n">
        <v>5</v>
      </c>
    </row>
    <row r="653" customFormat="false" ht="15" hidden="false" customHeight="false" outlineLevel="0" collapsed="false">
      <c r="B653" s="1" t="s">
        <v>697</v>
      </c>
      <c r="F653" s="57" t="s">
        <v>202</v>
      </c>
      <c r="H653" s="59" t="n">
        <v>0.5</v>
      </c>
      <c r="I653" s="30" t="n">
        <v>47</v>
      </c>
      <c r="J653" s="30" t="n">
        <f aca="false">H653*I653</f>
        <v>23.5</v>
      </c>
      <c r="K653" s="1" t="n">
        <v>4</v>
      </c>
    </row>
    <row r="654" customFormat="false" ht="15" hidden="false" customHeight="false" outlineLevel="0" collapsed="false">
      <c r="B654" s="1" t="s">
        <v>662</v>
      </c>
      <c r="F654" s="57" t="s">
        <v>202</v>
      </c>
      <c r="H654" s="59" t="n">
        <v>0.18</v>
      </c>
      <c r="I654" s="30" t="n">
        <v>6.14</v>
      </c>
      <c r="J654" s="30" t="n">
        <f aca="false">H654*I654</f>
        <v>1.1052</v>
      </c>
      <c r="K654" s="1" t="n">
        <v>30</v>
      </c>
    </row>
    <row r="655" customFormat="false" ht="15" hidden="false" customHeight="false" outlineLevel="0" collapsed="false">
      <c r="B655" s="1" t="s">
        <v>698</v>
      </c>
      <c r="F655" s="57" t="s">
        <v>306</v>
      </c>
      <c r="H655" s="59" t="n">
        <v>9.2</v>
      </c>
      <c r="I655" s="30" t="n">
        <v>24.52</v>
      </c>
      <c r="J655" s="30" t="n">
        <f aca="false">H655*I655</f>
        <v>225.584</v>
      </c>
      <c r="K655" s="1" t="n">
        <v>21</v>
      </c>
    </row>
    <row r="656" customFormat="false" ht="15" hidden="false" customHeight="false" outlineLevel="0" collapsed="false">
      <c r="F656" s="57"/>
      <c r="H656" s="59"/>
      <c r="I656" s="30"/>
      <c r="J656" s="55" t="n">
        <f aca="false">ROUND(SUM(J649:J655),2)</f>
        <v>296.41</v>
      </c>
    </row>
    <row r="657" customFormat="false" ht="15" hidden="false" customHeight="false" outlineLevel="0" collapsed="false">
      <c r="B657" s="56" t="s">
        <v>308</v>
      </c>
    </row>
    <row r="658" customFormat="false" ht="15" hidden="false" customHeight="false" outlineLevel="0" collapsed="false">
      <c r="B658" s="1" t="s">
        <v>699</v>
      </c>
      <c r="F658" s="57" t="s">
        <v>337</v>
      </c>
      <c r="G658" s="58" t="n">
        <v>1</v>
      </c>
      <c r="H658" s="59" t="n">
        <f aca="false">G658*8/$D$639</f>
        <v>0.32</v>
      </c>
      <c r="I658" s="30" t="n">
        <v>25.63</v>
      </c>
      <c r="J658" s="30" t="n">
        <f aca="false">H658*I658</f>
        <v>8.2016</v>
      </c>
      <c r="K658" s="1" t="n">
        <v>48</v>
      </c>
    </row>
    <row r="659" customFormat="false" ht="15" hidden="false" customHeight="false" outlineLevel="0" collapsed="false">
      <c r="B659" s="1" t="s">
        <v>700</v>
      </c>
      <c r="F659" s="57" t="s">
        <v>337</v>
      </c>
      <c r="G659" s="58" t="n">
        <v>1</v>
      </c>
      <c r="H659" s="59" t="n">
        <f aca="false">G659*8/$D$639</f>
        <v>0.32</v>
      </c>
      <c r="I659" s="30" t="n">
        <v>7.07</v>
      </c>
      <c r="J659" s="30" t="n">
        <f aca="false">H659*I659</f>
        <v>2.2624</v>
      </c>
      <c r="K659" s="1" t="n">
        <v>49</v>
      </c>
    </row>
    <row r="660" customFormat="false" ht="15" hidden="false" customHeight="false" outlineLevel="0" collapsed="false">
      <c r="B660" s="1" t="s">
        <v>309</v>
      </c>
      <c r="F660" s="57" t="s">
        <v>310</v>
      </c>
      <c r="H660" s="59" t="n">
        <v>5</v>
      </c>
      <c r="I660" s="30" t="n">
        <f aca="false">J647</f>
        <v>83.52</v>
      </c>
      <c r="J660" s="30" t="n">
        <f aca="false">H660%*I660</f>
        <v>4.176</v>
      </c>
      <c r="K660" s="1" t="n">
        <v>37</v>
      </c>
    </row>
    <row r="661" customFormat="false" ht="15" hidden="false" customHeight="false" outlineLevel="0" collapsed="false">
      <c r="A661" s="62"/>
      <c r="B661" s="62"/>
      <c r="C661" s="62"/>
      <c r="D661" s="62"/>
      <c r="E661" s="62"/>
      <c r="F661" s="62"/>
      <c r="G661" s="62"/>
      <c r="H661" s="62"/>
      <c r="I661" s="83"/>
      <c r="J661" s="63" t="n">
        <f aca="false">ROUND(SUM(J658:J660),2)</f>
        <v>14.64</v>
      </c>
    </row>
    <row r="663" customFormat="false" ht="15" hidden="false" customHeight="false" outlineLevel="0" collapsed="false">
      <c r="A663" s="14" t="s">
        <v>276</v>
      </c>
      <c r="B663" s="14" t="str">
        <f aca="false">ESTRUCTURA!A57</f>
        <v>02.03.09.02</v>
      </c>
      <c r="C663" s="14" t="s">
        <v>701</v>
      </c>
      <c r="D663" s="14"/>
    </row>
    <row r="664" customFormat="false" ht="15" hidden="false" customHeight="false" outlineLevel="0" collapsed="false">
      <c r="A664" s="14" t="s">
        <v>277</v>
      </c>
      <c r="B664" s="14" t="s">
        <v>278</v>
      </c>
      <c r="C664" s="38" t="s">
        <v>279</v>
      </c>
      <c r="D664" s="54" t="n">
        <v>35</v>
      </c>
      <c r="E664" s="38" t="s">
        <v>280</v>
      </c>
      <c r="F664" s="54" t="n">
        <f aca="false">D664</f>
        <v>35</v>
      </c>
      <c r="G664" s="14" t="s">
        <v>281</v>
      </c>
      <c r="I664" s="38" t="s">
        <v>132</v>
      </c>
      <c r="J664" s="55" t="n">
        <f aca="false">J670+J675+J678</f>
        <v>43.06</v>
      </c>
    </row>
    <row r="665" customFormat="false" ht="15" hidden="false" customHeight="false" outlineLevel="0" collapsed="false">
      <c r="A665" s="14" t="s">
        <v>282</v>
      </c>
      <c r="B665" s="14" t="s">
        <v>283</v>
      </c>
      <c r="F665" s="38" t="s">
        <v>121</v>
      </c>
      <c r="G665" s="38" t="s">
        <v>284</v>
      </c>
      <c r="H665" s="38" t="s">
        <v>285</v>
      </c>
      <c r="I665" s="38" t="s">
        <v>286</v>
      </c>
      <c r="J665" s="38" t="s">
        <v>287</v>
      </c>
    </row>
    <row r="666" customFormat="false" ht="15" hidden="false" customHeight="false" outlineLevel="0" collapsed="false">
      <c r="B666" s="56" t="s">
        <v>288</v>
      </c>
    </row>
    <row r="667" customFormat="false" ht="15" hidden="false" customHeight="false" outlineLevel="0" collapsed="false">
      <c r="B667" s="1" t="s">
        <v>289</v>
      </c>
      <c r="F667" s="57" t="s">
        <v>290</v>
      </c>
      <c r="G667" s="58" t="n">
        <v>2</v>
      </c>
      <c r="H667" s="59" t="n">
        <f aca="false">G667*8/$D$664</f>
        <v>0.457142857142857</v>
      </c>
      <c r="I667" s="30" t="n">
        <v>28.94</v>
      </c>
      <c r="J667" s="30" t="n">
        <f aca="false">H667*I667</f>
        <v>13.2297142857143</v>
      </c>
      <c r="K667" s="1" t="n">
        <v>47</v>
      </c>
    </row>
    <row r="668" customFormat="false" ht="15" hidden="false" customHeight="false" outlineLevel="0" collapsed="false">
      <c r="B668" s="1" t="s">
        <v>675</v>
      </c>
      <c r="F668" s="57" t="s">
        <v>290</v>
      </c>
      <c r="G668" s="58" t="n">
        <v>1</v>
      </c>
      <c r="H668" s="59" t="n">
        <f aca="false">G668*8/$D$664</f>
        <v>0.228571428571429</v>
      </c>
      <c r="I668" s="1" t="n">
        <v>22.66</v>
      </c>
      <c r="J668" s="30" t="n">
        <f aca="false">H668*I668</f>
        <v>5.17942857142857</v>
      </c>
      <c r="K668" s="1" t="n">
        <v>47</v>
      </c>
    </row>
    <row r="669" customFormat="false" ht="15" hidden="false" customHeight="false" outlineLevel="0" collapsed="false">
      <c r="B669" s="1" t="s">
        <v>292</v>
      </c>
      <c r="F669" s="57" t="s">
        <v>290</v>
      </c>
      <c r="G669" s="58" t="n">
        <v>1</v>
      </c>
      <c r="H669" s="59" t="n">
        <f aca="false">G669*8/$D$664</f>
        <v>0.228571428571429</v>
      </c>
      <c r="I669" s="30" t="n">
        <v>20.51</v>
      </c>
      <c r="J669" s="30" t="n">
        <f aca="false">H669*I669</f>
        <v>4.688</v>
      </c>
      <c r="K669" s="1" t="n">
        <v>47</v>
      </c>
    </row>
    <row r="670" customFormat="false" ht="15" hidden="false" customHeight="false" outlineLevel="0" collapsed="false">
      <c r="F670" s="57"/>
      <c r="J670" s="55" t="n">
        <f aca="false">ROUND(SUM(J667:J669),2)</f>
        <v>23.1</v>
      </c>
    </row>
    <row r="671" customFormat="false" ht="15" hidden="false" customHeight="false" outlineLevel="0" collapsed="false">
      <c r="B671" s="56" t="s">
        <v>652</v>
      </c>
    </row>
    <row r="672" customFormat="false" ht="15" hidden="false" customHeight="false" outlineLevel="0" collapsed="false">
      <c r="B672" s="1" t="s">
        <v>685</v>
      </c>
      <c r="F672" s="57" t="s">
        <v>295</v>
      </c>
      <c r="H672" s="59" t="n">
        <v>0.1</v>
      </c>
      <c r="I672" s="30" t="n">
        <v>2.64</v>
      </c>
      <c r="J672" s="30" t="n">
        <f aca="false">H672*I672</f>
        <v>0.264</v>
      </c>
      <c r="K672" s="1" t="n">
        <v>2</v>
      </c>
    </row>
    <row r="673" customFormat="false" ht="15" hidden="false" customHeight="false" outlineLevel="0" collapsed="false">
      <c r="B673" s="1" t="s">
        <v>300</v>
      </c>
      <c r="F673" s="57" t="s">
        <v>295</v>
      </c>
      <c r="H673" s="59" t="n">
        <v>0.1</v>
      </c>
      <c r="I673" s="30" t="n">
        <v>5.51</v>
      </c>
      <c r="J673" s="30" t="n">
        <f aca="false">H673*I673</f>
        <v>0.551</v>
      </c>
      <c r="K673" s="1" t="n">
        <v>2</v>
      </c>
    </row>
    <row r="674" customFormat="false" ht="15" hidden="false" customHeight="false" outlineLevel="0" collapsed="false">
      <c r="B674" s="1" t="s">
        <v>667</v>
      </c>
      <c r="F674" s="57" t="s">
        <v>295</v>
      </c>
      <c r="H674" s="59" t="n">
        <v>3.1</v>
      </c>
      <c r="I674" s="30" t="n">
        <v>5.8</v>
      </c>
      <c r="J674" s="30" t="n">
        <f aca="false">H674*I674</f>
        <v>17.98</v>
      </c>
      <c r="K674" s="1" t="n">
        <v>43</v>
      </c>
    </row>
    <row r="675" customFormat="false" ht="15" hidden="false" customHeight="false" outlineLevel="0" collapsed="false">
      <c r="J675" s="55" t="n">
        <f aca="false">ROUND(SUM(J672:J674),2)</f>
        <v>18.8</v>
      </c>
    </row>
    <row r="676" customFormat="false" ht="15" hidden="false" customHeight="false" outlineLevel="0" collapsed="false">
      <c r="B676" s="56" t="s">
        <v>308</v>
      </c>
    </row>
    <row r="677" customFormat="false" ht="15" hidden="false" customHeight="false" outlineLevel="0" collapsed="false">
      <c r="B677" s="1" t="s">
        <v>309</v>
      </c>
      <c r="F677" s="57" t="s">
        <v>310</v>
      </c>
      <c r="H677" s="59" t="n">
        <v>5</v>
      </c>
      <c r="I677" s="30" t="n">
        <f aca="false">J670</f>
        <v>23.1</v>
      </c>
      <c r="J677" s="30" t="n">
        <f aca="false">H677%*I677</f>
        <v>1.155</v>
      </c>
      <c r="K677" s="1" t="n">
        <v>37</v>
      </c>
    </row>
    <row r="678" customFormat="false" ht="15" hidden="false" customHeight="false" outlineLevel="0" collapsed="false">
      <c r="A678" s="62"/>
      <c r="B678" s="62"/>
      <c r="C678" s="62"/>
      <c r="D678" s="62"/>
      <c r="E678" s="62"/>
      <c r="F678" s="62"/>
      <c r="G678" s="62"/>
      <c r="H678" s="62"/>
      <c r="I678" s="62"/>
      <c r="J678" s="63" t="n">
        <f aca="false">ROUND(SUM(J677),2)</f>
        <v>1.16</v>
      </c>
    </row>
    <row r="680" customFormat="false" ht="15" hidden="false" customHeight="false" outlineLevel="0" collapsed="false">
      <c r="A680" s="85" t="s">
        <v>276</v>
      </c>
      <c r="B680" s="14" t="str">
        <f aca="false">ESTRUCTURA!A58</f>
        <v>02.03.09.03</v>
      </c>
      <c r="C680" s="85" t="s">
        <v>561</v>
      </c>
    </row>
    <row r="681" customFormat="false" ht="15" hidden="false" customHeight="false" outlineLevel="0" collapsed="false">
      <c r="A681" s="85" t="s">
        <v>277</v>
      </c>
      <c r="B681" s="85" t="s">
        <v>702</v>
      </c>
      <c r="C681" s="87" t="s">
        <v>279</v>
      </c>
      <c r="D681" s="88" t="n">
        <v>250</v>
      </c>
      <c r="E681" s="87" t="s">
        <v>280</v>
      </c>
      <c r="F681" s="88" t="n">
        <f aca="false">D681</f>
        <v>250</v>
      </c>
      <c r="G681" s="85" t="s">
        <v>281</v>
      </c>
      <c r="I681" s="87" t="s">
        <v>703</v>
      </c>
      <c r="J681" s="89" t="n">
        <f aca="false">J687+J691+J694</f>
        <v>5.48</v>
      </c>
    </row>
    <row r="682" customFormat="false" ht="15" hidden="false" customHeight="false" outlineLevel="0" collapsed="false">
      <c r="A682" s="85" t="s">
        <v>282</v>
      </c>
      <c r="B682" s="85" t="s">
        <v>283</v>
      </c>
      <c r="F682" s="87" t="s">
        <v>121</v>
      </c>
      <c r="G682" s="87" t="s">
        <v>284</v>
      </c>
      <c r="H682" s="87" t="s">
        <v>285</v>
      </c>
      <c r="I682" s="87" t="s">
        <v>286</v>
      </c>
      <c r="J682" s="87" t="s">
        <v>287</v>
      </c>
    </row>
    <row r="683" customFormat="false" ht="15" hidden="false" customHeight="false" outlineLevel="0" collapsed="false">
      <c r="B683" s="90" t="s">
        <v>288</v>
      </c>
      <c r="G683" s="58"/>
    </row>
    <row r="684" customFormat="false" ht="15" hidden="false" customHeight="false" outlineLevel="0" collapsed="false">
      <c r="B684" s="1" t="s">
        <v>289</v>
      </c>
      <c r="F684" s="57" t="s">
        <v>290</v>
      </c>
      <c r="G684" s="58" t="n">
        <v>1</v>
      </c>
      <c r="H684" s="101" t="n">
        <f aca="false">G684*8/$D$681</f>
        <v>0.032</v>
      </c>
      <c r="I684" s="49" t="n">
        <v>28.94</v>
      </c>
      <c r="J684" s="30" t="n">
        <f aca="false">H684*I684</f>
        <v>0.92608</v>
      </c>
      <c r="K684" s="1" t="n">
        <v>47</v>
      </c>
    </row>
    <row r="685" customFormat="false" ht="15" hidden="false" customHeight="false" outlineLevel="0" collapsed="false">
      <c r="B685" s="1" t="s">
        <v>675</v>
      </c>
      <c r="F685" s="57" t="s">
        <v>290</v>
      </c>
      <c r="G685" s="58" t="n">
        <v>1</v>
      </c>
      <c r="H685" s="101" t="n">
        <f aca="false">G685*8/$D$681</f>
        <v>0.032</v>
      </c>
      <c r="I685" s="1" t="n">
        <v>22.66</v>
      </c>
      <c r="J685" s="30" t="n">
        <f aca="false">H685*I685</f>
        <v>0.72512</v>
      </c>
      <c r="K685" s="1" t="n">
        <v>47</v>
      </c>
    </row>
    <row r="686" customFormat="false" ht="15" hidden="false" customHeight="false" outlineLevel="0" collapsed="false">
      <c r="B686" s="1" t="s">
        <v>649</v>
      </c>
      <c r="F686" s="57" t="s">
        <v>290</v>
      </c>
      <c r="G686" s="58" t="n">
        <v>0.1</v>
      </c>
      <c r="H686" s="101" t="n">
        <f aca="false">G686*8/$D$681</f>
        <v>0.0032</v>
      </c>
      <c r="I686" s="49" t="n">
        <v>34.73</v>
      </c>
      <c r="J686" s="30" t="n">
        <f aca="false">H686*I686</f>
        <v>0.111136</v>
      </c>
      <c r="K686" s="1" t="n">
        <v>47</v>
      </c>
    </row>
    <row r="687" customFormat="false" ht="15" hidden="false" customHeight="false" outlineLevel="0" collapsed="false">
      <c r="F687" s="57"/>
      <c r="G687" s="58"/>
      <c r="J687" s="89" t="n">
        <f aca="false">ROUND(SUM(J684:J686),2)</f>
        <v>1.76</v>
      </c>
    </row>
    <row r="688" customFormat="false" ht="15" hidden="false" customHeight="false" outlineLevel="0" collapsed="false">
      <c r="B688" s="90" t="s">
        <v>293</v>
      </c>
      <c r="F688" s="57"/>
      <c r="G688" s="58"/>
      <c r="H688" s="101"/>
    </row>
    <row r="689" customFormat="false" ht="15" hidden="false" customHeight="false" outlineLevel="0" collapsed="false">
      <c r="B689" s="1" t="s">
        <v>294</v>
      </c>
      <c r="F689" s="57" t="s">
        <v>295</v>
      </c>
      <c r="G689" s="58"/>
      <c r="H689" s="101" t="n">
        <v>0.03</v>
      </c>
      <c r="I689" s="30" t="n">
        <v>2.64</v>
      </c>
      <c r="J689" s="30" t="n">
        <f aca="false">H689*I689</f>
        <v>0.0792</v>
      </c>
      <c r="K689" s="1" t="n">
        <v>2</v>
      </c>
    </row>
    <row r="690" customFormat="false" ht="15" hidden="false" customHeight="false" outlineLevel="0" collapsed="false">
      <c r="B690" s="1" t="s">
        <v>676</v>
      </c>
      <c r="F690" s="57" t="s">
        <v>295</v>
      </c>
      <c r="G690" s="58"/>
      <c r="H690" s="101" t="n">
        <v>1.05</v>
      </c>
      <c r="I690" s="30" t="n">
        <f aca="false">1012.71*3.379/1000</f>
        <v>3.42194709</v>
      </c>
      <c r="J690" s="30" t="n">
        <f aca="false">H690*I690</f>
        <v>3.5930444445</v>
      </c>
      <c r="K690" s="1" t="n">
        <v>3</v>
      </c>
    </row>
    <row r="691" customFormat="false" ht="15" hidden="false" customHeight="false" outlineLevel="0" collapsed="false">
      <c r="F691" s="57"/>
      <c r="G691" s="58"/>
      <c r="J691" s="89" t="n">
        <f aca="false">ROUND(SUM(J689:J690),2)</f>
        <v>3.67</v>
      </c>
    </row>
    <row r="692" customFormat="false" ht="15" hidden="false" customHeight="false" outlineLevel="0" collapsed="false">
      <c r="B692" s="90" t="s">
        <v>317</v>
      </c>
      <c r="F692" s="57"/>
      <c r="G692" s="58"/>
    </row>
    <row r="693" customFormat="false" ht="15" hidden="false" customHeight="false" outlineLevel="0" collapsed="false">
      <c r="B693" s="1" t="s">
        <v>309</v>
      </c>
      <c r="F693" s="57" t="s">
        <v>310</v>
      </c>
      <c r="H693" s="59" t="n">
        <v>3</v>
      </c>
      <c r="I693" s="30" t="n">
        <f aca="false">J687</f>
        <v>1.76</v>
      </c>
      <c r="J693" s="30" t="n">
        <f aca="false">H693%*I693</f>
        <v>0.0528</v>
      </c>
      <c r="K693" s="1" t="n">
        <v>37</v>
      </c>
    </row>
    <row r="694" customFormat="false" ht="15" hidden="false" customHeight="false" outlineLevel="0" collapsed="false">
      <c r="A694" s="62"/>
      <c r="B694" s="62"/>
      <c r="C694" s="62"/>
      <c r="D694" s="62"/>
      <c r="E694" s="62"/>
      <c r="F694" s="62"/>
      <c r="G694" s="62"/>
      <c r="H694" s="62"/>
      <c r="I694" s="62"/>
      <c r="J694" s="91" t="n">
        <f aca="false">ROUND(SUM(J693:J693),2)</f>
        <v>0.05</v>
      </c>
    </row>
    <row r="696" customFormat="false" ht="15" hidden="false" customHeight="false" outlineLevel="0" collapsed="false">
      <c r="A696" s="85" t="s">
        <v>276</v>
      </c>
      <c r="B696" s="14" t="str">
        <f aca="false">ESTRUCTURA!A59</f>
        <v>02.03.09.04</v>
      </c>
      <c r="C696" s="85" t="s">
        <v>563</v>
      </c>
    </row>
    <row r="697" customFormat="false" ht="15" hidden="false" customHeight="false" outlineLevel="0" collapsed="false">
      <c r="A697" s="85" t="s">
        <v>277</v>
      </c>
      <c r="B697" s="85" t="s">
        <v>704</v>
      </c>
      <c r="C697" s="87" t="s">
        <v>279</v>
      </c>
      <c r="D697" s="88" t="n">
        <v>1600</v>
      </c>
      <c r="E697" s="87" t="s">
        <v>280</v>
      </c>
      <c r="F697" s="88" t="n">
        <f aca="false">D697</f>
        <v>1600</v>
      </c>
      <c r="G697" s="85" t="s">
        <v>281</v>
      </c>
      <c r="I697" s="87" t="s">
        <v>148</v>
      </c>
      <c r="J697" s="89" t="n">
        <f aca="false">J703+J707+J710</f>
        <v>2.69</v>
      </c>
    </row>
    <row r="698" customFormat="false" ht="15" hidden="false" customHeight="false" outlineLevel="0" collapsed="false">
      <c r="A698" s="85" t="s">
        <v>282</v>
      </c>
      <c r="B698" s="85" t="s">
        <v>283</v>
      </c>
      <c r="F698" s="87" t="s">
        <v>121</v>
      </c>
      <c r="G698" s="87" t="s">
        <v>284</v>
      </c>
      <c r="H698" s="87" t="s">
        <v>285</v>
      </c>
      <c r="I698" s="87" t="s">
        <v>286</v>
      </c>
      <c r="J698" s="87" t="s">
        <v>287</v>
      </c>
    </row>
    <row r="699" customFormat="false" ht="15" hidden="false" customHeight="false" outlineLevel="0" collapsed="false">
      <c r="B699" s="90" t="s">
        <v>288</v>
      </c>
      <c r="G699" s="58"/>
    </row>
    <row r="700" customFormat="false" ht="15" hidden="false" customHeight="false" outlineLevel="0" collapsed="false">
      <c r="B700" s="1" t="s">
        <v>289</v>
      </c>
      <c r="F700" s="57" t="s">
        <v>290</v>
      </c>
      <c r="G700" s="58" t="n">
        <v>1</v>
      </c>
      <c r="H700" s="59" t="n">
        <f aca="false">G700*8/$D$697</f>
        <v>0.005</v>
      </c>
      <c r="I700" s="1" t="n">
        <v>28.94</v>
      </c>
      <c r="J700" s="30" t="n">
        <f aca="false">H700*I700</f>
        <v>0.1447</v>
      </c>
      <c r="K700" s="1" t="n">
        <v>47</v>
      </c>
    </row>
    <row r="701" customFormat="false" ht="15" hidden="false" customHeight="false" outlineLevel="0" collapsed="false">
      <c r="B701" s="1" t="s">
        <v>675</v>
      </c>
      <c r="F701" s="57" t="s">
        <v>290</v>
      </c>
      <c r="G701" s="58" t="n">
        <v>1</v>
      </c>
      <c r="H701" s="59" t="n">
        <f aca="false">G701*8/$D$697</f>
        <v>0.005</v>
      </c>
      <c r="I701" s="1" t="n">
        <v>22.66</v>
      </c>
      <c r="J701" s="30" t="n">
        <f aca="false">H701*I701</f>
        <v>0.1133</v>
      </c>
      <c r="K701" s="1" t="n">
        <v>47</v>
      </c>
    </row>
    <row r="702" customFormat="false" ht="15" hidden="false" customHeight="false" outlineLevel="0" collapsed="false">
      <c r="B702" s="1" t="s">
        <v>292</v>
      </c>
      <c r="F702" s="57" t="s">
        <v>290</v>
      </c>
      <c r="G702" s="58" t="n">
        <v>6</v>
      </c>
      <c r="H702" s="59" t="n">
        <f aca="false">G702*8/$D$697</f>
        <v>0.03</v>
      </c>
      <c r="I702" s="30" t="n">
        <v>20.51</v>
      </c>
      <c r="J702" s="30" t="n">
        <f aca="false">H702*I702</f>
        <v>0.6153</v>
      </c>
      <c r="K702" s="1" t="n">
        <v>47</v>
      </c>
    </row>
    <row r="703" customFormat="false" ht="15" hidden="false" customHeight="false" outlineLevel="0" collapsed="false">
      <c r="F703" s="57"/>
      <c r="G703" s="58"/>
      <c r="J703" s="89" t="n">
        <f aca="false">ROUND(SUM(J700:J702),2)</f>
        <v>0.87</v>
      </c>
    </row>
    <row r="704" customFormat="false" ht="15" hidden="false" customHeight="false" outlineLevel="0" collapsed="false">
      <c r="B704" s="90" t="s">
        <v>293</v>
      </c>
      <c r="F704" s="57"/>
      <c r="G704" s="58"/>
      <c r="H704" s="101"/>
    </row>
    <row r="705" customFormat="false" ht="15" hidden="false" customHeight="false" outlineLevel="0" collapsed="false">
      <c r="B705" s="1" t="s">
        <v>705</v>
      </c>
      <c r="F705" s="57" t="s">
        <v>148</v>
      </c>
      <c r="G705" s="58"/>
      <c r="H705" s="101" t="n">
        <v>1.05</v>
      </c>
      <c r="I705" s="30" t="n">
        <v>1.7</v>
      </c>
      <c r="J705" s="30" t="n">
        <f aca="false">H705*I705</f>
        <v>1.785</v>
      </c>
      <c r="K705" s="1" t="n">
        <v>17</v>
      </c>
    </row>
    <row r="706" customFormat="false" ht="15" hidden="false" customHeight="false" outlineLevel="0" collapsed="false">
      <c r="F706" s="57"/>
      <c r="G706" s="58"/>
      <c r="H706" s="101"/>
      <c r="I706" s="30"/>
      <c r="J706" s="30"/>
    </row>
    <row r="707" customFormat="false" ht="15" hidden="false" customHeight="false" outlineLevel="0" collapsed="false">
      <c r="F707" s="57"/>
      <c r="G707" s="58"/>
      <c r="J707" s="89" t="n">
        <f aca="false">ROUND(SUM(J705:J706),2)</f>
        <v>1.79</v>
      </c>
    </row>
    <row r="708" customFormat="false" ht="15" hidden="false" customHeight="false" outlineLevel="0" collapsed="false">
      <c r="B708" s="90" t="s">
        <v>317</v>
      </c>
      <c r="F708" s="57"/>
      <c r="G708" s="58"/>
    </row>
    <row r="709" customFormat="false" ht="15" hidden="false" customHeight="false" outlineLevel="0" collapsed="false">
      <c r="B709" s="1" t="s">
        <v>309</v>
      </c>
      <c r="F709" s="57" t="s">
        <v>310</v>
      </c>
      <c r="H709" s="59" t="n">
        <v>3</v>
      </c>
      <c r="I709" s="30" t="n">
        <f aca="false">J703</f>
        <v>0.87</v>
      </c>
      <c r="J709" s="30" t="n">
        <f aca="false">H709%*I709</f>
        <v>0.0261</v>
      </c>
      <c r="K709" s="1" t="n">
        <v>37</v>
      </c>
    </row>
    <row r="710" customFormat="false" ht="15" hidden="false" customHeight="false" outlineLevel="0" collapsed="false">
      <c r="A710" s="62"/>
      <c r="B710" s="62"/>
      <c r="C710" s="62"/>
      <c r="D710" s="62"/>
      <c r="E710" s="62"/>
      <c r="F710" s="62"/>
      <c r="G710" s="62"/>
      <c r="H710" s="62"/>
      <c r="I710" s="62"/>
      <c r="J710" s="91" t="n">
        <f aca="false">ROUND(SUM(J709:J709),2)</f>
        <v>0.03</v>
      </c>
    </row>
    <row r="712" customFormat="false" ht="15" hidden="false" customHeight="false" outlineLevel="0" collapsed="false">
      <c r="A712" s="14" t="s">
        <v>276</v>
      </c>
      <c r="B712" s="14" t="str">
        <f aca="false">ESTRUCTURA!A61</f>
        <v>02.03.10.01</v>
      </c>
      <c r="C712" s="14" t="s">
        <v>568</v>
      </c>
      <c r="D712" s="14"/>
    </row>
    <row r="713" customFormat="false" ht="15" hidden="false" customHeight="false" outlineLevel="0" collapsed="false">
      <c r="A713" s="14" t="s">
        <v>277</v>
      </c>
      <c r="B713" s="14" t="s">
        <v>415</v>
      </c>
      <c r="C713" s="38" t="s">
        <v>279</v>
      </c>
      <c r="D713" s="54" t="n">
        <v>20</v>
      </c>
      <c r="E713" s="38" t="s">
        <v>280</v>
      </c>
      <c r="F713" s="54" t="n">
        <f aca="false">D713</f>
        <v>20</v>
      </c>
      <c r="G713" s="14" t="s">
        <v>281</v>
      </c>
      <c r="I713" s="38" t="s">
        <v>202</v>
      </c>
      <c r="J713" s="55" t="n">
        <f aca="false">J722+J729+J735</f>
        <v>491.81</v>
      </c>
    </row>
    <row r="714" customFormat="false" ht="15" hidden="false" customHeight="false" outlineLevel="0" collapsed="false">
      <c r="A714" s="14" t="s">
        <v>282</v>
      </c>
      <c r="B714" s="14" t="s">
        <v>283</v>
      </c>
      <c r="F714" s="38" t="s">
        <v>121</v>
      </c>
      <c r="G714" s="38" t="s">
        <v>284</v>
      </c>
      <c r="H714" s="38" t="s">
        <v>285</v>
      </c>
      <c r="I714" s="38" t="s">
        <v>286</v>
      </c>
      <c r="J714" s="38" t="s">
        <v>287</v>
      </c>
    </row>
    <row r="715" customFormat="false" ht="15" hidden="false" customHeight="false" outlineLevel="0" collapsed="false">
      <c r="B715" s="56" t="s">
        <v>288</v>
      </c>
    </row>
    <row r="716" customFormat="false" ht="15" hidden="false" customHeight="false" outlineLevel="0" collapsed="false">
      <c r="F716" s="57"/>
      <c r="G716" s="58"/>
      <c r="H716" s="59"/>
      <c r="I716" s="49"/>
      <c r="J716" s="30"/>
    </row>
    <row r="717" customFormat="false" ht="15" hidden="false" customHeight="false" outlineLevel="0" collapsed="false">
      <c r="B717" s="1" t="s">
        <v>649</v>
      </c>
      <c r="F717" s="57" t="s">
        <v>290</v>
      </c>
      <c r="G717" s="58" t="n">
        <v>0.2</v>
      </c>
      <c r="H717" s="59" t="n">
        <f aca="false">G717*8/$D$713</f>
        <v>0.08</v>
      </c>
      <c r="I717" s="1" t="n">
        <v>34.73</v>
      </c>
      <c r="J717" s="30" t="n">
        <f aca="false">H717*I717</f>
        <v>2.7784</v>
      </c>
      <c r="K717" s="1" t="n">
        <v>47</v>
      </c>
    </row>
    <row r="718" customFormat="false" ht="15" hidden="false" customHeight="false" outlineLevel="0" collapsed="false">
      <c r="B718" s="1" t="s">
        <v>289</v>
      </c>
      <c r="F718" s="57" t="s">
        <v>290</v>
      </c>
      <c r="G718" s="58" t="n">
        <v>2</v>
      </c>
      <c r="H718" s="59" t="n">
        <f aca="false">G718*8/$D$713</f>
        <v>0.8</v>
      </c>
      <c r="I718" s="1" t="n">
        <v>28.94</v>
      </c>
      <c r="J718" s="30" t="n">
        <f aca="false">H718*I718</f>
        <v>23.152</v>
      </c>
      <c r="K718" s="1" t="n">
        <v>47</v>
      </c>
    </row>
    <row r="719" customFormat="false" ht="15" hidden="false" customHeight="false" outlineLevel="0" collapsed="false">
      <c r="B719" s="1" t="s">
        <v>675</v>
      </c>
      <c r="F719" s="57" t="s">
        <v>290</v>
      </c>
      <c r="G719" s="58" t="n">
        <v>2</v>
      </c>
      <c r="H719" s="59" t="n">
        <f aca="false">G719*8/$D$713</f>
        <v>0.8</v>
      </c>
      <c r="I719" s="1" t="n">
        <v>22.66</v>
      </c>
      <c r="J719" s="30" t="n">
        <f aca="false">H719*I719</f>
        <v>18.128</v>
      </c>
      <c r="K719" s="1" t="n">
        <v>47</v>
      </c>
    </row>
    <row r="720" customFormat="false" ht="15" hidden="false" customHeight="false" outlineLevel="0" collapsed="false">
      <c r="B720" s="1" t="s">
        <v>292</v>
      </c>
      <c r="F720" s="57" t="s">
        <v>290</v>
      </c>
      <c r="G720" s="58" t="n">
        <v>12</v>
      </c>
      <c r="H720" s="59" t="n">
        <f aca="false">G720*8/$D$713</f>
        <v>4.8</v>
      </c>
      <c r="I720" s="30" t="n">
        <v>20.51</v>
      </c>
      <c r="J720" s="30" t="n">
        <f aca="false">H720*I720</f>
        <v>98.448</v>
      </c>
      <c r="K720" s="1" t="n">
        <v>47</v>
      </c>
    </row>
    <row r="721" customFormat="false" ht="15" hidden="false" customHeight="false" outlineLevel="0" collapsed="false">
      <c r="B721" s="1" t="s">
        <v>651</v>
      </c>
      <c r="F721" s="57" t="s">
        <v>290</v>
      </c>
      <c r="G721" s="58" t="n">
        <v>2</v>
      </c>
      <c r="H721" s="59" t="n">
        <f aca="false">G721*8/$D$713</f>
        <v>0.8</v>
      </c>
      <c r="I721" s="1" t="n">
        <v>29.94</v>
      </c>
      <c r="J721" s="30" t="n">
        <f aca="false">H721*I721</f>
        <v>23.952</v>
      </c>
      <c r="K721" s="1" t="n">
        <v>47</v>
      </c>
    </row>
    <row r="722" customFormat="false" ht="15" hidden="false" customHeight="false" outlineLevel="0" collapsed="false">
      <c r="F722" s="57"/>
      <c r="J722" s="55" t="n">
        <f aca="false">ROUND(SUM(J717:J721),2)</f>
        <v>166.46</v>
      </c>
    </row>
    <row r="723" customFormat="false" ht="15" hidden="false" customHeight="false" outlineLevel="0" collapsed="false">
      <c r="B723" s="56" t="s">
        <v>652</v>
      </c>
    </row>
    <row r="724" customFormat="false" ht="15" hidden="false" customHeight="false" outlineLevel="0" collapsed="false">
      <c r="B724" s="1" t="s">
        <v>695</v>
      </c>
      <c r="F724" s="57" t="s">
        <v>437</v>
      </c>
      <c r="H724" s="59" t="n">
        <v>0.186</v>
      </c>
      <c r="I724" s="30" t="n">
        <v>13.93</v>
      </c>
      <c r="J724" s="30" t="n">
        <f aca="false">H724*I724</f>
        <v>2.59098</v>
      </c>
      <c r="K724" s="1" t="n">
        <v>34</v>
      </c>
    </row>
    <row r="725" customFormat="false" ht="15" hidden="false" customHeight="false" outlineLevel="0" collapsed="false">
      <c r="B725" s="1" t="s">
        <v>696</v>
      </c>
      <c r="F725" s="57" t="s">
        <v>202</v>
      </c>
      <c r="H725" s="59" t="n">
        <v>0.53</v>
      </c>
      <c r="I725" s="30" t="n">
        <v>55.08</v>
      </c>
      <c r="J725" s="30" t="n">
        <f aca="false">H725*I725</f>
        <v>29.1924</v>
      </c>
      <c r="K725" s="1" t="n">
        <v>5</v>
      </c>
    </row>
    <row r="726" customFormat="false" ht="15" hidden="false" customHeight="false" outlineLevel="0" collapsed="false">
      <c r="B726" s="1" t="s">
        <v>697</v>
      </c>
      <c r="F726" s="57" t="s">
        <v>202</v>
      </c>
      <c r="H726" s="59" t="n">
        <v>0.52</v>
      </c>
      <c r="I726" s="30" t="n">
        <v>47</v>
      </c>
      <c r="J726" s="30" t="n">
        <f aca="false">H726*I726</f>
        <v>24.44</v>
      </c>
      <c r="K726" s="1" t="n">
        <v>4</v>
      </c>
    </row>
    <row r="727" customFormat="false" ht="15" hidden="false" customHeight="false" outlineLevel="0" collapsed="false">
      <c r="B727" s="1" t="s">
        <v>662</v>
      </c>
      <c r="F727" s="57" t="s">
        <v>202</v>
      </c>
      <c r="H727" s="59" t="n">
        <v>0.186</v>
      </c>
      <c r="I727" s="30" t="n">
        <v>6.14</v>
      </c>
      <c r="J727" s="30" t="n">
        <f aca="false">H727*I727</f>
        <v>1.14204</v>
      </c>
      <c r="K727" s="1" t="n">
        <v>30</v>
      </c>
    </row>
    <row r="728" customFormat="false" ht="15" hidden="false" customHeight="false" outlineLevel="0" collapsed="false">
      <c r="B728" s="1" t="s">
        <v>698</v>
      </c>
      <c r="F728" s="57" t="s">
        <v>306</v>
      </c>
      <c r="H728" s="59" t="n">
        <v>9.73</v>
      </c>
      <c r="I728" s="30" t="n">
        <v>24.52</v>
      </c>
      <c r="J728" s="30" t="n">
        <f aca="false">H728*I728</f>
        <v>238.5796</v>
      </c>
      <c r="K728" s="1" t="n">
        <v>21</v>
      </c>
    </row>
    <row r="729" customFormat="false" ht="15" hidden="false" customHeight="false" outlineLevel="0" collapsed="false">
      <c r="F729" s="57"/>
      <c r="H729" s="59"/>
      <c r="I729" s="30"/>
      <c r="J729" s="55" t="n">
        <f aca="false">ROUND(SUM(J724:J728),2)</f>
        <v>295.95</v>
      </c>
    </row>
    <row r="730" customFormat="false" ht="15" hidden="false" customHeight="false" outlineLevel="0" collapsed="false">
      <c r="B730" s="56" t="s">
        <v>308</v>
      </c>
    </row>
    <row r="731" customFormat="false" ht="15" hidden="false" customHeight="false" outlineLevel="0" collapsed="false">
      <c r="B731" s="1" t="s">
        <v>699</v>
      </c>
      <c r="F731" s="57" t="s">
        <v>337</v>
      </c>
      <c r="G731" s="58" t="n">
        <v>1</v>
      </c>
      <c r="H731" s="59" t="n">
        <f aca="false">G731*8/$D$713</f>
        <v>0.4</v>
      </c>
      <c r="I731" s="30" t="n">
        <v>25.63</v>
      </c>
      <c r="J731" s="30" t="n">
        <f aca="false">H731*I731</f>
        <v>10.252</v>
      </c>
      <c r="K731" s="1" t="n">
        <v>48</v>
      </c>
    </row>
    <row r="732" customFormat="false" ht="15" hidden="false" customHeight="false" outlineLevel="0" collapsed="false">
      <c r="B732" s="1" t="s">
        <v>700</v>
      </c>
      <c r="F732" s="57" t="s">
        <v>337</v>
      </c>
      <c r="G732" s="58" t="n">
        <v>1</v>
      </c>
      <c r="H732" s="59" t="n">
        <f aca="false">G732*8/$D$713</f>
        <v>0.4</v>
      </c>
      <c r="I732" s="30" t="n">
        <v>7.07</v>
      </c>
      <c r="J732" s="30" t="n">
        <f aca="false">H732*I732</f>
        <v>2.828</v>
      </c>
      <c r="K732" s="1" t="n">
        <v>49</v>
      </c>
    </row>
    <row r="733" customFormat="false" ht="15" hidden="false" customHeight="false" outlineLevel="0" collapsed="false">
      <c r="B733" s="1" t="s">
        <v>706</v>
      </c>
      <c r="F733" s="57" t="s">
        <v>337</v>
      </c>
      <c r="G733" s="58" t="n">
        <v>1</v>
      </c>
      <c r="H733" s="59" t="n">
        <f aca="false">G733*8/$D$713</f>
        <v>0.4</v>
      </c>
      <c r="I733" s="30" t="n">
        <v>20</v>
      </c>
      <c r="J733" s="30" t="n">
        <f aca="false">H733*I733</f>
        <v>8</v>
      </c>
      <c r="K733" s="1" t="n">
        <v>49</v>
      </c>
    </row>
    <row r="734" customFormat="false" ht="15" hidden="false" customHeight="false" outlineLevel="0" collapsed="false">
      <c r="B734" s="1" t="s">
        <v>309</v>
      </c>
      <c r="F734" s="57" t="s">
        <v>310</v>
      </c>
      <c r="H734" s="59" t="n">
        <v>5</v>
      </c>
      <c r="I734" s="30" t="n">
        <f aca="false">J722</f>
        <v>166.46</v>
      </c>
      <c r="J734" s="30" t="n">
        <f aca="false">H734%*I734</f>
        <v>8.323</v>
      </c>
      <c r="K734" s="1" t="n">
        <v>37</v>
      </c>
    </row>
    <row r="735" customFormat="false" ht="15" hidden="false" customHeight="false" outlineLevel="0" collapsed="false">
      <c r="A735" s="62"/>
      <c r="B735" s="62"/>
      <c r="C735" s="62"/>
      <c r="D735" s="62"/>
      <c r="E735" s="62"/>
      <c r="F735" s="62"/>
      <c r="G735" s="62"/>
      <c r="H735" s="62"/>
      <c r="I735" s="83"/>
      <c r="J735" s="63" t="n">
        <f aca="false">ROUND(SUM(J731:J734),2)</f>
        <v>29.4</v>
      </c>
    </row>
    <row r="737" customFormat="false" ht="15" hidden="false" customHeight="false" outlineLevel="0" collapsed="false">
      <c r="A737" s="14" t="s">
        <v>276</v>
      </c>
      <c r="B737" s="14" t="str">
        <f aca="false">ESTRUCTURA!A62</f>
        <v>02.03.10.02</v>
      </c>
      <c r="C737" s="14" t="s">
        <v>570</v>
      </c>
      <c r="D737" s="14"/>
    </row>
    <row r="738" customFormat="false" ht="15" hidden="false" customHeight="false" outlineLevel="0" collapsed="false">
      <c r="A738" s="14" t="s">
        <v>277</v>
      </c>
      <c r="B738" s="14" t="s">
        <v>278</v>
      </c>
      <c r="C738" s="38" t="s">
        <v>279</v>
      </c>
      <c r="D738" s="54" t="n">
        <v>12</v>
      </c>
      <c r="E738" s="38" t="s">
        <v>280</v>
      </c>
      <c r="F738" s="54" t="n">
        <f aca="false">D738</f>
        <v>12</v>
      </c>
      <c r="G738" s="14" t="s">
        <v>281</v>
      </c>
      <c r="I738" s="38" t="s">
        <v>132</v>
      </c>
      <c r="J738" s="55" t="n">
        <f aca="false">J744+J749+J752</f>
        <v>67.02</v>
      </c>
    </row>
    <row r="739" customFormat="false" ht="15" hidden="false" customHeight="false" outlineLevel="0" collapsed="false">
      <c r="A739" s="14" t="s">
        <v>282</v>
      </c>
      <c r="B739" s="14" t="s">
        <v>283</v>
      </c>
      <c r="F739" s="38" t="s">
        <v>121</v>
      </c>
      <c r="G739" s="38" t="s">
        <v>284</v>
      </c>
      <c r="H739" s="38" t="s">
        <v>285</v>
      </c>
      <c r="I739" s="38" t="s">
        <v>286</v>
      </c>
      <c r="J739" s="38" t="s">
        <v>287</v>
      </c>
    </row>
    <row r="740" customFormat="false" ht="15" hidden="false" customHeight="false" outlineLevel="0" collapsed="false">
      <c r="B740" s="56" t="s">
        <v>288</v>
      </c>
      <c r="U740" s="14"/>
    </row>
    <row r="741" customFormat="false" ht="15" hidden="false" customHeight="false" outlineLevel="0" collapsed="false">
      <c r="B741" s="1" t="s">
        <v>289</v>
      </c>
      <c r="F741" s="57" t="s">
        <v>290</v>
      </c>
      <c r="G741" s="58" t="n">
        <v>1</v>
      </c>
      <c r="H741" s="59" t="n">
        <f aca="false">G741*8/$D$738</f>
        <v>0.666666666666667</v>
      </c>
      <c r="I741" s="49" t="n">
        <v>28.94</v>
      </c>
      <c r="J741" s="30" t="n">
        <f aca="false">H741*I741</f>
        <v>19.2933333333333</v>
      </c>
      <c r="K741" s="1" t="n">
        <v>47</v>
      </c>
      <c r="U741" s="14"/>
    </row>
    <row r="742" customFormat="false" ht="15" hidden="false" customHeight="false" outlineLevel="0" collapsed="false">
      <c r="B742" s="1" t="s">
        <v>675</v>
      </c>
      <c r="F742" s="57" t="s">
        <v>290</v>
      </c>
      <c r="G742" s="58" t="n">
        <v>1</v>
      </c>
      <c r="H742" s="59" t="n">
        <f aca="false">G742*8/$D$738</f>
        <v>0.666666666666667</v>
      </c>
      <c r="I742" s="1" t="n">
        <v>22.66</v>
      </c>
      <c r="J742" s="30" t="n">
        <f aca="false">H742*I742</f>
        <v>15.1066666666667</v>
      </c>
      <c r="K742" s="1" t="n">
        <v>47</v>
      </c>
      <c r="U742" s="14"/>
    </row>
    <row r="743" customFormat="false" ht="15" hidden="false" customHeight="false" outlineLevel="0" collapsed="false">
      <c r="B743" s="1" t="s">
        <v>292</v>
      </c>
      <c r="F743" s="57" t="s">
        <v>290</v>
      </c>
      <c r="G743" s="58" t="n">
        <v>0.5</v>
      </c>
      <c r="H743" s="59" t="n">
        <f aca="false">G743*8/$D$738</f>
        <v>0.333333333333333</v>
      </c>
      <c r="I743" s="30" t="n">
        <v>20.51</v>
      </c>
      <c r="J743" s="30" t="n">
        <f aca="false">H743*I743</f>
        <v>6.83666666666667</v>
      </c>
      <c r="K743" s="1" t="n">
        <v>47</v>
      </c>
      <c r="U743" s="14"/>
    </row>
    <row r="744" customFormat="false" ht="15" hidden="false" customHeight="false" outlineLevel="0" collapsed="false">
      <c r="F744" s="57"/>
      <c r="J744" s="55" t="n">
        <f aca="false">ROUND(SUM(J741:J743),2)</f>
        <v>41.24</v>
      </c>
      <c r="T744" s="14"/>
      <c r="U744" s="14"/>
    </row>
    <row r="745" customFormat="false" ht="15" hidden="false" customHeight="false" outlineLevel="0" collapsed="false">
      <c r="B745" s="56" t="s">
        <v>652</v>
      </c>
      <c r="U745" s="14"/>
    </row>
    <row r="746" customFormat="false" ht="15" hidden="false" customHeight="false" outlineLevel="0" collapsed="false">
      <c r="B746" s="1" t="s">
        <v>685</v>
      </c>
      <c r="F746" s="57" t="s">
        <v>295</v>
      </c>
      <c r="H746" s="59" t="n">
        <v>0.1</v>
      </c>
      <c r="I746" s="30" t="n">
        <v>2.64</v>
      </c>
      <c r="J746" s="30" t="n">
        <f aca="false">H746*I746</f>
        <v>0.264</v>
      </c>
      <c r="K746" s="1" t="n">
        <v>2</v>
      </c>
      <c r="U746" s="14"/>
    </row>
    <row r="747" customFormat="false" ht="15" hidden="false" customHeight="false" outlineLevel="0" collapsed="false">
      <c r="B747" s="1" t="s">
        <v>300</v>
      </c>
      <c r="F747" s="57" t="s">
        <v>295</v>
      </c>
      <c r="H747" s="59" t="n">
        <v>0.1</v>
      </c>
      <c r="I747" s="30" t="n">
        <v>5.51</v>
      </c>
      <c r="J747" s="30" t="n">
        <f aca="false">H747*I747</f>
        <v>0.551</v>
      </c>
      <c r="K747" s="1" t="n">
        <v>2</v>
      </c>
      <c r="U747" s="14"/>
    </row>
    <row r="748" customFormat="false" ht="15" hidden="false" customHeight="false" outlineLevel="0" collapsed="false">
      <c r="B748" s="1" t="s">
        <v>667</v>
      </c>
      <c r="F748" s="57" t="s">
        <v>295</v>
      </c>
      <c r="H748" s="59" t="n">
        <v>4.09</v>
      </c>
      <c r="I748" s="30" t="n">
        <v>5.8</v>
      </c>
      <c r="J748" s="30" t="n">
        <f aca="false">H748*I748</f>
        <v>23.722</v>
      </c>
      <c r="K748" s="1" t="n">
        <v>43</v>
      </c>
      <c r="T748" s="14"/>
      <c r="U748" s="14"/>
    </row>
    <row r="749" customFormat="false" ht="15" hidden="false" customHeight="false" outlineLevel="0" collapsed="false">
      <c r="J749" s="55" t="n">
        <f aca="false">ROUND(SUM(J746:J748),2)</f>
        <v>24.54</v>
      </c>
    </row>
    <row r="750" customFormat="false" ht="15" hidden="false" customHeight="false" outlineLevel="0" collapsed="false">
      <c r="B750" s="56" t="s">
        <v>308</v>
      </c>
    </row>
    <row r="751" customFormat="false" ht="15" hidden="false" customHeight="false" outlineLevel="0" collapsed="false">
      <c r="B751" s="1" t="s">
        <v>309</v>
      </c>
      <c r="F751" s="57" t="s">
        <v>310</v>
      </c>
      <c r="H751" s="59" t="n">
        <v>3</v>
      </c>
      <c r="I751" s="30" t="n">
        <f aca="false">J744</f>
        <v>41.24</v>
      </c>
      <c r="J751" s="30" t="n">
        <f aca="false">H751%*I751</f>
        <v>1.2372</v>
      </c>
      <c r="K751" s="1" t="n">
        <v>37</v>
      </c>
    </row>
    <row r="752" customFormat="false" ht="15" hidden="false" customHeight="false" outlineLevel="0" collapsed="false">
      <c r="A752" s="62"/>
      <c r="B752" s="62"/>
      <c r="C752" s="62"/>
      <c r="D752" s="62"/>
      <c r="E752" s="62"/>
      <c r="F752" s="62"/>
      <c r="G752" s="62"/>
      <c r="H752" s="62"/>
      <c r="I752" s="62"/>
      <c r="J752" s="63" t="n">
        <f aca="false">ROUND(SUM(J751),2)</f>
        <v>1.24</v>
      </c>
    </row>
    <row r="754" customFormat="false" ht="15" hidden="false" customHeight="false" outlineLevel="0" collapsed="false">
      <c r="A754" s="85" t="s">
        <v>276</v>
      </c>
      <c r="B754" s="14" t="str">
        <f aca="false">ESTRUCTURA!A63</f>
        <v>02.03.10.03</v>
      </c>
      <c r="C754" s="85" t="s">
        <v>707</v>
      </c>
    </row>
    <row r="755" customFormat="false" ht="15" hidden="false" customHeight="false" outlineLevel="0" collapsed="false">
      <c r="A755" s="85" t="s">
        <v>277</v>
      </c>
      <c r="B755" s="85" t="s">
        <v>702</v>
      </c>
      <c r="C755" s="87" t="s">
        <v>279</v>
      </c>
      <c r="D755" s="88" t="n">
        <v>250</v>
      </c>
      <c r="E755" s="87" t="s">
        <v>280</v>
      </c>
      <c r="F755" s="88" t="n">
        <f aca="false">D755</f>
        <v>250</v>
      </c>
      <c r="G755" s="85" t="s">
        <v>281</v>
      </c>
      <c r="I755" s="87" t="s">
        <v>703</v>
      </c>
      <c r="J755" s="89" t="n">
        <f aca="false">J761+J765+J768</f>
        <v>5.48</v>
      </c>
    </row>
    <row r="756" customFormat="false" ht="15" hidden="false" customHeight="false" outlineLevel="0" collapsed="false">
      <c r="A756" s="85" t="s">
        <v>282</v>
      </c>
      <c r="B756" s="85" t="s">
        <v>283</v>
      </c>
      <c r="F756" s="87" t="s">
        <v>121</v>
      </c>
      <c r="G756" s="87" t="s">
        <v>284</v>
      </c>
      <c r="H756" s="87" t="s">
        <v>285</v>
      </c>
      <c r="I756" s="87" t="s">
        <v>286</v>
      </c>
      <c r="J756" s="87" t="s">
        <v>287</v>
      </c>
    </row>
    <row r="757" customFormat="false" ht="15" hidden="false" customHeight="false" outlineLevel="0" collapsed="false">
      <c r="B757" s="90" t="s">
        <v>288</v>
      </c>
      <c r="G757" s="58"/>
    </row>
    <row r="758" customFormat="false" ht="15" hidden="false" customHeight="false" outlineLevel="0" collapsed="false">
      <c r="B758" s="1" t="s">
        <v>289</v>
      </c>
      <c r="F758" s="57" t="s">
        <v>290</v>
      </c>
      <c r="G758" s="58" t="n">
        <v>1</v>
      </c>
      <c r="H758" s="101" t="n">
        <f aca="false">G758*8/$D$755</f>
        <v>0.032</v>
      </c>
      <c r="I758" s="49" t="n">
        <v>28.94</v>
      </c>
      <c r="J758" s="30" t="n">
        <f aca="false">H758*I758</f>
        <v>0.92608</v>
      </c>
      <c r="K758" s="1" t="n">
        <v>47</v>
      </c>
    </row>
    <row r="759" customFormat="false" ht="15" hidden="false" customHeight="false" outlineLevel="0" collapsed="false">
      <c r="B759" s="1" t="s">
        <v>675</v>
      </c>
      <c r="F759" s="57" t="s">
        <v>290</v>
      </c>
      <c r="G759" s="58" t="n">
        <v>1</v>
      </c>
      <c r="H759" s="101" t="n">
        <f aca="false">G759*8/$D$755</f>
        <v>0.032</v>
      </c>
      <c r="I759" s="1" t="n">
        <v>22.66</v>
      </c>
      <c r="J759" s="30" t="n">
        <f aca="false">H759*I759</f>
        <v>0.72512</v>
      </c>
      <c r="K759" s="1" t="n">
        <v>47</v>
      </c>
    </row>
    <row r="760" customFormat="false" ht="15" hidden="false" customHeight="false" outlineLevel="0" collapsed="false">
      <c r="B760" s="1" t="s">
        <v>649</v>
      </c>
      <c r="F760" s="57" t="s">
        <v>290</v>
      </c>
      <c r="G760" s="58" t="n">
        <v>0.1</v>
      </c>
      <c r="H760" s="101" t="n">
        <f aca="false">G760*8/$D$755</f>
        <v>0.0032</v>
      </c>
      <c r="I760" s="49" t="n">
        <v>34.73</v>
      </c>
      <c r="J760" s="30" t="n">
        <f aca="false">H760*I760</f>
        <v>0.111136</v>
      </c>
      <c r="K760" s="1" t="n">
        <v>47</v>
      </c>
    </row>
    <row r="761" customFormat="false" ht="15" hidden="false" customHeight="false" outlineLevel="0" collapsed="false">
      <c r="F761" s="57"/>
      <c r="G761" s="58"/>
      <c r="J761" s="89" t="n">
        <f aca="false">ROUND(SUM(J758:J760),2)</f>
        <v>1.76</v>
      </c>
    </row>
    <row r="762" customFormat="false" ht="15" hidden="false" customHeight="false" outlineLevel="0" collapsed="false">
      <c r="B762" s="90" t="s">
        <v>293</v>
      </c>
      <c r="F762" s="57"/>
      <c r="G762" s="58"/>
      <c r="H762" s="101"/>
    </row>
    <row r="763" customFormat="false" ht="15" hidden="false" customHeight="false" outlineLevel="0" collapsed="false">
      <c r="B763" s="1" t="s">
        <v>294</v>
      </c>
      <c r="F763" s="57" t="s">
        <v>295</v>
      </c>
      <c r="G763" s="58"/>
      <c r="H763" s="101" t="n">
        <v>0.03</v>
      </c>
      <c r="I763" s="30" t="n">
        <v>2.64</v>
      </c>
      <c r="J763" s="30" t="n">
        <f aca="false">H763*I763</f>
        <v>0.0792</v>
      </c>
      <c r="K763" s="1" t="n">
        <v>2</v>
      </c>
    </row>
    <row r="764" customFormat="false" ht="15" hidden="false" customHeight="false" outlineLevel="0" collapsed="false">
      <c r="B764" s="1" t="s">
        <v>676</v>
      </c>
      <c r="F764" s="57" t="s">
        <v>295</v>
      </c>
      <c r="G764" s="58"/>
      <c r="H764" s="101" t="n">
        <v>1.05</v>
      </c>
      <c r="I764" s="30" t="n">
        <f aca="false">1012.71*3.379/1000</f>
        <v>3.42194709</v>
      </c>
      <c r="J764" s="30" t="n">
        <f aca="false">H764*I764</f>
        <v>3.5930444445</v>
      </c>
      <c r="K764" s="1" t="n">
        <v>3</v>
      </c>
    </row>
    <row r="765" customFormat="false" ht="15" hidden="false" customHeight="false" outlineLevel="0" collapsed="false">
      <c r="F765" s="57"/>
      <c r="G765" s="58"/>
      <c r="J765" s="89" t="n">
        <f aca="false">ROUND(SUM(J763:J764),2)</f>
        <v>3.67</v>
      </c>
    </row>
    <row r="766" customFormat="false" ht="15" hidden="false" customHeight="false" outlineLevel="0" collapsed="false">
      <c r="B766" s="90" t="s">
        <v>317</v>
      </c>
      <c r="F766" s="57"/>
      <c r="G766" s="58"/>
    </row>
    <row r="767" customFormat="false" ht="15" hidden="false" customHeight="false" outlineLevel="0" collapsed="false">
      <c r="B767" s="1" t="s">
        <v>309</v>
      </c>
      <c r="F767" s="57" t="s">
        <v>310</v>
      </c>
      <c r="H767" s="59" t="n">
        <v>3</v>
      </c>
      <c r="I767" s="30" t="n">
        <f aca="false">J761</f>
        <v>1.76</v>
      </c>
      <c r="J767" s="30" t="n">
        <f aca="false">H767%*I767</f>
        <v>0.0528</v>
      </c>
      <c r="K767" s="1" t="n">
        <v>37</v>
      </c>
    </row>
    <row r="768" customFormat="false" ht="15" hidden="false" customHeight="false" outlineLevel="0" collapsed="false">
      <c r="A768" s="62"/>
      <c r="B768" s="62"/>
      <c r="C768" s="62"/>
      <c r="D768" s="62"/>
      <c r="E768" s="62"/>
      <c r="F768" s="62"/>
      <c r="G768" s="62"/>
      <c r="H768" s="62"/>
      <c r="I768" s="62"/>
      <c r="J768" s="91" t="n">
        <f aca="false">ROUND(SUM(J767:J767),2)</f>
        <v>0.05</v>
      </c>
    </row>
    <row r="770" customFormat="false" ht="15" hidden="false" customHeight="false" outlineLevel="0" collapsed="false">
      <c r="A770" s="85" t="s">
        <v>276</v>
      </c>
      <c r="B770" s="14" t="str">
        <f aca="false">ESTRUCTURA!A65</f>
        <v>02.03.11.01</v>
      </c>
      <c r="C770" s="85" t="s">
        <v>576</v>
      </c>
      <c r="D770" s="85"/>
    </row>
    <row r="771" customFormat="false" ht="15" hidden="false" customHeight="false" outlineLevel="0" collapsed="false">
      <c r="A771" s="85" t="s">
        <v>277</v>
      </c>
      <c r="B771" s="85" t="s">
        <v>415</v>
      </c>
      <c r="C771" s="87" t="s">
        <v>279</v>
      </c>
      <c r="D771" s="88" t="n">
        <v>15</v>
      </c>
      <c r="E771" s="87" t="s">
        <v>280</v>
      </c>
      <c r="F771" s="88" t="n">
        <f aca="false">D771</f>
        <v>15</v>
      </c>
      <c r="G771" s="85" t="s">
        <v>281</v>
      </c>
      <c r="I771" s="87" t="s">
        <v>202</v>
      </c>
      <c r="J771" s="89" t="n">
        <f aca="false">J777+J784+J789</f>
        <v>399.79</v>
      </c>
    </row>
    <row r="772" customFormat="false" ht="15" hidden="false" customHeight="false" outlineLevel="0" collapsed="false">
      <c r="A772" s="85" t="s">
        <v>282</v>
      </c>
      <c r="B772" s="85" t="s">
        <v>283</v>
      </c>
      <c r="F772" s="87" t="s">
        <v>121</v>
      </c>
      <c r="G772" s="87" t="s">
        <v>284</v>
      </c>
      <c r="H772" s="87" t="s">
        <v>285</v>
      </c>
      <c r="I772" s="87" t="s">
        <v>286</v>
      </c>
      <c r="J772" s="87" t="s">
        <v>287</v>
      </c>
    </row>
    <row r="773" customFormat="false" ht="15" hidden="false" customHeight="false" outlineLevel="0" collapsed="false">
      <c r="B773" s="90" t="s">
        <v>288</v>
      </c>
    </row>
    <row r="774" customFormat="false" ht="15" hidden="false" customHeight="false" outlineLevel="0" collapsed="false">
      <c r="B774" s="1" t="s">
        <v>289</v>
      </c>
      <c r="F774" s="57" t="s">
        <v>290</v>
      </c>
      <c r="G774" s="58" t="n">
        <v>1</v>
      </c>
      <c r="H774" s="59" t="n">
        <f aca="false">G774*8/$D$771</f>
        <v>0.533333333333333</v>
      </c>
      <c r="I774" s="30" t="n">
        <v>28.94</v>
      </c>
      <c r="J774" s="30" t="n">
        <f aca="false">H774*I774</f>
        <v>15.4346666666667</v>
      </c>
      <c r="K774" s="1" t="n">
        <v>47</v>
      </c>
    </row>
    <row r="775" customFormat="false" ht="15" hidden="false" customHeight="false" outlineLevel="0" collapsed="false">
      <c r="B775" s="1" t="s">
        <v>291</v>
      </c>
      <c r="F775" s="57" t="s">
        <v>290</v>
      </c>
      <c r="G775" s="58" t="n">
        <v>2</v>
      </c>
      <c r="H775" s="59" t="n">
        <f aca="false">G775*8/$D$771</f>
        <v>1.06666666666667</v>
      </c>
      <c r="I775" s="30" t="n">
        <v>22.66</v>
      </c>
      <c r="J775" s="30" t="n">
        <f aca="false">H775*I775</f>
        <v>24.1706666666667</v>
      </c>
      <c r="K775" s="1" t="n">
        <v>47</v>
      </c>
    </row>
    <row r="776" customFormat="false" ht="15" hidden="false" customHeight="false" outlineLevel="0" collapsed="false">
      <c r="B776" s="1" t="s">
        <v>292</v>
      </c>
      <c r="F776" s="57" t="s">
        <v>290</v>
      </c>
      <c r="G776" s="58" t="n">
        <v>4</v>
      </c>
      <c r="H776" s="59" t="n">
        <f aca="false">G776*8/$D$771</f>
        <v>2.13333333333333</v>
      </c>
      <c r="I776" s="30" t="n">
        <v>20.51</v>
      </c>
      <c r="J776" s="30" t="n">
        <f aca="false">H776*I776</f>
        <v>43.7546666666667</v>
      </c>
      <c r="K776" s="1" t="n">
        <v>47</v>
      </c>
    </row>
    <row r="777" customFormat="false" ht="15" hidden="false" customHeight="false" outlineLevel="0" collapsed="false">
      <c r="F777" s="57"/>
      <c r="G777" s="58"/>
      <c r="H777" s="59"/>
      <c r="J777" s="89" t="n">
        <f aca="false">ROUND(SUM(J774:J776),2)</f>
        <v>83.36</v>
      </c>
    </row>
    <row r="778" customFormat="false" ht="15" hidden="false" customHeight="false" outlineLevel="0" collapsed="false">
      <c r="B778" s="90" t="s">
        <v>652</v>
      </c>
      <c r="F778" s="57"/>
      <c r="G778" s="58"/>
      <c r="H778" s="59"/>
      <c r="J778" s="30"/>
    </row>
    <row r="779" customFormat="false" ht="15" hidden="false" customHeight="false" outlineLevel="0" collapsed="false">
      <c r="B779" s="1" t="s">
        <v>670</v>
      </c>
      <c r="F779" s="57" t="s">
        <v>202</v>
      </c>
      <c r="H779" s="59" t="n">
        <v>0.53</v>
      </c>
      <c r="I779" s="30" t="n">
        <v>55.08</v>
      </c>
      <c r="J779" s="30" t="n">
        <f aca="false">H779*I779</f>
        <v>29.1924</v>
      </c>
      <c r="K779" s="1" t="n">
        <v>5</v>
      </c>
    </row>
    <row r="780" customFormat="false" ht="15" hidden="false" customHeight="false" outlineLevel="0" collapsed="false">
      <c r="B780" s="1" t="s">
        <v>671</v>
      </c>
      <c r="F780" s="57" t="s">
        <v>202</v>
      </c>
      <c r="H780" s="59" t="n">
        <v>0.52</v>
      </c>
      <c r="I780" s="30" t="n">
        <v>47</v>
      </c>
      <c r="J780" s="30" t="n">
        <f aca="false">H780*I780</f>
        <v>24.44</v>
      </c>
      <c r="K780" s="1" t="n">
        <v>4</v>
      </c>
    </row>
    <row r="781" customFormat="false" ht="15" hidden="false" customHeight="false" outlineLevel="0" collapsed="false">
      <c r="B781" s="1" t="s">
        <v>305</v>
      </c>
      <c r="F781" s="57" t="s">
        <v>306</v>
      </c>
      <c r="H781" s="59" t="n">
        <v>9.73</v>
      </c>
      <c r="I781" s="30" t="n">
        <v>24.52</v>
      </c>
      <c r="J781" s="30" t="n">
        <f aca="false">H781*I781</f>
        <v>238.5796</v>
      </c>
      <c r="K781" s="1" t="n">
        <v>21</v>
      </c>
    </row>
    <row r="782" customFormat="false" ht="15" hidden="false" customHeight="false" outlineLevel="0" collapsed="false">
      <c r="B782" s="1" t="s">
        <v>654</v>
      </c>
      <c r="F782" s="57" t="s">
        <v>202</v>
      </c>
      <c r="H782" s="59" t="n">
        <v>0.186</v>
      </c>
      <c r="I782" s="1" t="n">
        <v>6.14</v>
      </c>
      <c r="J782" s="30" t="n">
        <f aca="false">H782*I782</f>
        <v>1.14204</v>
      </c>
      <c r="K782" s="1" t="n">
        <v>30</v>
      </c>
    </row>
    <row r="783" customFormat="false" ht="15" hidden="false" customHeight="false" outlineLevel="0" collapsed="false">
      <c r="B783" s="1" t="s">
        <v>663</v>
      </c>
      <c r="F783" s="57" t="s">
        <v>437</v>
      </c>
      <c r="H783" s="59" t="n">
        <v>0.36</v>
      </c>
      <c r="I783" s="1" t="n">
        <v>13.93</v>
      </c>
      <c r="J783" s="30" t="n">
        <f aca="false">H783*I783</f>
        <v>5.0148</v>
      </c>
      <c r="K783" s="1" t="n">
        <v>34</v>
      </c>
    </row>
    <row r="784" customFormat="false" ht="15" hidden="false" customHeight="false" outlineLevel="0" collapsed="false">
      <c r="F784" s="57"/>
      <c r="H784" s="59"/>
      <c r="I784" s="30"/>
      <c r="J784" s="89" t="n">
        <f aca="false">ROUND(SUM(J779:J783),2)</f>
        <v>298.37</v>
      </c>
    </row>
    <row r="785" customFormat="false" ht="15" hidden="false" customHeight="false" outlineLevel="0" collapsed="false">
      <c r="B785" s="90" t="s">
        <v>308</v>
      </c>
    </row>
    <row r="786" customFormat="false" ht="15" hidden="false" customHeight="false" outlineLevel="0" collapsed="false">
      <c r="B786" s="1" t="s">
        <v>309</v>
      </c>
      <c r="F786" s="57" t="s">
        <v>310</v>
      </c>
      <c r="H786" s="59" t="n">
        <v>3</v>
      </c>
      <c r="I786" s="30" t="n">
        <f aca="false">J777</f>
        <v>83.36</v>
      </c>
      <c r="J786" s="30" t="n">
        <f aca="false">H786%*I786</f>
        <v>2.5008</v>
      </c>
      <c r="K786" s="1" t="n">
        <v>37</v>
      </c>
    </row>
    <row r="787" customFormat="false" ht="15" hidden="false" customHeight="false" outlineLevel="0" collapsed="false">
      <c r="B787" s="1" t="s">
        <v>665</v>
      </c>
      <c r="F787" s="57" t="s">
        <v>337</v>
      </c>
      <c r="G787" s="58" t="n">
        <v>1</v>
      </c>
      <c r="H787" s="59" t="n">
        <f aca="false">G787*8/$D$771</f>
        <v>0.533333333333333</v>
      </c>
      <c r="I787" s="30" t="n">
        <v>25.63</v>
      </c>
      <c r="J787" s="30" t="n">
        <f aca="false">H787*I787</f>
        <v>13.6693333333333</v>
      </c>
      <c r="K787" s="1" t="n">
        <v>48</v>
      </c>
    </row>
    <row r="788" customFormat="false" ht="15" hidden="false" customHeight="false" outlineLevel="0" collapsed="false">
      <c r="B788" s="1" t="s">
        <v>673</v>
      </c>
      <c r="F788" s="57" t="s">
        <v>337</v>
      </c>
      <c r="G788" s="58" t="n">
        <v>0.5</v>
      </c>
      <c r="H788" s="59" t="n">
        <f aca="false">G788*8/$D$771</f>
        <v>0.266666666666667</v>
      </c>
      <c r="I788" s="30" t="n">
        <v>7.07</v>
      </c>
      <c r="J788" s="30" t="n">
        <f aca="false">H788*I788</f>
        <v>1.88533333333333</v>
      </c>
      <c r="K788" s="1" t="n">
        <v>49</v>
      </c>
    </row>
    <row r="789" customFormat="false" ht="15" hidden="false" customHeight="false" outlineLevel="0" collapsed="false">
      <c r="A789" s="62"/>
      <c r="B789" s="62"/>
      <c r="C789" s="62"/>
      <c r="D789" s="62"/>
      <c r="E789" s="62"/>
      <c r="F789" s="62"/>
      <c r="G789" s="62"/>
      <c r="H789" s="62"/>
      <c r="I789" s="62"/>
      <c r="J789" s="91" t="n">
        <f aca="false">ROUND(SUM(J786:J788),2)</f>
        <v>18.06</v>
      </c>
      <c r="AZ789" s="85"/>
      <c r="BA789" s="85"/>
      <c r="BB789" s="85"/>
      <c r="BC789" s="85"/>
    </row>
    <row r="790" customFormat="false" ht="15" hidden="false" customHeight="false" outlineLevel="0" collapsed="false">
      <c r="AZ790" s="85"/>
      <c r="BA790" s="85"/>
      <c r="BB790" s="87"/>
      <c r="BC790" s="88"/>
      <c r="BD790" s="87"/>
      <c r="BE790" s="88"/>
      <c r="BF790" s="85"/>
      <c r="BH790" s="87"/>
      <c r="BI790" s="89"/>
    </row>
    <row r="791" customFormat="false" ht="15" hidden="false" customHeight="false" outlineLevel="0" collapsed="false">
      <c r="A791" s="85" t="s">
        <v>276</v>
      </c>
      <c r="B791" s="14" t="str">
        <f aca="false">ESTRUCTURA!A66</f>
        <v>02.03.11.02</v>
      </c>
      <c r="C791" s="85" t="s">
        <v>578</v>
      </c>
      <c r="D791" s="85"/>
      <c r="AZ791" s="85"/>
      <c r="BA791" s="85"/>
      <c r="BE791" s="87"/>
      <c r="BF791" s="87"/>
      <c r="BG791" s="87"/>
      <c r="BH791" s="87"/>
      <c r="BI791" s="87"/>
    </row>
    <row r="792" customFormat="false" ht="15" hidden="false" customHeight="false" outlineLevel="0" collapsed="false">
      <c r="A792" s="85" t="s">
        <v>277</v>
      </c>
      <c r="B792" s="85" t="s">
        <v>278</v>
      </c>
      <c r="C792" s="87" t="s">
        <v>279</v>
      </c>
      <c r="D792" s="88" t="n">
        <v>35</v>
      </c>
      <c r="E792" s="87" t="s">
        <v>280</v>
      </c>
      <c r="F792" s="88" t="n">
        <f aca="false">D792</f>
        <v>35</v>
      </c>
      <c r="G792" s="85" t="s">
        <v>281</v>
      </c>
      <c r="I792" s="87" t="s">
        <v>132</v>
      </c>
      <c r="J792" s="89" t="n">
        <f aca="false">J798+J803+J806</f>
        <v>47.17</v>
      </c>
      <c r="BA792" s="90"/>
    </row>
    <row r="793" customFormat="false" ht="15" hidden="false" customHeight="false" outlineLevel="0" collapsed="false">
      <c r="A793" s="85" t="s">
        <v>282</v>
      </c>
      <c r="B793" s="85" t="s">
        <v>283</v>
      </c>
      <c r="F793" s="87" t="s">
        <v>121</v>
      </c>
      <c r="G793" s="87" t="s">
        <v>284</v>
      </c>
      <c r="H793" s="87" t="s">
        <v>285</v>
      </c>
      <c r="I793" s="87" t="s">
        <v>286</v>
      </c>
      <c r="J793" s="87" t="s">
        <v>287</v>
      </c>
      <c r="BE793" s="57"/>
      <c r="BF793" s="58"/>
      <c r="BG793" s="59"/>
      <c r="BH793" s="30"/>
      <c r="BI793" s="30"/>
    </row>
    <row r="794" customFormat="false" ht="15" hidden="false" customHeight="false" outlineLevel="0" collapsed="false">
      <c r="B794" s="90" t="s">
        <v>288</v>
      </c>
      <c r="BE794" s="57"/>
      <c r="BF794" s="58"/>
      <c r="BG794" s="59"/>
      <c r="BH794" s="30"/>
      <c r="BI794" s="30"/>
    </row>
    <row r="795" customFormat="false" ht="15" hidden="false" customHeight="false" outlineLevel="0" collapsed="false">
      <c r="B795" s="1" t="s">
        <v>289</v>
      </c>
      <c r="F795" s="57" t="s">
        <v>290</v>
      </c>
      <c r="G795" s="58" t="n">
        <v>2</v>
      </c>
      <c r="H795" s="59" t="n">
        <f aca="false">G795*8/$D$792</f>
        <v>0.457142857142857</v>
      </c>
      <c r="I795" s="30" t="n">
        <v>28.94</v>
      </c>
      <c r="J795" s="30" t="n">
        <f aca="false">H795*I795</f>
        <v>13.2297142857143</v>
      </c>
      <c r="K795" s="1" t="n">
        <v>47</v>
      </c>
      <c r="BE795" s="57"/>
      <c r="BF795" s="58"/>
      <c r="BG795" s="59"/>
      <c r="BH795" s="30"/>
      <c r="BI795" s="30"/>
    </row>
    <row r="796" customFormat="false" ht="15" hidden="false" customHeight="false" outlineLevel="0" collapsed="false">
      <c r="B796" s="1" t="s">
        <v>291</v>
      </c>
      <c r="F796" s="57" t="s">
        <v>290</v>
      </c>
      <c r="G796" s="58" t="n">
        <v>1</v>
      </c>
      <c r="H796" s="59" t="n">
        <f aca="false">G796*8/$D$792</f>
        <v>0.228571428571429</v>
      </c>
      <c r="I796" s="30" t="n">
        <v>22.66</v>
      </c>
      <c r="J796" s="30" t="n">
        <f aca="false">H796*I796</f>
        <v>5.17942857142857</v>
      </c>
      <c r="K796" s="1" t="n">
        <v>47</v>
      </c>
      <c r="BE796" s="57"/>
      <c r="BF796" s="58"/>
      <c r="BG796" s="59"/>
      <c r="BI796" s="89"/>
    </row>
    <row r="797" customFormat="false" ht="15" hidden="false" customHeight="false" outlineLevel="0" collapsed="false">
      <c r="B797" s="1" t="s">
        <v>292</v>
      </c>
      <c r="F797" s="57" t="s">
        <v>290</v>
      </c>
      <c r="G797" s="58" t="n">
        <v>1</v>
      </c>
      <c r="H797" s="59" t="n">
        <f aca="false">G797*8/$D$792</f>
        <v>0.228571428571429</v>
      </c>
      <c r="I797" s="30" t="n">
        <v>20.51</v>
      </c>
      <c r="J797" s="30" t="n">
        <f aca="false">H797*I797</f>
        <v>4.688</v>
      </c>
      <c r="K797" s="1" t="n">
        <v>47</v>
      </c>
      <c r="BA797" s="90"/>
      <c r="BE797" s="57"/>
      <c r="BF797" s="58"/>
      <c r="BG797" s="59"/>
      <c r="BI797" s="30"/>
    </row>
    <row r="798" customFormat="false" ht="15" hidden="false" customHeight="false" outlineLevel="0" collapsed="false">
      <c r="F798" s="57"/>
      <c r="G798" s="58"/>
      <c r="H798" s="59"/>
      <c r="J798" s="89" t="n">
        <f aca="false">ROUND(SUM(J795:J797),2)</f>
        <v>23.1</v>
      </c>
      <c r="BE798" s="57"/>
      <c r="BG798" s="59"/>
      <c r="BH798" s="30"/>
      <c r="BI798" s="30"/>
    </row>
    <row r="799" customFormat="false" ht="15" hidden="false" customHeight="false" outlineLevel="0" collapsed="false">
      <c r="B799" s="90" t="s">
        <v>652</v>
      </c>
      <c r="F799" s="57"/>
      <c r="G799" s="58"/>
      <c r="H799" s="59"/>
      <c r="J799" s="30"/>
      <c r="BE799" s="57"/>
      <c r="BG799" s="59"/>
      <c r="BH799" s="30"/>
      <c r="BI799" s="30"/>
    </row>
    <row r="800" customFormat="false" ht="15" hidden="false" customHeight="false" outlineLevel="0" collapsed="false">
      <c r="B800" s="1" t="s">
        <v>685</v>
      </c>
      <c r="F800" s="57" t="s">
        <v>295</v>
      </c>
      <c r="H800" s="59" t="n">
        <v>0.3</v>
      </c>
      <c r="I800" s="30" t="n">
        <v>2.64</v>
      </c>
      <c r="J800" s="30" t="n">
        <f aca="false">H800*I800</f>
        <v>0.792</v>
      </c>
      <c r="K800" s="1" t="n">
        <v>2</v>
      </c>
      <c r="BE800" s="57"/>
      <c r="BG800" s="59"/>
      <c r="BH800" s="30"/>
      <c r="BI800" s="30"/>
    </row>
    <row r="801" customFormat="false" ht="15" hidden="false" customHeight="false" outlineLevel="0" collapsed="false">
      <c r="B801" s="1" t="s">
        <v>300</v>
      </c>
      <c r="F801" s="57" t="s">
        <v>295</v>
      </c>
      <c r="H801" s="59" t="n">
        <v>0.31</v>
      </c>
      <c r="I801" s="30" t="n">
        <v>5.51</v>
      </c>
      <c r="J801" s="30" t="n">
        <f aca="false">H801*I801</f>
        <v>1.7081</v>
      </c>
      <c r="K801" s="1" t="n">
        <v>2</v>
      </c>
      <c r="BE801" s="57"/>
      <c r="BG801" s="59"/>
      <c r="BI801" s="30"/>
    </row>
    <row r="802" customFormat="false" ht="15" hidden="false" customHeight="false" outlineLevel="0" collapsed="false">
      <c r="B802" s="1" t="s">
        <v>667</v>
      </c>
      <c r="F802" s="57" t="s">
        <v>304</v>
      </c>
      <c r="H802" s="59" t="n">
        <v>3.6</v>
      </c>
      <c r="I802" s="30" t="n">
        <v>5.8</v>
      </c>
      <c r="J802" s="30" t="n">
        <f aca="false">H802*I802</f>
        <v>20.88</v>
      </c>
      <c r="K802" s="1" t="n">
        <v>43</v>
      </c>
      <c r="BE802" s="57"/>
      <c r="BG802" s="59"/>
      <c r="BI802" s="30"/>
    </row>
    <row r="803" customFormat="false" ht="15" hidden="false" customHeight="false" outlineLevel="0" collapsed="false">
      <c r="F803" s="57"/>
      <c r="H803" s="59"/>
      <c r="I803" s="30"/>
      <c r="J803" s="89" t="n">
        <f aca="false">ROUND(SUM(J800:J802),2)</f>
        <v>23.38</v>
      </c>
      <c r="BE803" s="57"/>
      <c r="BG803" s="59"/>
      <c r="BH803" s="30"/>
      <c r="BI803" s="89"/>
    </row>
    <row r="804" customFormat="false" ht="15" hidden="false" customHeight="false" outlineLevel="0" collapsed="false">
      <c r="B804" s="90" t="s">
        <v>308</v>
      </c>
      <c r="BA804" s="90"/>
    </row>
    <row r="805" customFormat="false" ht="15" hidden="false" customHeight="false" outlineLevel="0" collapsed="false">
      <c r="B805" s="1" t="s">
        <v>309</v>
      </c>
      <c r="F805" s="57" t="s">
        <v>310</v>
      </c>
      <c r="H805" s="59" t="n">
        <v>3</v>
      </c>
      <c r="I805" s="30" t="n">
        <f aca="false">J798</f>
        <v>23.1</v>
      </c>
      <c r="J805" s="30" t="n">
        <f aca="false">H805%*I805</f>
        <v>0.693</v>
      </c>
      <c r="K805" s="1" t="n">
        <v>37</v>
      </c>
      <c r="BE805" s="57"/>
      <c r="BG805" s="59"/>
      <c r="BH805" s="30"/>
      <c r="BI805" s="30"/>
    </row>
    <row r="806" customFormat="false" ht="15" hidden="false" customHeight="false" outlineLevel="0" collapsed="false">
      <c r="A806" s="62"/>
      <c r="B806" s="62"/>
      <c r="C806" s="62"/>
      <c r="D806" s="62"/>
      <c r="E806" s="62"/>
      <c r="F806" s="62"/>
      <c r="G806" s="62"/>
      <c r="H806" s="62"/>
      <c r="I806" s="62"/>
      <c r="J806" s="91" t="n">
        <f aca="false">ROUND(SUM(J805),2)</f>
        <v>0.69</v>
      </c>
      <c r="BE806" s="57"/>
      <c r="BF806" s="58"/>
      <c r="BG806" s="59"/>
      <c r="BH806" s="30"/>
      <c r="BI806" s="30"/>
    </row>
    <row r="807" customFormat="false" ht="15" hidden="false" customHeight="false" outlineLevel="0" collapsed="false">
      <c r="BE807" s="57"/>
      <c r="BF807" s="58"/>
      <c r="BG807" s="59"/>
      <c r="BH807" s="30"/>
      <c r="BI807" s="30"/>
    </row>
    <row r="808" customFormat="false" ht="15" hidden="false" customHeight="false" outlineLevel="0" collapsed="false">
      <c r="A808" s="85" t="s">
        <v>276</v>
      </c>
      <c r="B808" s="14" t="str">
        <f aca="false">ESTRUCTURA!A67</f>
        <v>02.03.11.03</v>
      </c>
      <c r="C808" s="85" t="s">
        <v>580</v>
      </c>
      <c r="D808" s="85"/>
      <c r="AZ808" s="62"/>
      <c r="BA808" s="62"/>
      <c r="BB808" s="62"/>
      <c r="BC808" s="62"/>
      <c r="BD808" s="62"/>
      <c r="BE808" s="62"/>
      <c r="BF808" s="62"/>
      <c r="BG808" s="62"/>
      <c r="BH808" s="62"/>
      <c r="BI808" s="91"/>
    </row>
    <row r="809" customFormat="false" ht="15" hidden="false" customHeight="false" outlineLevel="0" collapsed="false">
      <c r="A809" s="85" t="s">
        <v>277</v>
      </c>
      <c r="B809" s="85" t="s">
        <v>278</v>
      </c>
      <c r="C809" s="87" t="s">
        <v>279</v>
      </c>
      <c r="D809" s="88" t="n">
        <v>250</v>
      </c>
      <c r="E809" s="87" t="s">
        <v>280</v>
      </c>
      <c r="F809" s="88" t="n">
        <f aca="false">D809</f>
        <v>250</v>
      </c>
      <c r="G809" s="85" t="s">
        <v>281</v>
      </c>
      <c r="I809" s="87" t="s">
        <v>132</v>
      </c>
      <c r="J809" s="89" t="n">
        <f aca="false">J814+J818+J822</f>
        <v>5.53</v>
      </c>
    </row>
    <row r="810" customFormat="false" ht="15" hidden="false" customHeight="false" outlineLevel="0" collapsed="false">
      <c r="A810" s="85" t="s">
        <v>282</v>
      </c>
      <c r="B810" s="85" t="s">
        <v>283</v>
      </c>
      <c r="F810" s="87" t="s">
        <v>121</v>
      </c>
      <c r="G810" s="87" t="s">
        <v>284</v>
      </c>
      <c r="H810" s="87" t="s">
        <v>285</v>
      </c>
      <c r="I810" s="87" t="s">
        <v>286</v>
      </c>
      <c r="J810" s="87" t="s">
        <v>287</v>
      </c>
    </row>
    <row r="811" customFormat="false" ht="15" hidden="false" customHeight="false" outlineLevel="0" collapsed="false">
      <c r="B811" s="90" t="s">
        <v>288</v>
      </c>
    </row>
    <row r="812" customFormat="false" ht="15" hidden="false" customHeight="false" outlineLevel="0" collapsed="false">
      <c r="B812" s="1" t="s">
        <v>289</v>
      </c>
      <c r="F812" s="57" t="s">
        <v>290</v>
      </c>
      <c r="G812" s="58" t="n">
        <v>1</v>
      </c>
      <c r="H812" s="101" t="n">
        <f aca="false">G812*8/$D$809</f>
        <v>0.032</v>
      </c>
      <c r="I812" s="30" t="n">
        <v>28.94</v>
      </c>
      <c r="J812" s="30" t="n">
        <f aca="false">H812*I812</f>
        <v>0.92608</v>
      </c>
      <c r="K812" s="1" t="n">
        <v>47</v>
      </c>
    </row>
    <row r="813" customFormat="false" ht="15" hidden="false" customHeight="false" outlineLevel="0" collapsed="false">
      <c r="B813" s="1" t="s">
        <v>675</v>
      </c>
      <c r="F813" s="57" t="s">
        <v>290</v>
      </c>
      <c r="G813" s="58" t="n">
        <v>1</v>
      </c>
      <c r="H813" s="101" t="n">
        <f aca="false">G813*8/$D$809</f>
        <v>0.032</v>
      </c>
      <c r="I813" s="30" t="n">
        <v>22.66</v>
      </c>
      <c r="J813" s="30" t="n">
        <f aca="false">H813*I813</f>
        <v>0.72512</v>
      </c>
      <c r="K813" s="1" t="n">
        <v>47</v>
      </c>
    </row>
    <row r="814" customFormat="false" ht="15" hidden="false" customHeight="false" outlineLevel="0" collapsed="false">
      <c r="F814" s="57"/>
      <c r="G814" s="58"/>
      <c r="J814" s="89" t="n">
        <f aca="false">ROUND(SUM(J812:J813),2)</f>
        <v>1.65</v>
      </c>
    </row>
    <row r="815" customFormat="false" ht="15" hidden="false" customHeight="false" outlineLevel="0" collapsed="false">
      <c r="B815" s="90" t="s">
        <v>293</v>
      </c>
      <c r="F815" s="57"/>
      <c r="G815" s="58"/>
      <c r="H815" s="101"/>
      <c r="T815" s="14"/>
    </row>
    <row r="816" customFormat="false" ht="15" hidden="false" customHeight="false" outlineLevel="0" collapsed="false">
      <c r="B816" s="1" t="s">
        <v>294</v>
      </c>
      <c r="F816" s="57" t="s">
        <v>295</v>
      </c>
      <c r="G816" s="58"/>
      <c r="H816" s="101" t="n">
        <v>0.03</v>
      </c>
      <c r="I816" s="30" t="n">
        <v>2.64</v>
      </c>
      <c r="J816" s="30" t="n">
        <f aca="false">H816*I816</f>
        <v>0.0792</v>
      </c>
      <c r="K816" s="1" t="n">
        <v>2</v>
      </c>
      <c r="T816" s="14"/>
    </row>
    <row r="817" customFormat="false" ht="15" hidden="false" customHeight="false" outlineLevel="0" collapsed="false">
      <c r="B817" s="1" t="s">
        <v>676</v>
      </c>
      <c r="F817" s="57" t="s">
        <v>295</v>
      </c>
      <c r="G817" s="58"/>
      <c r="H817" s="101" t="n">
        <v>1.05</v>
      </c>
      <c r="I817" s="30" t="n">
        <f aca="false">1012.71*3.379/1000</f>
        <v>3.42194709</v>
      </c>
      <c r="J817" s="30" t="n">
        <f aca="false">H817*I817</f>
        <v>3.5930444445</v>
      </c>
      <c r="K817" s="1" t="n">
        <v>3</v>
      </c>
      <c r="T817" s="14"/>
    </row>
    <row r="818" customFormat="false" ht="15" hidden="false" customHeight="false" outlineLevel="0" collapsed="false">
      <c r="F818" s="57"/>
      <c r="G818" s="58"/>
      <c r="J818" s="89" t="n">
        <f aca="false">ROUND(SUM(J816:J817),2)</f>
        <v>3.67</v>
      </c>
      <c r="S818" s="14"/>
      <c r="T818" s="14"/>
    </row>
    <row r="819" customFormat="false" ht="15" hidden="false" customHeight="false" outlineLevel="0" collapsed="false">
      <c r="B819" s="90" t="s">
        <v>317</v>
      </c>
      <c r="F819" s="57"/>
      <c r="G819" s="58"/>
    </row>
    <row r="820" customFormat="false" ht="15" hidden="false" customHeight="false" outlineLevel="0" collapsed="false">
      <c r="B820" s="1" t="s">
        <v>309</v>
      </c>
      <c r="F820" s="57" t="s">
        <v>310</v>
      </c>
      <c r="H820" s="59" t="n">
        <v>3</v>
      </c>
      <c r="I820" s="30" t="n">
        <f aca="false">J814</f>
        <v>1.65</v>
      </c>
      <c r="J820" s="30" t="n">
        <f aca="false">H820%*I820</f>
        <v>0.0495</v>
      </c>
      <c r="K820" s="1" t="n">
        <v>37</v>
      </c>
    </row>
    <row r="821" customFormat="false" ht="15" hidden="false" customHeight="false" outlineLevel="0" collapsed="false">
      <c r="B821" s="1" t="s">
        <v>677</v>
      </c>
      <c r="F821" s="57" t="s">
        <v>290</v>
      </c>
      <c r="G821" s="58" t="n">
        <v>1</v>
      </c>
      <c r="H821" s="101" t="n">
        <f aca="false">G821*8/$D$809</f>
        <v>0.032</v>
      </c>
      <c r="I821" s="65" t="n">
        <v>5</v>
      </c>
      <c r="J821" s="30" t="n">
        <f aca="false">H821*I821</f>
        <v>0.16</v>
      </c>
      <c r="K821" s="1" t="n">
        <v>37</v>
      </c>
    </row>
    <row r="822" customFormat="false" ht="15" hidden="false" customHeight="false" outlineLevel="0" collapsed="false">
      <c r="A822" s="62"/>
      <c r="B822" s="62"/>
      <c r="C822" s="62"/>
      <c r="D822" s="62"/>
      <c r="E822" s="62"/>
      <c r="F822" s="62"/>
      <c r="G822" s="62"/>
      <c r="H822" s="62"/>
      <c r="I822" s="62"/>
      <c r="J822" s="91" t="n">
        <f aca="false">ROUND(SUM(J820:J821),2)</f>
        <v>0.21</v>
      </c>
    </row>
    <row r="824" customFormat="false" ht="15" hidden="false" customHeight="false" outlineLevel="0" collapsed="false">
      <c r="A824" s="85" t="s">
        <v>276</v>
      </c>
      <c r="B824" s="85" t="str">
        <f aca="false">ESTRUCTURA!A69</f>
        <v>02.03.12.01</v>
      </c>
      <c r="C824" s="85" t="s">
        <v>708</v>
      </c>
      <c r="D824" s="85"/>
    </row>
    <row r="825" customFormat="false" ht="15" hidden="false" customHeight="false" outlineLevel="0" collapsed="false">
      <c r="A825" s="85" t="s">
        <v>277</v>
      </c>
      <c r="B825" s="85" t="s">
        <v>415</v>
      </c>
      <c r="C825" s="87" t="s">
        <v>279</v>
      </c>
      <c r="D825" s="88" t="n">
        <v>6</v>
      </c>
      <c r="E825" s="87" t="s">
        <v>280</v>
      </c>
      <c r="F825" s="88" t="n">
        <f aca="false">D825</f>
        <v>6</v>
      </c>
      <c r="G825" s="85" t="s">
        <v>281</v>
      </c>
      <c r="I825" s="87" t="s">
        <v>202</v>
      </c>
      <c r="J825" s="89" t="n">
        <f aca="false">J831+J840+J846</f>
        <v>547.51</v>
      </c>
    </row>
    <row r="826" customFormat="false" ht="15" hidden="false" customHeight="false" outlineLevel="0" collapsed="false">
      <c r="A826" s="85" t="s">
        <v>282</v>
      </c>
      <c r="B826" s="85" t="s">
        <v>283</v>
      </c>
      <c r="F826" s="87" t="s">
        <v>121</v>
      </c>
      <c r="G826" s="87" t="s">
        <v>284</v>
      </c>
      <c r="H826" s="87" t="s">
        <v>285</v>
      </c>
      <c r="I826" s="87" t="s">
        <v>286</v>
      </c>
      <c r="J826" s="87" t="s">
        <v>287</v>
      </c>
    </row>
    <row r="827" customFormat="false" ht="15" hidden="false" customHeight="false" outlineLevel="0" collapsed="false">
      <c r="B827" s="90" t="s">
        <v>288</v>
      </c>
    </row>
    <row r="828" customFormat="false" ht="15" hidden="false" customHeight="false" outlineLevel="0" collapsed="false">
      <c r="B828" s="1" t="s">
        <v>289</v>
      </c>
      <c r="F828" s="57" t="s">
        <v>290</v>
      </c>
      <c r="G828" s="58" t="n">
        <v>1</v>
      </c>
      <c r="H828" s="59" t="n">
        <f aca="false">G828*8/$D$825</f>
        <v>1.33333333333333</v>
      </c>
      <c r="I828" s="30" t="n">
        <v>28.94</v>
      </c>
      <c r="J828" s="30" t="n">
        <f aca="false">H828*I828</f>
        <v>38.5866666666667</v>
      </c>
      <c r="K828" s="1" t="n">
        <v>47</v>
      </c>
    </row>
    <row r="829" customFormat="false" ht="15" hidden="false" customHeight="false" outlineLevel="0" collapsed="false">
      <c r="B829" s="1" t="s">
        <v>291</v>
      </c>
      <c r="F829" s="57" t="s">
        <v>290</v>
      </c>
      <c r="G829" s="58" t="n">
        <v>1</v>
      </c>
      <c r="H829" s="59" t="n">
        <f aca="false">G829*8/$D$825</f>
        <v>1.33333333333333</v>
      </c>
      <c r="I829" s="30" t="n">
        <v>22.66</v>
      </c>
      <c r="J829" s="30" t="n">
        <f aca="false">H829*I829</f>
        <v>30.2133333333333</v>
      </c>
      <c r="K829" s="1" t="n">
        <v>47</v>
      </c>
    </row>
    <row r="830" customFormat="false" ht="15" hidden="false" customHeight="false" outlineLevel="0" collapsed="false">
      <c r="B830" s="1" t="s">
        <v>292</v>
      </c>
      <c r="F830" s="57" t="s">
        <v>290</v>
      </c>
      <c r="G830" s="58" t="n">
        <v>5</v>
      </c>
      <c r="H830" s="59" t="n">
        <f aca="false">G830*8/$D$825</f>
        <v>6.66666666666667</v>
      </c>
      <c r="I830" s="30" t="n">
        <v>20.51</v>
      </c>
      <c r="J830" s="30" t="n">
        <f aca="false">H830*I830</f>
        <v>136.733333333333</v>
      </c>
      <c r="K830" s="1" t="n">
        <v>47</v>
      </c>
    </row>
    <row r="831" customFormat="false" ht="15" hidden="false" customHeight="false" outlineLevel="0" collapsed="false">
      <c r="F831" s="57"/>
      <c r="G831" s="58"/>
      <c r="H831" s="59"/>
      <c r="J831" s="89" t="n">
        <f aca="false">ROUND(SUM(J828:J830),2)</f>
        <v>205.53</v>
      </c>
    </row>
    <row r="832" customFormat="false" ht="15" hidden="false" customHeight="false" outlineLevel="0" collapsed="false">
      <c r="B832" s="90" t="s">
        <v>652</v>
      </c>
      <c r="F832" s="57"/>
      <c r="G832" s="58"/>
      <c r="H832" s="59"/>
      <c r="J832" s="30"/>
    </row>
    <row r="833" customFormat="false" ht="15" hidden="false" customHeight="false" outlineLevel="0" collapsed="false">
      <c r="B833" s="1" t="s">
        <v>670</v>
      </c>
      <c r="F833" s="57" t="s">
        <v>202</v>
      </c>
      <c r="H833" s="59" t="n">
        <v>0.8</v>
      </c>
      <c r="I833" s="30" t="n">
        <v>55.08</v>
      </c>
      <c r="J833" s="30" t="n">
        <f aca="false">H833*I833</f>
        <v>44.064</v>
      </c>
      <c r="K833" s="1" t="n">
        <v>5</v>
      </c>
    </row>
    <row r="834" customFormat="false" ht="15" hidden="false" customHeight="false" outlineLevel="0" collapsed="false">
      <c r="B834" s="1" t="s">
        <v>671</v>
      </c>
      <c r="F834" s="57" t="s">
        <v>202</v>
      </c>
      <c r="H834" s="59" t="n">
        <v>0.5</v>
      </c>
      <c r="I834" s="30" t="n">
        <v>47</v>
      </c>
      <c r="J834" s="30" t="n">
        <f aca="false">H834*I834</f>
        <v>23.5</v>
      </c>
      <c r="K834" s="1" t="n">
        <v>4</v>
      </c>
    </row>
    <row r="835" customFormat="false" ht="15" hidden="false" customHeight="false" outlineLevel="0" collapsed="false">
      <c r="B835" s="1" t="s">
        <v>305</v>
      </c>
      <c r="F835" s="57" t="s">
        <v>306</v>
      </c>
      <c r="H835" s="59" t="n">
        <v>9.74</v>
      </c>
      <c r="I835" s="30" t="n">
        <v>24.52</v>
      </c>
      <c r="J835" s="30" t="n">
        <f aca="false">H835*I835</f>
        <v>238.8248</v>
      </c>
      <c r="K835" s="1" t="n">
        <v>21</v>
      </c>
    </row>
    <row r="836" customFormat="false" ht="15" hidden="false" customHeight="false" outlineLevel="0" collapsed="false">
      <c r="B836" s="1" t="s">
        <v>654</v>
      </c>
      <c r="F836" s="57" t="s">
        <v>202</v>
      </c>
      <c r="H836" s="59" t="n">
        <v>0.184</v>
      </c>
      <c r="I836" s="1" t="n">
        <v>6.14</v>
      </c>
      <c r="J836" s="30" t="n">
        <f aca="false">H836*I836</f>
        <v>1.12976</v>
      </c>
      <c r="K836" s="1" t="n">
        <v>30</v>
      </c>
    </row>
    <row r="837" customFormat="false" ht="15" hidden="false" customHeight="false" outlineLevel="0" collapsed="false">
      <c r="B837" s="1" t="s">
        <v>663</v>
      </c>
      <c r="F837" s="57" t="s">
        <v>437</v>
      </c>
      <c r="H837" s="59" t="n">
        <v>0.12</v>
      </c>
      <c r="I837" s="1" t="n">
        <v>13.93</v>
      </c>
      <c r="J837" s="30" t="n">
        <f aca="false">H837*I837</f>
        <v>1.6716</v>
      </c>
      <c r="K837" s="1" t="n">
        <v>34</v>
      </c>
    </row>
    <row r="838" customFormat="false" ht="15" hidden="false" customHeight="false" outlineLevel="0" collapsed="false">
      <c r="B838" s="1" t="s">
        <v>709</v>
      </c>
      <c r="F838" s="57" t="s">
        <v>437</v>
      </c>
      <c r="H838" s="59" t="n">
        <v>0.01</v>
      </c>
      <c r="J838" s="30" t="n">
        <f aca="false">H838*I838</f>
        <v>0</v>
      </c>
      <c r="K838" s="1" t="n">
        <v>34</v>
      </c>
    </row>
    <row r="839" customFormat="false" ht="15" hidden="false" customHeight="false" outlineLevel="0" collapsed="false">
      <c r="B839" s="1" t="s">
        <v>710</v>
      </c>
      <c r="F839" s="57" t="s">
        <v>711</v>
      </c>
      <c r="H839" s="1" t="n">
        <v>0.008</v>
      </c>
      <c r="J839" s="30" t="n">
        <f aca="false">H839*I839</f>
        <v>0</v>
      </c>
      <c r="K839" s="1" t="n">
        <v>53</v>
      </c>
    </row>
    <row r="840" customFormat="false" ht="15" hidden="false" customHeight="false" outlineLevel="0" collapsed="false">
      <c r="F840" s="57"/>
      <c r="H840" s="59"/>
      <c r="I840" s="30"/>
      <c r="J840" s="89" t="n">
        <f aca="false">ROUND(SUM(J833:J839),2)</f>
        <v>309.19</v>
      </c>
    </row>
    <row r="841" customFormat="false" ht="15" hidden="false" customHeight="false" outlineLevel="0" collapsed="false">
      <c r="B841" s="90" t="s">
        <v>308</v>
      </c>
    </row>
    <row r="842" customFormat="false" ht="15" hidden="false" customHeight="false" outlineLevel="0" collapsed="false">
      <c r="B842" s="1" t="s">
        <v>309</v>
      </c>
      <c r="F842" s="57" t="s">
        <v>310</v>
      </c>
      <c r="H842" s="59" t="n">
        <v>3</v>
      </c>
      <c r="I842" s="30" t="n">
        <f aca="false">J831</f>
        <v>205.53</v>
      </c>
      <c r="J842" s="30" t="n">
        <f aca="false">H842%*I842</f>
        <v>6.1659</v>
      </c>
      <c r="K842" s="1" t="n">
        <v>37</v>
      </c>
    </row>
    <row r="843" customFormat="false" ht="15" hidden="false" customHeight="false" outlineLevel="0" collapsed="false">
      <c r="B843" s="1" t="s">
        <v>665</v>
      </c>
      <c r="F843" s="57" t="s">
        <v>337</v>
      </c>
      <c r="G843" s="58" t="n">
        <v>0.5</v>
      </c>
      <c r="H843" s="59" t="n">
        <f aca="false">G843*8/$D$825</f>
        <v>0.666666666666667</v>
      </c>
      <c r="I843" s="30" t="n">
        <v>25.63</v>
      </c>
      <c r="J843" s="30" t="n">
        <f aca="false">H843*I843</f>
        <v>17.0866666666667</v>
      </c>
      <c r="K843" s="1" t="n">
        <v>48</v>
      </c>
    </row>
    <row r="844" customFormat="false" ht="15" hidden="false" customHeight="false" outlineLevel="0" collapsed="false">
      <c r="B844" s="1" t="s">
        <v>673</v>
      </c>
      <c r="F844" s="57" t="s">
        <v>337</v>
      </c>
      <c r="G844" s="58" t="n">
        <v>0.5</v>
      </c>
      <c r="H844" s="59" t="n">
        <f aca="false">G844*8/$D$825</f>
        <v>0.666666666666667</v>
      </c>
      <c r="I844" s="30" t="n">
        <v>7.07</v>
      </c>
      <c r="J844" s="30" t="n">
        <f aca="false">H844*I844</f>
        <v>4.71333333333333</v>
      </c>
      <c r="K844" s="1" t="n">
        <v>49</v>
      </c>
    </row>
    <row r="845" customFormat="false" ht="15" hidden="false" customHeight="false" outlineLevel="0" collapsed="false">
      <c r="B845" s="1" t="s">
        <v>712</v>
      </c>
      <c r="F845" s="57" t="s">
        <v>337</v>
      </c>
      <c r="G845" s="58" t="n">
        <v>0.5</v>
      </c>
      <c r="H845" s="59" t="n">
        <f aca="false">G845*8/$D$825</f>
        <v>0.666666666666667</v>
      </c>
      <c r="I845" s="65" t="n">
        <v>7.23</v>
      </c>
      <c r="J845" s="30" t="n">
        <f aca="false">H845*I845</f>
        <v>4.82</v>
      </c>
      <c r="K845" s="1" t="n">
        <v>49</v>
      </c>
    </row>
    <row r="846" customFormat="false" ht="15" hidden="false" customHeight="false" outlineLevel="0" collapsed="false">
      <c r="A846" s="62"/>
      <c r="B846" s="62"/>
      <c r="C846" s="62"/>
      <c r="D846" s="62"/>
      <c r="E846" s="62"/>
      <c r="F846" s="62"/>
      <c r="G846" s="62"/>
      <c r="H846" s="62"/>
      <c r="I846" s="62"/>
      <c r="J846" s="91" t="n">
        <f aca="false">ROUND(SUM(J842:J845),2)</f>
        <v>32.79</v>
      </c>
    </row>
    <row r="848" customFormat="false" ht="15" hidden="false" customHeight="false" outlineLevel="0" collapsed="false">
      <c r="A848" s="85" t="s">
        <v>276</v>
      </c>
      <c r="B848" s="85" t="str">
        <f aca="false">ESTRUCTURA!A70</f>
        <v>02.03.12.02</v>
      </c>
      <c r="C848" s="85" t="s">
        <v>713</v>
      </c>
      <c r="D848" s="85"/>
    </row>
    <row r="849" customFormat="false" ht="15" hidden="false" customHeight="false" outlineLevel="0" collapsed="false">
      <c r="A849" s="85" t="s">
        <v>277</v>
      </c>
      <c r="B849" s="85" t="s">
        <v>278</v>
      </c>
      <c r="C849" s="87" t="s">
        <v>279</v>
      </c>
      <c r="D849" s="88" t="n">
        <v>6.7</v>
      </c>
      <c r="E849" s="87" t="s">
        <v>280</v>
      </c>
      <c r="F849" s="88" t="n">
        <f aca="false">D849</f>
        <v>6.7</v>
      </c>
      <c r="G849" s="85" t="s">
        <v>281</v>
      </c>
      <c r="I849" s="87" t="s">
        <v>132</v>
      </c>
      <c r="J849" s="89" t="n">
        <f aca="false">J855+J860+J863</f>
        <v>110.13</v>
      </c>
    </row>
    <row r="850" customFormat="false" ht="15" hidden="false" customHeight="false" outlineLevel="0" collapsed="false">
      <c r="A850" s="85" t="s">
        <v>282</v>
      </c>
      <c r="B850" s="85" t="s">
        <v>283</v>
      </c>
      <c r="F850" s="87" t="s">
        <v>121</v>
      </c>
      <c r="G850" s="87" t="s">
        <v>284</v>
      </c>
      <c r="H850" s="87" t="s">
        <v>285</v>
      </c>
      <c r="I850" s="87" t="s">
        <v>286</v>
      </c>
      <c r="J850" s="87" t="s">
        <v>287</v>
      </c>
    </row>
    <row r="851" customFormat="false" ht="15" hidden="false" customHeight="false" outlineLevel="0" collapsed="false">
      <c r="B851" s="90" t="s">
        <v>288</v>
      </c>
    </row>
    <row r="852" customFormat="false" ht="15" hidden="false" customHeight="false" outlineLevel="0" collapsed="false">
      <c r="B852" s="1" t="s">
        <v>289</v>
      </c>
      <c r="F852" s="57" t="s">
        <v>290</v>
      </c>
      <c r="G852" s="58" t="n">
        <v>1</v>
      </c>
      <c r="H852" s="59" t="n">
        <f aca="false">G852*8/$D$849</f>
        <v>1.19402985074627</v>
      </c>
      <c r="I852" s="30" t="n">
        <v>28.94</v>
      </c>
      <c r="J852" s="30" t="n">
        <f aca="false">H852*I852</f>
        <v>34.555223880597</v>
      </c>
      <c r="K852" s="1" t="n">
        <v>47</v>
      </c>
    </row>
    <row r="853" customFormat="false" ht="15" hidden="false" customHeight="false" outlineLevel="0" collapsed="false">
      <c r="B853" s="1" t="s">
        <v>291</v>
      </c>
      <c r="F853" s="57" t="s">
        <v>290</v>
      </c>
      <c r="G853" s="58" t="n">
        <v>1</v>
      </c>
      <c r="H853" s="59" t="n">
        <f aca="false">G853*8/$D$849</f>
        <v>1.19402985074627</v>
      </c>
      <c r="I853" s="30" t="n">
        <v>22.66</v>
      </c>
      <c r="J853" s="30" t="n">
        <f aca="false">H853*I853</f>
        <v>27.0567164179104</v>
      </c>
      <c r="K853" s="1" t="n">
        <v>47</v>
      </c>
    </row>
    <row r="854" customFormat="false" ht="15" hidden="false" customHeight="false" outlineLevel="0" collapsed="false">
      <c r="B854" s="1" t="s">
        <v>292</v>
      </c>
      <c r="F854" s="57" t="s">
        <v>290</v>
      </c>
      <c r="G854" s="58" t="n">
        <v>0.5</v>
      </c>
      <c r="H854" s="59" t="n">
        <f aca="false">G854*8/$D$849</f>
        <v>0.597014925373134</v>
      </c>
      <c r="I854" s="30" t="n">
        <v>20.51</v>
      </c>
      <c r="J854" s="30" t="n">
        <f aca="false">H854*I854</f>
        <v>12.244776119403</v>
      </c>
      <c r="K854" s="1" t="n">
        <v>47</v>
      </c>
    </row>
    <row r="855" customFormat="false" ht="15" hidden="false" customHeight="false" outlineLevel="0" collapsed="false">
      <c r="F855" s="57"/>
      <c r="G855" s="58"/>
      <c r="H855" s="59"/>
      <c r="J855" s="89" t="n">
        <f aca="false">ROUND(SUM(J852:J854),2)</f>
        <v>73.86</v>
      </c>
    </row>
    <row r="856" customFormat="false" ht="15" hidden="false" customHeight="false" outlineLevel="0" collapsed="false">
      <c r="B856" s="90" t="s">
        <v>652</v>
      </c>
      <c r="F856" s="57"/>
      <c r="G856" s="58"/>
      <c r="H856" s="59"/>
      <c r="J856" s="30"/>
    </row>
    <row r="857" customFormat="false" ht="15" hidden="false" customHeight="false" outlineLevel="0" collapsed="false">
      <c r="B857" s="1" t="s">
        <v>685</v>
      </c>
      <c r="F857" s="57" t="s">
        <v>295</v>
      </c>
      <c r="H857" s="59" t="n">
        <v>0.08</v>
      </c>
      <c r="I857" s="30" t="n">
        <v>2.64</v>
      </c>
      <c r="J857" s="30" t="n">
        <f aca="false">H857*I857</f>
        <v>0.2112</v>
      </c>
      <c r="K857" s="1" t="n">
        <v>2</v>
      </c>
    </row>
    <row r="858" customFormat="false" ht="15" hidden="false" customHeight="false" outlineLevel="0" collapsed="false">
      <c r="B858" s="1" t="s">
        <v>300</v>
      </c>
      <c r="F858" s="57" t="s">
        <v>295</v>
      </c>
      <c r="H858" s="59" t="n">
        <v>0.1</v>
      </c>
      <c r="I858" s="30" t="n">
        <v>5.51</v>
      </c>
      <c r="J858" s="30" t="n">
        <f aca="false">H858*I858</f>
        <v>0.551</v>
      </c>
      <c r="K858" s="1" t="n">
        <v>2</v>
      </c>
    </row>
    <row r="859" customFormat="false" ht="15" hidden="false" customHeight="false" outlineLevel="0" collapsed="false">
      <c r="B859" s="1" t="s">
        <v>667</v>
      </c>
      <c r="F859" s="57" t="s">
        <v>304</v>
      </c>
      <c r="H859" s="59" t="n">
        <v>5.74</v>
      </c>
      <c r="I859" s="30" t="n">
        <v>5.8</v>
      </c>
      <c r="J859" s="30" t="n">
        <f aca="false">H859*I859</f>
        <v>33.292</v>
      </c>
      <c r="K859" s="1" t="n">
        <v>43</v>
      </c>
    </row>
    <row r="860" customFormat="false" ht="15" hidden="false" customHeight="false" outlineLevel="0" collapsed="false">
      <c r="F860" s="57"/>
      <c r="H860" s="59"/>
      <c r="I860" s="30"/>
      <c r="J860" s="89" t="n">
        <f aca="false">ROUND(SUM(J857:J859),2)</f>
        <v>34.05</v>
      </c>
    </row>
    <row r="861" customFormat="false" ht="15" hidden="false" customHeight="false" outlineLevel="0" collapsed="false">
      <c r="B861" s="90" t="s">
        <v>308</v>
      </c>
    </row>
    <row r="862" customFormat="false" ht="15" hidden="false" customHeight="false" outlineLevel="0" collapsed="false">
      <c r="B862" s="1" t="s">
        <v>309</v>
      </c>
      <c r="F862" s="57" t="s">
        <v>310</v>
      </c>
      <c r="H862" s="59" t="n">
        <v>3</v>
      </c>
      <c r="I862" s="30" t="n">
        <f aca="false">J855</f>
        <v>73.86</v>
      </c>
      <c r="J862" s="30" t="n">
        <f aca="false">H862%*I862</f>
        <v>2.2158</v>
      </c>
      <c r="K862" s="1" t="n">
        <v>37</v>
      </c>
    </row>
    <row r="863" customFormat="false" ht="15" hidden="false" customHeight="false" outlineLevel="0" collapsed="false">
      <c r="A863" s="62"/>
      <c r="B863" s="62"/>
      <c r="C863" s="62"/>
      <c r="D863" s="62"/>
      <c r="E863" s="62"/>
      <c r="F863" s="62"/>
      <c r="G863" s="62"/>
      <c r="H863" s="62"/>
      <c r="I863" s="62"/>
      <c r="J863" s="91" t="n">
        <f aca="false">ROUND(SUM(J862),2)</f>
        <v>2.22</v>
      </c>
    </row>
    <row r="865" customFormat="false" ht="15" hidden="false" customHeight="false" outlineLevel="0" collapsed="false">
      <c r="A865" s="85" t="s">
        <v>276</v>
      </c>
      <c r="B865" s="85" t="str">
        <f aca="false">ESTRUCTURA!A71</f>
        <v>02.03.12.03</v>
      </c>
      <c r="C865" s="85" t="s">
        <v>714</v>
      </c>
      <c r="D865" s="85"/>
    </row>
    <row r="866" customFormat="false" ht="15" hidden="false" customHeight="false" outlineLevel="0" collapsed="false">
      <c r="A866" s="85" t="s">
        <v>277</v>
      </c>
      <c r="B866" s="85" t="s">
        <v>278</v>
      </c>
      <c r="C866" s="87" t="s">
        <v>279</v>
      </c>
      <c r="D866" s="88" t="n">
        <v>250</v>
      </c>
      <c r="E866" s="87" t="s">
        <v>280</v>
      </c>
      <c r="F866" s="88" t="n">
        <f aca="false">D866</f>
        <v>250</v>
      </c>
      <c r="G866" s="85" t="s">
        <v>281</v>
      </c>
      <c r="I866" s="87" t="s">
        <v>132</v>
      </c>
      <c r="J866" s="89" t="n">
        <f aca="false">J871+J876+J880</f>
        <v>5.47</v>
      </c>
    </row>
    <row r="867" customFormat="false" ht="15" hidden="false" customHeight="false" outlineLevel="0" collapsed="false">
      <c r="A867" s="85" t="s">
        <v>282</v>
      </c>
      <c r="B867" s="85" t="s">
        <v>283</v>
      </c>
      <c r="F867" s="87" t="s">
        <v>121</v>
      </c>
      <c r="G867" s="87" t="s">
        <v>284</v>
      </c>
      <c r="H867" s="87" t="s">
        <v>285</v>
      </c>
      <c r="I867" s="87" t="s">
        <v>286</v>
      </c>
      <c r="J867" s="87" t="s">
        <v>287</v>
      </c>
    </row>
    <row r="868" customFormat="false" ht="15" hidden="false" customHeight="false" outlineLevel="0" collapsed="false">
      <c r="B868" s="90" t="s">
        <v>288</v>
      </c>
    </row>
    <row r="869" customFormat="false" ht="15" hidden="false" customHeight="false" outlineLevel="0" collapsed="false">
      <c r="B869" s="1" t="s">
        <v>289</v>
      </c>
      <c r="F869" s="57" t="s">
        <v>290</v>
      </c>
      <c r="G869" s="58" t="n">
        <v>1</v>
      </c>
      <c r="H869" s="101" t="n">
        <f aca="false">G869*8/$D$866</f>
        <v>0.032</v>
      </c>
      <c r="I869" s="30" t="n">
        <v>28.94</v>
      </c>
      <c r="J869" s="30" t="n">
        <f aca="false">H869*I869</f>
        <v>0.92608</v>
      </c>
      <c r="K869" s="1" t="n">
        <v>47</v>
      </c>
    </row>
    <row r="870" customFormat="false" ht="15" hidden="false" customHeight="false" outlineLevel="0" collapsed="false">
      <c r="B870" s="1" t="s">
        <v>675</v>
      </c>
      <c r="F870" s="57" t="s">
        <v>290</v>
      </c>
      <c r="G870" s="58" t="n">
        <v>1</v>
      </c>
      <c r="H870" s="101" t="n">
        <f aca="false">G870*8/$D$866</f>
        <v>0.032</v>
      </c>
      <c r="I870" s="30" t="n">
        <v>22.66</v>
      </c>
      <c r="J870" s="30" t="n">
        <f aca="false">H870*I870</f>
        <v>0.72512</v>
      </c>
      <c r="K870" s="1" t="n">
        <v>47</v>
      </c>
    </row>
    <row r="871" customFormat="false" ht="15" hidden="false" customHeight="false" outlineLevel="0" collapsed="false">
      <c r="F871" s="57"/>
      <c r="G871" s="58"/>
      <c r="J871" s="89" t="n">
        <f aca="false">ROUND(SUM(J869:J870),2)</f>
        <v>1.65</v>
      </c>
    </row>
    <row r="872" customFormat="false" ht="15" hidden="false" customHeight="false" outlineLevel="0" collapsed="false">
      <c r="B872" s="90" t="s">
        <v>293</v>
      </c>
      <c r="F872" s="57"/>
      <c r="G872" s="58"/>
      <c r="H872" s="101"/>
    </row>
    <row r="873" customFormat="false" ht="15" hidden="false" customHeight="false" outlineLevel="0" collapsed="false">
      <c r="B873" s="1" t="s">
        <v>294</v>
      </c>
      <c r="F873" s="57" t="s">
        <v>295</v>
      </c>
      <c r="G873" s="58"/>
      <c r="H873" s="101" t="n">
        <v>0.05</v>
      </c>
      <c r="I873" s="30" t="n">
        <v>2.64</v>
      </c>
      <c r="J873" s="30" t="n">
        <f aca="false">H873*I873</f>
        <v>0.132</v>
      </c>
      <c r="K873" s="1" t="n">
        <v>2</v>
      </c>
    </row>
    <row r="874" customFormat="false" ht="15" hidden="false" customHeight="false" outlineLevel="0" collapsed="false">
      <c r="B874" s="1" t="s">
        <v>676</v>
      </c>
      <c r="F874" s="57" t="s">
        <v>295</v>
      </c>
      <c r="G874" s="58"/>
      <c r="H874" s="101" t="n">
        <v>1.05</v>
      </c>
      <c r="I874" s="30" t="n">
        <f aca="false">1012.71*3.379/1000</f>
        <v>3.42194709</v>
      </c>
      <c r="J874" s="30" t="n">
        <f aca="false">H874*I874</f>
        <v>3.5930444445</v>
      </c>
      <c r="K874" s="1" t="n">
        <v>3</v>
      </c>
    </row>
    <row r="875" customFormat="false" ht="15" hidden="false" customHeight="false" outlineLevel="0" collapsed="false">
      <c r="B875" s="1" t="s">
        <v>715</v>
      </c>
      <c r="F875" s="57" t="s">
        <v>295</v>
      </c>
      <c r="G875" s="58"/>
      <c r="H875" s="101" t="n">
        <v>0.001</v>
      </c>
      <c r="I875" s="65" t="n">
        <v>13.81</v>
      </c>
      <c r="J875" s="30" t="n">
        <f aca="false">H875*I875</f>
        <v>0.01381</v>
      </c>
      <c r="K875" s="1" t="n">
        <v>39</v>
      </c>
    </row>
    <row r="876" customFormat="false" ht="15" hidden="false" customHeight="false" outlineLevel="0" collapsed="false">
      <c r="F876" s="57"/>
      <c r="G876" s="58"/>
      <c r="J876" s="89" t="n">
        <f aca="false">ROUND(SUM(J873:J875),2)</f>
        <v>3.74</v>
      </c>
    </row>
    <row r="877" customFormat="false" ht="15" hidden="false" customHeight="false" outlineLevel="0" collapsed="false">
      <c r="B877" s="90" t="s">
        <v>317</v>
      </c>
      <c r="F877" s="57"/>
      <c r="G877" s="58"/>
    </row>
    <row r="878" customFormat="false" ht="15" hidden="false" customHeight="false" outlineLevel="0" collapsed="false">
      <c r="B878" s="1" t="s">
        <v>309</v>
      </c>
      <c r="F878" s="57" t="s">
        <v>310</v>
      </c>
      <c r="H878" s="59" t="n">
        <v>3</v>
      </c>
      <c r="I878" s="30" t="n">
        <f aca="false">J871</f>
        <v>1.65</v>
      </c>
      <c r="J878" s="30" t="n">
        <f aca="false">H878%*I878</f>
        <v>0.0495</v>
      </c>
      <c r="K878" s="1" t="n">
        <v>37</v>
      </c>
    </row>
    <row r="879" customFormat="false" ht="15" hidden="false" customHeight="false" outlineLevel="0" collapsed="false">
      <c r="B879" s="1" t="s">
        <v>716</v>
      </c>
      <c r="C879" s="1" t="s">
        <v>717</v>
      </c>
      <c r="F879" s="57" t="s">
        <v>290</v>
      </c>
      <c r="G879" s="58" t="n">
        <v>0.5</v>
      </c>
      <c r="H879" s="101" t="n">
        <f aca="false">G879*8/$D$866</f>
        <v>0.016</v>
      </c>
      <c r="I879" s="65" t="n">
        <v>1.81</v>
      </c>
      <c r="J879" s="30" t="n">
        <f aca="false">H879*I879</f>
        <v>0.02896</v>
      </c>
      <c r="K879" s="1" t="n">
        <v>37</v>
      </c>
    </row>
    <row r="880" customFormat="false" ht="15" hidden="false" customHeight="false" outlineLevel="0" collapsed="false">
      <c r="A880" s="62"/>
      <c r="B880" s="62"/>
      <c r="C880" s="62"/>
      <c r="D880" s="62"/>
      <c r="E880" s="62"/>
      <c r="F880" s="62"/>
      <c r="G880" s="62"/>
      <c r="H880" s="62"/>
      <c r="I880" s="62"/>
      <c r="J880" s="91" t="n">
        <f aca="false">ROUND(SUM(J878:J879),2)</f>
        <v>0.08</v>
      </c>
    </row>
    <row r="882" customFormat="false" ht="15" hidden="false" customHeight="false" outlineLevel="0" collapsed="false">
      <c r="A882" s="14" t="s">
        <v>276</v>
      </c>
      <c r="B882" s="14" t="str">
        <f aca="false">ESTRUCTURA!A74</f>
        <v>02.04.01.01</v>
      </c>
      <c r="C882" s="14" t="s">
        <v>592</v>
      </c>
      <c r="D882" s="14"/>
      <c r="E882" s="14"/>
      <c r="F882" s="14"/>
      <c r="G882" s="14"/>
      <c r="H882" s="14"/>
      <c r="I882" s="14"/>
    </row>
    <row r="883" customFormat="false" ht="15" hidden="false" customHeight="false" outlineLevel="0" collapsed="false">
      <c r="A883" s="14" t="s">
        <v>277</v>
      </c>
      <c r="B883" s="14" t="s">
        <v>415</v>
      </c>
      <c r="C883" s="38" t="s">
        <v>279</v>
      </c>
      <c r="D883" s="54" t="n">
        <v>30</v>
      </c>
      <c r="E883" s="38" t="s">
        <v>280</v>
      </c>
      <c r="F883" s="54" t="n">
        <f aca="false">D883</f>
        <v>30</v>
      </c>
      <c r="G883" s="14" t="s">
        <v>281</v>
      </c>
      <c r="I883" s="38" t="s">
        <v>202</v>
      </c>
      <c r="J883" s="55" t="n">
        <f aca="false">J890+J895+J899</f>
        <v>445.67</v>
      </c>
    </row>
    <row r="884" customFormat="false" ht="15" hidden="false" customHeight="false" outlineLevel="0" collapsed="false">
      <c r="A884" s="14" t="s">
        <v>282</v>
      </c>
      <c r="B884" s="14" t="s">
        <v>283</v>
      </c>
      <c r="F884" s="38" t="s">
        <v>121</v>
      </c>
      <c r="G884" s="38" t="s">
        <v>284</v>
      </c>
      <c r="H884" s="38" t="s">
        <v>285</v>
      </c>
      <c r="I884" s="38" t="s">
        <v>286</v>
      </c>
      <c r="J884" s="38" t="s">
        <v>287</v>
      </c>
    </row>
    <row r="885" customFormat="false" ht="15" hidden="false" customHeight="false" outlineLevel="0" collapsed="false">
      <c r="B885" s="56" t="s">
        <v>288</v>
      </c>
    </row>
    <row r="886" customFormat="false" ht="15" hidden="false" customHeight="false" outlineLevel="0" collapsed="false">
      <c r="B886" s="1" t="s">
        <v>649</v>
      </c>
      <c r="F886" s="57" t="s">
        <v>290</v>
      </c>
      <c r="G886" s="58" t="n">
        <v>0.1</v>
      </c>
      <c r="H886" s="59" t="n">
        <f aca="false">G886*8/$D$883</f>
        <v>0.0266666666666667</v>
      </c>
      <c r="I886" s="30" t="n">
        <v>34.73</v>
      </c>
      <c r="J886" s="30" t="n">
        <f aca="false">H886*I886</f>
        <v>0.926133333333333</v>
      </c>
      <c r="K886" s="1" t="n">
        <v>47</v>
      </c>
    </row>
    <row r="887" customFormat="false" ht="15" hidden="false" customHeight="false" outlineLevel="0" collapsed="false">
      <c r="B887" s="1" t="s">
        <v>289</v>
      </c>
      <c r="F887" s="57" t="s">
        <v>290</v>
      </c>
      <c r="G887" s="58" t="n">
        <v>2</v>
      </c>
      <c r="H887" s="59" t="n">
        <f aca="false">G887*8/$D$883</f>
        <v>0.533333333333333</v>
      </c>
      <c r="I887" s="30" t="n">
        <v>28.94</v>
      </c>
      <c r="J887" s="30" t="n">
        <f aca="false">H887*I887</f>
        <v>15.4346666666667</v>
      </c>
      <c r="K887" s="1" t="n">
        <v>47</v>
      </c>
    </row>
    <row r="888" customFormat="false" ht="15" hidden="false" customHeight="false" outlineLevel="0" collapsed="false">
      <c r="B888" s="1" t="s">
        <v>291</v>
      </c>
      <c r="F888" s="57" t="s">
        <v>290</v>
      </c>
      <c r="G888" s="58" t="n">
        <v>1</v>
      </c>
      <c r="H888" s="59" t="n">
        <f aca="false">G888*8/$D$883</f>
        <v>0.266666666666667</v>
      </c>
      <c r="I888" s="30" t="n">
        <v>22.66</v>
      </c>
      <c r="J888" s="30" t="n">
        <f aca="false">H888*I888</f>
        <v>6.04266666666667</v>
      </c>
      <c r="K888" s="1" t="n">
        <v>47</v>
      </c>
    </row>
    <row r="889" customFormat="false" ht="15" hidden="false" customHeight="false" outlineLevel="0" collapsed="false">
      <c r="B889" s="1" t="s">
        <v>292</v>
      </c>
      <c r="F889" s="57" t="s">
        <v>290</v>
      </c>
      <c r="G889" s="58" t="n">
        <v>4</v>
      </c>
      <c r="H889" s="59" t="n">
        <f aca="false">G889*8/$D$883</f>
        <v>1.06666666666667</v>
      </c>
      <c r="I889" s="30" t="n">
        <v>20.51</v>
      </c>
      <c r="J889" s="30" t="n">
        <f aca="false">H889*I889</f>
        <v>21.8773333333333</v>
      </c>
      <c r="K889" s="1" t="n">
        <v>47</v>
      </c>
    </row>
    <row r="890" customFormat="false" ht="15" hidden="false" customHeight="false" outlineLevel="0" collapsed="false">
      <c r="J890" s="55" t="n">
        <f aca="false">ROUND(SUM(J886:J889),2)</f>
        <v>44.28</v>
      </c>
    </row>
    <row r="891" customFormat="false" ht="15" hidden="false" customHeight="false" outlineLevel="0" collapsed="false">
      <c r="B891" s="56" t="s">
        <v>293</v>
      </c>
    </row>
    <row r="892" customFormat="false" ht="15" hidden="false" customHeight="false" outlineLevel="0" collapsed="false">
      <c r="B892" s="1" t="s">
        <v>718</v>
      </c>
      <c r="E892" s="1" t="s">
        <v>295</v>
      </c>
      <c r="H892" s="59" t="n">
        <v>0.1</v>
      </c>
      <c r="I892" s="30" t="n">
        <v>24.52</v>
      </c>
      <c r="J892" s="30" t="n">
        <f aca="false">H892*I892</f>
        <v>2.452</v>
      </c>
      <c r="K892" s="1" t="n">
        <v>21</v>
      </c>
    </row>
    <row r="893" customFormat="false" ht="15" hidden="false" customHeight="false" outlineLevel="0" collapsed="false">
      <c r="B893" s="1" t="s">
        <v>719</v>
      </c>
      <c r="E893" s="1" t="s">
        <v>295</v>
      </c>
      <c r="H893" s="59" t="n">
        <v>1.02</v>
      </c>
      <c r="I893" s="30" t="n">
        <v>358</v>
      </c>
      <c r="J893" s="30" t="n">
        <f aca="false">H893*I893</f>
        <v>365.16</v>
      </c>
      <c r="K893" s="1" t="n">
        <v>80</v>
      </c>
    </row>
    <row r="894" customFormat="false" ht="15" hidden="false" customHeight="false" outlineLevel="0" collapsed="false">
      <c r="B894" s="1" t="s">
        <v>720</v>
      </c>
      <c r="E894" s="1" t="s">
        <v>304</v>
      </c>
      <c r="H894" s="59" t="n">
        <v>1.02</v>
      </c>
      <c r="I894" s="30" t="n">
        <v>30</v>
      </c>
      <c r="J894" s="30" t="n">
        <f aca="false">H894*I894</f>
        <v>30.6</v>
      </c>
      <c r="K894" s="1" t="n">
        <v>39</v>
      </c>
    </row>
    <row r="895" customFormat="false" ht="15" hidden="false" customHeight="false" outlineLevel="0" collapsed="false">
      <c r="J895" s="55" t="n">
        <f aca="false">ROUND(SUM(J892:J894),2)</f>
        <v>398.21</v>
      </c>
    </row>
    <row r="896" customFormat="false" ht="15" hidden="false" customHeight="false" outlineLevel="0" collapsed="false">
      <c r="B896" s="56" t="s">
        <v>317</v>
      </c>
    </row>
    <row r="897" customFormat="false" ht="15" hidden="false" customHeight="false" outlineLevel="0" collapsed="false">
      <c r="B897" s="1" t="s">
        <v>309</v>
      </c>
      <c r="F897" s="57" t="s">
        <v>310</v>
      </c>
      <c r="H897" s="59" t="n">
        <v>3</v>
      </c>
      <c r="I897" s="30" t="n">
        <f aca="false">J890</f>
        <v>44.28</v>
      </c>
      <c r="J897" s="30" t="n">
        <f aca="false">H897%*I897</f>
        <v>1.3284</v>
      </c>
      <c r="K897" s="1" t="n">
        <v>37</v>
      </c>
    </row>
    <row r="898" customFormat="false" ht="15" hidden="false" customHeight="false" outlineLevel="0" collapsed="false">
      <c r="B898" s="1" t="s">
        <v>721</v>
      </c>
      <c r="F898" s="57" t="s">
        <v>337</v>
      </c>
      <c r="G898" s="58" t="n">
        <v>1</v>
      </c>
      <c r="H898" s="59" t="n">
        <f aca="false">G898*8/$D$883</f>
        <v>0.266666666666667</v>
      </c>
      <c r="I898" s="30" t="n">
        <v>6.93</v>
      </c>
      <c r="J898" s="30" t="n">
        <f aca="false">H898*I898</f>
        <v>1.848</v>
      </c>
      <c r="K898" s="1" t="n">
        <v>49</v>
      </c>
    </row>
    <row r="899" customFormat="false" ht="15" hidden="false" customHeight="false" outlineLevel="0" collapsed="false">
      <c r="A899" s="62"/>
      <c r="B899" s="62"/>
      <c r="C899" s="62"/>
      <c r="D899" s="62"/>
      <c r="E899" s="62"/>
      <c r="F899" s="62"/>
      <c r="G899" s="62"/>
      <c r="H899" s="62"/>
      <c r="I899" s="62"/>
      <c r="J899" s="63" t="n">
        <f aca="false">ROUND(SUM(J897:J898),2)</f>
        <v>3.18</v>
      </c>
    </row>
    <row r="901" customFormat="false" ht="15" hidden="false" customHeight="false" outlineLevel="0" collapsed="false">
      <c r="A901" s="14" t="s">
        <v>276</v>
      </c>
      <c r="B901" s="14" t="str">
        <f aca="false">ESTRUCTURA!A75</f>
        <v>02.04.01.02</v>
      </c>
      <c r="C901" s="14" t="s">
        <v>594</v>
      </c>
      <c r="D901" s="14"/>
      <c r="E901" s="14"/>
      <c r="F901" s="14"/>
      <c r="G901" s="14"/>
      <c r="H901" s="14"/>
      <c r="I901" s="14"/>
    </row>
    <row r="902" customFormat="false" ht="15" hidden="false" customHeight="false" outlineLevel="0" collapsed="false">
      <c r="A902" s="14" t="s">
        <v>277</v>
      </c>
      <c r="B902" s="14" t="s">
        <v>415</v>
      </c>
      <c r="C902" s="38" t="s">
        <v>279</v>
      </c>
      <c r="D902" s="54" t="n">
        <v>30</v>
      </c>
      <c r="E902" s="38" t="s">
        <v>280</v>
      </c>
      <c r="F902" s="54" t="n">
        <f aca="false">D902</f>
        <v>30</v>
      </c>
      <c r="G902" s="14" t="s">
        <v>281</v>
      </c>
      <c r="I902" s="38" t="s">
        <v>202</v>
      </c>
      <c r="J902" s="55" t="n">
        <f aca="false">J909+J914+J918</f>
        <v>445.67</v>
      </c>
    </row>
    <row r="903" customFormat="false" ht="15" hidden="false" customHeight="false" outlineLevel="0" collapsed="false">
      <c r="A903" s="14" t="s">
        <v>282</v>
      </c>
      <c r="B903" s="14" t="s">
        <v>283</v>
      </c>
      <c r="F903" s="38" t="s">
        <v>121</v>
      </c>
      <c r="G903" s="38" t="s">
        <v>284</v>
      </c>
      <c r="H903" s="38" t="s">
        <v>285</v>
      </c>
      <c r="I903" s="38" t="s">
        <v>286</v>
      </c>
      <c r="J903" s="38" t="s">
        <v>287</v>
      </c>
    </row>
    <row r="904" customFormat="false" ht="15" hidden="false" customHeight="false" outlineLevel="0" collapsed="false">
      <c r="B904" s="56" t="s">
        <v>288</v>
      </c>
    </row>
    <row r="905" customFormat="false" ht="15" hidden="false" customHeight="false" outlineLevel="0" collapsed="false">
      <c r="B905" s="1" t="s">
        <v>649</v>
      </c>
      <c r="F905" s="57" t="s">
        <v>290</v>
      </c>
      <c r="G905" s="58" t="n">
        <v>0.1</v>
      </c>
      <c r="H905" s="59" t="n">
        <f aca="false">G905*8/$D$902</f>
        <v>0.0266666666666667</v>
      </c>
      <c r="I905" s="30" t="n">
        <v>34.73</v>
      </c>
      <c r="J905" s="30" t="n">
        <f aca="false">H905*I905</f>
        <v>0.926133333333333</v>
      </c>
      <c r="K905" s="1" t="n">
        <v>47</v>
      </c>
    </row>
    <row r="906" customFormat="false" ht="15" hidden="false" customHeight="false" outlineLevel="0" collapsed="false">
      <c r="B906" s="1" t="s">
        <v>289</v>
      </c>
      <c r="F906" s="57" t="s">
        <v>290</v>
      </c>
      <c r="G906" s="58" t="n">
        <v>2</v>
      </c>
      <c r="H906" s="59" t="n">
        <f aca="false">G906*8/$D$902</f>
        <v>0.533333333333333</v>
      </c>
      <c r="I906" s="30" t="n">
        <v>28.94</v>
      </c>
      <c r="J906" s="30" t="n">
        <f aca="false">H906*I906</f>
        <v>15.4346666666667</v>
      </c>
      <c r="K906" s="1" t="n">
        <v>47</v>
      </c>
    </row>
    <row r="907" customFormat="false" ht="15" hidden="false" customHeight="false" outlineLevel="0" collapsed="false">
      <c r="B907" s="1" t="s">
        <v>291</v>
      </c>
      <c r="F907" s="57" t="s">
        <v>290</v>
      </c>
      <c r="G907" s="58" t="n">
        <v>1</v>
      </c>
      <c r="H907" s="59" t="n">
        <f aca="false">G907*8/$D$902</f>
        <v>0.266666666666667</v>
      </c>
      <c r="I907" s="30" t="n">
        <v>22.66</v>
      </c>
      <c r="J907" s="30" t="n">
        <f aca="false">H907*I907</f>
        <v>6.04266666666667</v>
      </c>
      <c r="K907" s="1" t="n">
        <v>47</v>
      </c>
    </row>
    <row r="908" customFormat="false" ht="15" hidden="false" customHeight="false" outlineLevel="0" collapsed="false">
      <c r="B908" s="1" t="s">
        <v>292</v>
      </c>
      <c r="F908" s="57" t="s">
        <v>290</v>
      </c>
      <c r="G908" s="58" t="n">
        <v>4</v>
      </c>
      <c r="H908" s="59" t="n">
        <f aca="false">G908*8/$D$902</f>
        <v>1.06666666666667</v>
      </c>
      <c r="I908" s="30" t="n">
        <v>20.51</v>
      </c>
      <c r="J908" s="30" t="n">
        <f aca="false">H908*I908</f>
        <v>21.8773333333333</v>
      </c>
      <c r="K908" s="1" t="n">
        <v>47</v>
      </c>
    </row>
    <row r="909" customFormat="false" ht="15" hidden="false" customHeight="false" outlineLevel="0" collapsed="false">
      <c r="J909" s="55" t="n">
        <f aca="false">ROUND(SUM(J905:J908),2)</f>
        <v>44.28</v>
      </c>
    </row>
    <row r="910" customFormat="false" ht="15" hidden="false" customHeight="false" outlineLevel="0" collapsed="false">
      <c r="B910" s="56" t="s">
        <v>293</v>
      </c>
    </row>
    <row r="911" customFormat="false" ht="15" hidden="false" customHeight="false" outlineLevel="0" collapsed="false">
      <c r="B911" s="1" t="s">
        <v>718</v>
      </c>
      <c r="E911" s="1" t="s">
        <v>295</v>
      </c>
      <c r="H911" s="59" t="n">
        <v>0.1</v>
      </c>
      <c r="I911" s="30" t="n">
        <v>24.52</v>
      </c>
      <c r="J911" s="30" t="n">
        <f aca="false">H911*I911</f>
        <v>2.452</v>
      </c>
      <c r="K911" s="1" t="n">
        <v>21</v>
      </c>
    </row>
    <row r="912" customFormat="false" ht="15" hidden="false" customHeight="false" outlineLevel="0" collapsed="false">
      <c r="B912" s="1" t="s">
        <v>719</v>
      </c>
      <c r="E912" s="1" t="s">
        <v>295</v>
      </c>
      <c r="H912" s="59" t="n">
        <v>1.02</v>
      </c>
      <c r="I912" s="1" t="n">
        <v>358</v>
      </c>
      <c r="J912" s="30" t="n">
        <f aca="false">H912*I912</f>
        <v>365.16</v>
      </c>
      <c r="K912" s="1" t="n">
        <v>80</v>
      </c>
    </row>
    <row r="913" customFormat="false" ht="15" hidden="false" customHeight="false" outlineLevel="0" collapsed="false">
      <c r="B913" s="1" t="s">
        <v>720</v>
      </c>
      <c r="E913" s="1" t="s">
        <v>304</v>
      </c>
      <c r="H913" s="59" t="n">
        <v>1.02</v>
      </c>
      <c r="I913" s="30" t="n">
        <v>30</v>
      </c>
      <c r="J913" s="30" t="n">
        <f aca="false">H913*I913</f>
        <v>30.6</v>
      </c>
      <c r="K913" s="1" t="n">
        <v>39</v>
      </c>
    </row>
    <row r="914" customFormat="false" ht="15" hidden="false" customHeight="false" outlineLevel="0" collapsed="false">
      <c r="J914" s="55" t="n">
        <f aca="false">ROUND(SUM(J911:J913),2)</f>
        <v>398.21</v>
      </c>
    </row>
    <row r="915" customFormat="false" ht="15" hidden="false" customHeight="false" outlineLevel="0" collapsed="false">
      <c r="B915" s="56" t="s">
        <v>317</v>
      </c>
    </row>
    <row r="916" customFormat="false" ht="15" hidden="false" customHeight="false" outlineLevel="0" collapsed="false">
      <c r="B916" s="1" t="s">
        <v>309</v>
      </c>
      <c r="F916" s="57" t="s">
        <v>310</v>
      </c>
      <c r="H916" s="59" t="n">
        <v>3</v>
      </c>
      <c r="I916" s="30" t="n">
        <f aca="false">J909</f>
        <v>44.28</v>
      </c>
      <c r="J916" s="30" t="n">
        <f aca="false">H916%*I916</f>
        <v>1.3284</v>
      </c>
      <c r="K916" s="1" t="n">
        <v>37</v>
      </c>
    </row>
    <row r="917" customFormat="false" ht="15" hidden="false" customHeight="false" outlineLevel="0" collapsed="false">
      <c r="B917" s="1" t="s">
        <v>721</v>
      </c>
      <c r="F917" s="57" t="s">
        <v>337</v>
      </c>
      <c r="G917" s="58" t="n">
        <v>1</v>
      </c>
      <c r="H917" s="59" t="n">
        <f aca="false">G917*8/$D$902</f>
        <v>0.266666666666667</v>
      </c>
      <c r="I917" s="30" t="n">
        <v>6.93</v>
      </c>
      <c r="J917" s="30" t="n">
        <f aca="false">H917*I917</f>
        <v>1.848</v>
      </c>
      <c r="K917" s="1" t="n">
        <v>49</v>
      </c>
    </row>
    <row r="918" customFormat="false" ht="15" hidden="false" customHeight="false" outlineLevel="0" collapsed="false">
      <c r="A918" s="62"/>
      <c r="B918" s="62"/>
      <c r="C918" s="62"/>
      <c r="D918" s="62"/>
      <c r="E918" s="62"/>
      <c r="F918" s="62"/>
      <c r="G918" s="62"/>
      <c r="H918" s="62"/>
      <c r="I918" s="62"/>
      <c r="J918" s="63" t="n">
        <f aca="false">ROUND(SUM(J916:J917),2)</f>
        <v>3.18</v>
      </c>
    </row>
    <row r="920" customFormat="false" ht="15" hidden="false" customHeight="false" outlineLevel="0" collapsed="false">
      <c r="A920" s="14" t="s">
        <v>276</v>
      </c>
      <c r="B920" s="14" t="str">
        <f aca="false">ESTRUCTURA!A76</f>
        <v>02.04.01.03</v>
      </c>
      <c r="C920" s="14" t="s">
        <v>596</v>
      </c>
      <c r="D920" s="14"/>
      <c r="E920" s="14"/>
      <c r="F920" s="14"/>
      <c r="G920" s="14"/>
      <c r="H920" s="14"/>
      <c r="I920" s="14"/>
    </row>
    <row r="921" customFormat="false" ht="15" hidden="false" customHeight="false" outlineLevel="0" collapsed="false">
      <c r="A921" s="14" t="s">
        <v>277</v>
      </c>
      <c r="B921" s="14" t="s">
        <v>278</v>
      </c>
      <c r="C921" s="38" t="s">
        <v>279</v>
      </c>
      <c r="D921" s="54" t="n">
        <v>25</v>
      </c>
      <c r="E921" s="38" t="s">
        <v>280</v>
      </c>
      <c r="F921" s="54" t="n">
        <f aca="false">D921</f>
        <v>25</v>
      </c>
      <c r="G921" s="14" t="s">
        <v>281</v>
      </c>
      <c r="I921" s="38" t="s">
        <v>132</v>
      </c>
      <c r="J921" s="55" t="n">
        <f aca="false">J928+J933+J937</f>
        <v>118.01</v>
      </c>
    </row>
    <row r="922" customFormat="false" ht="15" hidden="false" customHeight="false" outlineLevel="0" collapsed="false">
      <c r="A922" s="14" t="s">
        <v>282</v>
      </c>
      <c r="B922" s="14" t="s">
        <v>283</v>
      </c>
      <c r="F922" s="38" t="s">
        <v>121</v>
      </c>
      <c r="G922" s="38" t="s">
        <v>284</v>
      </c>
      <c r="H922" s="38" t="s">
        <v>285</v>
      </c>
      <c r="I922" s="38" t="s">
        <v>286</v>
      </c>
      <c r="J922" s="38" t="s">
        <v>287</v>
      </c>
    </row>
    <row r="923" customFormat="false" ht="15" hidden="false" customHeight="false" outlineLevel="0" collapsed="false">
      <c r="B923" s="56" t="s">
        <v>288</v>
      </c>
    </row>
    <row r="924" customFormat="false" ht="15" hidden="false" customHeight="false" outlineLevel="0" collapsed="false">
      <c r="B924" s="1" t="s">
        <v>649</v>
      </c>
      <c r="F924" s="57" t="s">
        <v>290</v>
      </c>
      <c r="G924" s="58" t="n">
        <v>0.1</v>
      </c>
      <c r="H924" s="59" t="n">
        <f aca="false">G924*8/$D$921</f>
        <v>0.032</v>
      </c>
      <c r="I924" s="30" t="n">
        <v>34.73</v>
      </c>
      <c r="J924" s="30" t="n">
        <f aca="false">H924*I924</f>
        <v>1.11136</v>
      </c>
      <c r="K924" s="1" t="n">
        <v>47</v>
      </c>
    </row>
    <row r="925" customFormat="false" ht="15" hidden="false" customHeight="false" outlineLevel="0" collapsed="false">
      <c r="B925" s="1" t="s">
        <v>289</v>
      </c>
      <c r="F925" s="57" t="s">
        <v>290</v>
      </c>
      <c r="G925" s="58" t="n">
        <v>1</v>
      </c>
      <c r="H925" s="59" t="n">
        <f aca="false">G925*8/$D$921</f>
        <v>0.32</v>
      </c>
      <c r="I925" s="30" t="n">
        <v>28.94</v>
      </c>
      <c r="J925" s="30" t="n">
        <f aca="false">H925*I925</f>
        <v>9.2608</v>
      </c>
      <c r="K925" s="1" t="n">
        <v>47</v>
      </c>
    </row>
    <row r="926" customFormat="false" ht="15" hidden="false" customHeight="false" outlineLevel="0" collapsed="false">
      <c r="B926" s="1" t="s">
        <v>291</v>
      </c>
      <c r="F926" s="57" t="s">
        <v>290</v>
      </c>
      <c r="G926" s="58" t="n">
        <v>2</v>
      </c>
      <c r="H926" s="59" t="n">
        <f aca="false">G926*8/$D$921</f>
        <v>0.64</v>
      </c>
      <c r="I926" s="30" t="n">
        <v>22.66</v>
      </c>
      <c r="J926" s="30" t="n">
        <f aca="false">H926*I926</f>
        <v>14.5024</v>
      </c>
      <c r="K926" s="1" t="n">
        <v>47</v>
      </c>
    </row>
    <row r="927" customFormat="false" ht="15" hidden="false" customHeight="false" outlineLevel="0" collapsed="false">
      <c r="B927" s="1" t="s">
        <v>292</v>
      </c>
      <c r="F927" s="57" t="s">
        <v>290</v>
      </c>
      <c r="G927" s="58" t="n">
        <v>8</v>
      </c>
      <c r="H927" s="59" t="n">
        <f aca="false">G927*8/$D$921</f>
        <v>2.56</v>
      </c>
      <c r="I927" s="30" t="n">
        <v>20.51</v>
      </c>
      <c r="J927" s="30" t="n">
        <f aca="false">H927*I927</f>
        <v>52.5056</v>
      </c>
      <c r="K927" s="1" t="n">
        <v>47</v>
      </c>
    </row>
    <row r="928" customFormat="false" ht="15" hidden="false" customHeight="false" outlineLevel="0" collapsed="false">
      <c r="J928" s="55" t="n">
        <f aca="false">ROUND(SUM(J924:J927),2)</f>
        <v>77.38</v>
      </c>
    </row>
    <row r="929" customFormat="false" ht="15" hidden="false" customHeight="false" outlineLevel="0" collapsed="false">
      <c r="B929" s="56" t="s">
        <v>293</v>
      </c>
    </row>
    <row r="930" customFormat="false" ht="15" hidden="false" customHeight="false" outlineLevel="0" collapsed="false">
      <c r="B930" s="1" t="s">
        <v>722</v>
      </c>
      <c r="E930" s="1" t="s">
        <v>295</v>
      </c>
      <c r="H930" s="59" t="n">
        <v>0.1</v>
      </c>
      <c r="I930" s="30" t="n">
        <v>4.64</v>
      </c>
      <c r="J930" s="30" t="n">
        <f aca="false">H930*I930</f>
        <v>0.464</v>
      </c>
      <c r="K930" s="1" t="n">
        <v>2</v>
      </c>
    </row>
    <row r="931" customFormat="false" ht="15" hidden="false" customHeight="false" outlineLevel="0" collapsed="false">
      <c r="B931" s="1" t="s">
        <v>723</v>
      </c>
      <c r="E931" s="1" t="s">
        <v>295</v>
      </c>
      <c r="H931" s="59" t="n">
        <v>0.15</v>
      </c>
      <c r="I931" s="1" t="n">
        <v>4.16</v>
      </c>
      <c r="J931" s="30" t="n">
        <f aca="false">H931*I931</f>
        <v>0.624</v>
      </c>
      <c r="K931" s="1" t="n">
        <v>2</v>
      </c>
    </row>
    <row r="932" customFormat="false" ht="15" hidden="false" customHeight="false" outlineLevel="0" collapsed="false">
      <c r="B932" s="1" t="s">
        <v>307</v>
      </c>
      <c r="E932" s="1" t="s">
        <v>304</v>
      </c>
      <c r="H932" s="59" t="n">
        <v>6.1138</v>
      </c>
      <c r="I932" s="30" t="n">
        <v>5.8</v>
      </c>
      <c r="J932" s="30" t="n">
        <f aca="false">H932*I932</f>
        <v>35.46004</v>
      </c>
      <c r="K932" s="1" t="n">
        <v>43</v>
      </c>
    </row>
    <row r="933" customFormat="false" ht="15" hidden="false" customHeight="false" outlineLevel="0" collapsed="false">
      <c r="J933" s="55" t="n">
        <f aca="false">ROUND(SUM(J930:J932),2)</f>
        <v>36.55</v>
      </c>
    </row>
    <row r="934" customFormat="false" ht="15" hidden="false" customHeight="false" outlineLevel="0" collapsed="false">
      <c r="B934" s="56" t="s">
        <v>317</v>
      </c>
    </row>
    <row r="935" customFormat="false" ht="15" hidden="false" customHeight="false" outlineLevel="0" collapsed="false">
      <c r="B935" s="1" t="s">
        <v>309</v>
      </c>
      <c r="F935" s="57" t="s">
        <v>310</v>
      </c>
      <c r="H935" s="59" t="n">
        <v>3</v>
      </c>
      <c r="I935" s="30" t="n">
        <f aca="false">J928</f>
        <v>77.38</v>
      </c>
      <c r="J935" s="30" t="n">
        <f aca="false">H935%*I935</f>
        <v>2.3214</v>
      </c>
      <c r="K935" s="1" t="n">
        <v>37</v>
      </c>
    </row>
    <row r="936" customFormat="false" ht="15" hidden="false" customHeight="false" outlineLevel="0" collapsed="false">
      <c r="B936" s="1" t="s">
        <v>724</v>
      </c>
      <c r="F936" s="57" t="s">
        <v>337</v>
      </c>
      <c r="G936" s="58" t="n">
        <v>1</v>
      </c>
      <c r="H936" s="59" t="n">
        <f aca="false">G936*8/$D$921</f>
        <v>0.32</v>
      </c>
      <c r="I936" s="30" t="n">
        <v>5.5</v>
      </c>
      <c r="J936" s="30" t="n">
        <f aca="false">H936*I936</f>
        <v>1.76</v>
      </c>
      <c r="K936" s="1" t="n">
        <v>39</v>
      </c>
    </row>
    <row r="937" customFormat="false" ht="15" hidden="false" customHeight="false" outlineLevel="0" collapsed="false">
      <c r="A937" s="62"/>
      <c r="B937" s="62"/>
      <c r="C937" s="62"/>
      <c r="D937" s="62"/>
      <c r="E937" s="62"/>
      <c r="F937" s="62"/>
      <c r="G937" s="62"/>
      <c r="H937" s="62"/>
      <c r="I937" s="62"/>
      <c r="J937" s="63" t="n">
        <f aca="false">ROUND(SUM(J935:J936),2)</f>
        <v>4.08</v>
      </c>
    </row>
    <row r="939" customFormat="false" ht="15" hidden="false" customHeight="false" outlineLevel="0" collapsed="false">
      <c r="A939" s="14" t="s">
        <v>276</v>
      </c>
      <c r="B939" s="14" t="str">
        <f aca="false">ESTRUCTURA!A77</f>
        <v>02.04.01.04</v>
      </c>
      <c r="C939" s="14" t="s">
        <v>598</v>
      </c>
      <c r="D939" s="14"/>
    </row>
    <row r="940" customFormat="false" ht="15" hidden="false" customHeight="false" outlineLevel="0" collapsed="false">
      <c r="A940" s="14" t="s">
        <v>277</v>
      </c>
      <c r="B940" s="14" t="s">
        <v>415</v>
      </c>
      <c r="C940" s="38" t="s">
        <v>279</v>
      </c>
      <c r="D940" s="54" t="n">
        <v>1</v>
      </c>
      <c r="E940" s="38" t="s">
        <v>280</v>
      </c>
      <c r="F940" s="54" t="n">
        <f aca="false">D940</f>
        <v>1</v>
      </c>
      <c r="G940" s="14" t="s">
        <v>281</v>
      </c>
      <c r="I940" s="38" t="s">
        <v>202</v>
      </c>
      <c r="J940" s="55" t="n">
        <f aca="false">J944</f>
        <v>358</v>
      </c>
    </row>
    <row r="941" customFormat="false" ht="15" hidden="false" customHeight="false" outlineLevel="0" collapsed="false">
      <c r="A941" s="14" t="s">
        <v>282</v>
      </c>
      <c r="B941" s="14" t="s">
        <v>283</v>
      </c>
      <c r="F941" s="38" t="s">
        <v>121</v>
      </c>
      <c r="G941" s="38" t="s">
        <v>284</v>
      </c>
      <c r="H941" s="38" t="s">
        <v>285</v>
      </c>
      <c r="I941" s="38" t="s">
        <v>286</v>
      </c>
      <c r="J941" s="38" t="s">
        <v>287</v>
      </c>
    </row>
    <row r="942" customFormat="false" ht="15" hidden="false" customHeight="false" outlineLevel="0" collapsed="false">
      <c r="B942" s="56" t="s">
        <v>293</v>
      </c>
    </row>
    <row r="943" customFormat="false" ht="15" hidden="false" customHeight="false" outlineLevel="0" collapsed="false">
      <c r="B943" s="1" t="s">
        <v>598</v>
      </c>
      <c r="H943" s="59" t="n">
        <v>1</v>
      </c>
      <c r="I943" s="30" t="n">
        <v>358</v>
      </c>
      <c r="J943" s="30" t="n">
        <f aca="false">H943*I943</f>
        <v>358</v>
      </c>
      <c r="K943" s="1" t="n">
        <v>80</v>
      </c>
    </row>
    <row r="944" customFormat="false" ht="15" hidden="false" customHeight="false" outlineLevel="0" collapsed="false">
      <c r="A944" s="62"/>
      <c r="B944" s="62"/>
      <c r="C944" s="62"/>
      <c r="D944" s="62"/>
      <c r="E944" s="62"/>
      <c r="F944" s="66"/>
      <c r="G944" s="62"/>
      <c r="H944" s="68"/>
      <c r="I944" s="69"/>
      <c r="J944" s="63" t="n">
        <f aca="false">ROUND(SUM(J943),2)</f>
        <v>358</v>
      </c>
    </row>
    <row r="946" customFormat="false" ht="15" hidden="false" customHeight="false" outlineLevel="0" collapsed="false">
      <c r="A946" s="14" t="s">
        <v>276</v>
      </c>
      <c r="B946" s="14" t="str">
        <f aca="false">ESTRUCTURA!A78</f>
        <v>02.04.01.05</v>
      </c>
      <c r="C946" s="14" t="s">
        <v>600</v>
      </c>
      <c r="D946" s="14"/>
      <c r="E946" s="14"/>
      <c r="F946" s="14"/>
      <c r="G946" s="14"/>
      <c r="H946" s="14"/>
      <c r="I946" s="14"/>
    </row>
    <row r="947" customFormat="false" ht="15" hidden="false" customHeight="false" outlineLevel="0" collapsed="false">
      <c r="A947" s="14" t="s">
        <v>277</v>
      </c>
      <c r="B947" s="14" t="s">
        <v>278</v>
      </c>
      <c r="C947" s="38" t="s">
        <v>279</v>
      </c>
      <c r="D947" s="54" t="n">
        <v>250</v>
      </c>
      <c r="E947" s="38" t="s">
        <v>280</v>
      </c>
      <c r="F947" s="54" t="n">
        <f aca="false">D947</f>
        <v>250</v>
      </c>
      <c r="G947" s="14" t="s">
        <v>281</v>
      </c>
      <c r="I947" s="38" t="s">
        <v>132</v>
      </c>
      <c r="J947" s="55" t="n">
        <f aca="false">J951+J954+J957</f>
        <v>2.95</v>
      </c>
    </row>
    <row r="948" customFormat="false" ht="15" hidden="false" customHeight="false" outlineLevel="0" collapsed="false">
      <c r="A948" s="14" t="s">
        <v>282</v>
      </c>
      <c r="B948" s="14" t="s">
        <v>283</v>
      </c>
      <c r="F948" s="38" t="s">
        <v>121</v>
      </c>
      <c r="G948" s="38" t="s">
        <v>284</v>
      </c>
      <c r="H948" s="38" t="s">
        <v>285</v>
      </c>
      <c r="I948" s="38" t="s">
        <v>286</v>
      </c>
      <c r="J948" s="38" t="s">
        <v>287</v>
      </c>
    </row>
    <row r="949" customFormat="false" ht="15" hidden="false" customHeight="false" outlineLevel="0" collapsed="false">
      <c r="B949" s="56" t="s">
        <v>288</v>
      </c>
    </row>
    <row r="950" customFormat="false" ht="15" hidden="false" customHeight="false" outlineLevel="0" collapsed="false">
      <c r="B950" s="1" t="s">
        <v>291</v>
      </c>
      <c r="F950" s="57" t="s">
        <v>290</v>
      </c>
      <c r="G950" s="58" t="n">
        <v>1</v>
      </c>
      <c r="H950" s="59" t="n">
        <f aca="false">G950*8/$D$947</f>
        <v>0.032</v>
      </c>
      <c r="I950" s="30" t="n">
        <v>22.66</v>
      </c>
      <c r="J950" s="30" t="n">
        <f aca="false">H950*I950</f>
        <v>0.72512</v>
      </c>
      <c r="K950" s="1" t="n">
        <v>47</v>
      </c>
    </row>
    <row r="951" customFormat="false" ht="15" hidden="false" customHeight="false" outlineLevel="0" collapsed="false">
      <c r="F951" s="57"/>
      <c r="G951" s="58"/>
      <c r="H951" s="59"/>
      <c r="I951" s="30"/>
      <c r="J951" s="55" t="n">
        <f aca="false">ROUND(SUM(J950:J950),2)</f>
        <v>0.73</v>
      </c>
    </row>
    <row r="952" customFormat="false" ht="15" hidden="false" customHeight="false" outlineLevel="0" collapsed="false">
      <c r="B952" s="56" t="s">
        <v>293</v>
      </c>
    </row>
    <row r="953" customFormat="false" ht="15" hidden="false" customHeight="false" outlineLevel="0" collapsed="false">
      <c r="B953" s="1" t="s">
        <v>725</v>
      </c>
      <c r="F953" s="57" t="s">
        <v>437</v>
      </c>
      <c r="H953" s="59" t="n">
        <v>0.05</v>
      </c>
      <c r="I953" s="30" t="n">
        <v>43.9</v>
      </c>
      <c r="J953" s="30" t="n">
        <f aca="false">H953*I953</f>
        <v>2.195</v>
      </c>
      <c r="K953" s="1" t="n">
        <v>30</v>
      </c>
    </row>
    <row r="954" customFormat="false" ht="15" hidden="false" customHeight="false" outlineLevel="0" collapsed="false">
      <c r="J954" s="55" t="n">
        <f aca="false">ROUND(SUM(J953),2)</f>
        <v>2.2</v>
      </c>
    </row>
    <row r="955" customFormat="false" ht="15" hidden="false" customHeight="false" outlineLevel="0" collapsed="false">
      <c r="B955" s="56" t="s">
        <v>317</v>
      </c>
    </row>
    <row r="956" customFormat="false" ht="15" hidden="false" customHeight="false" outlineLevel="0" collapsed="false">
      <c r="B956" s="1" t="s">
        <v>309</v>
      </c>
      <c r="F956" s="57" t="s">
        <v>310</v>
      </c>
      <c r="H956" s="59" t="n">
        <v>3</v>
      </c>
      <c r="I956" s="30" t="n">
        <f aca="false">J951</f>
        <v>0.73</v>
      </c>
      <c r="J956" s="30" t="n">
        <f aca="false">H956%*I956</f>
        <v>0.0219</v>
      </c>
      <c r="K956" s="1" t="n">
        <v>37</v>
      </c>
    </row>
    <row r="957" customFormat="false" ht="15" hidden="false" customHeight="false" outlineLevel="0" collapsed="false">
      <c r="A957" s="62"/>
      <c r="B957" s="62"/>
      <c r="C957" s="62"/>
      <c r="D957" s="62"/>
      <c r="E957" s="62"/>
      <c r="F957" s="62"/>
      <c r="G957" s="62"/>
      <c r="H957" s="62"/>
      <c r="I957" s="62"/>
      <c r="J957" s="63" t="n">
        <f aca="false">ROUND(SUM(J956),2)</f>
        <v>0.02</v>
      </c>
    </row>
    <row r="958" customFormat="false" ht="15" hidden="false" customHeight="false" outlineLevel="0" collapsed="false">
      <c r="H958" s="59"/>
      <c r="I958" s="30"/>
      <c r="J958" s="30"/>
    </row>
    <row r="959" customFormat="false" ht="15" hidden="false" customHeight="false" outlineLevel="0" collapsed="false">
      <c r="A959" s="14" t="s">
        <v>276</v>
      </c>
      <c r="B959" s="14" t="str">
        <f aca="false">ESTRUCTURA!A79</f>
        <v>02.04.01.06</v>
      </c>
      <c r="C959" s="14" t="s">
        <v>602</v>
      </c>
      <c r="D959" s="14"/>
      <c r="E959" s="14"/>
      <c r="F959" s="14"/>
      <c r="G959" s="14"/>
      <c r="H959" s="14"/>
      <c r="I959" s="14"/>
    </row>
    <row r="960" customFormat="false" ht="15" hidden="false" customHeight="false" outlineLevel="0" collapsed="false">
      <c r="A960" s="14" t="s">
        <v>277</v>
      </c>
      <c r="B960" s="14" t="s">
        <v>313</v>
      </c>
      <c r="C960" s="38" t="s">
        <v>279</v>
      </c>
      <c r="D960" s="54" t="n">
        <v>100</v>
      </c>
      <c r="E960" s="38" t="s">
        <v>280</v>
      </c>
      <c r="F960" s="54" t="n">
        <f aca="false">D960</f>
        <v>100</v>
      </c>
      <c r="G960" s="14" t="s">
        <v>281</v>
      </c>
      <c r="I960" s="38" t="s">
        <v>143</v>
      </c>
      <c r="J960" s="55" t="n">
        <f aca="false">J965+J969+J972</f>
        <v>19.24</v>
      </c>
    </row>
    <row r="961" customFormat="false" ht="15" hidden="false" customHeight="false" outlineLevel="0" collapsed="false">
      <c r="A961" s="14" t="s">
        <v>282</v>
      </c>
      <c r="B961" s="14" t="s">
        <v>283</v>
      </c>
      <c r="F961" s="38" t="s">
        <v>121</v>
      </c>
      <c r="G961" s="38" t="s">
        <v>284</v>
      </c>
      <c r="H961" s="38" t="s">
        <v>285</v>
      </c>
      <c r="I961" s="38" t="s">
        <v>286</v>
      </c>
      <c r="J961" s="38" t="s">
        <v>287</v>
      </c>
    </row>
    <row r="962" customFormat="false" ht="15" hidden="false" customHeight="false" outlineLevel="0" collapsed="false">
      <c r="B962" s="56" t="s">
        <v>288</v>
      </c>
    </row>
    <row r="963" customFormat="false" ht="15" hidden="false" customHeight="false" outlineLevel="0" collapsed="false">
      <c r="B963" s="1" t="s">
        <v>649</v>
      </c>
      <c r="F963" s="57" t="s">
        <v>290</v>
      </c>
      <c r="G963" s="58" t="n">
        <v>1</v>
      </c>
      <c r="H963" s="59" t="n">
        <f aca="false">G963*8/$D$960</f>
        <v>0.08</v>
      </c>
      <c r="I963" s="30" t="n">
        <v>34.73</v>
      </c>
      <c r="J963" s="30" t="n">
        <f aca="false">H963*I963</f>
        <v>2.7784</v>
      </c>
      <c r="K963" s="1" t="n">
        <v>47</v>
      </c>
    </row>
    <row r="964" customFormat="false" ht="15" hidden="false" customHeight="false" outlineLevel="0" collapsed="false">
      <c r="B964" s="1" t="s">
        <v>289</v>
      </c>
      <c r="F964" s="57" t="s">
        <v>290</v>
      </c>
      <c r="G964" s="58" t="n">
        <v>0.2</v>
      </c>
      <c r="H964" s="59" t="n">
        <f aca="false">G964*8/$D$960</f>
        <v>0.016</v>
      </c>
      <c r="I964" s="30" t="n">
        <v>28.94</v>
      </c>
      <c r="J964" s="30" t="n">
        <f aca="false">H964*I964</f>
        <v>0.46304</v>
      </c>
      <c r="K964" s="1" t="n">
        <v>47</v>
      </c>
    </row>
    <row r="965" customFormat="false" ht="15" hidden="false" customHeight="false" outlineLevel="0" collapsed="false">
      <c r="F965" s="57"/>
      <c r="G965" s="58"/>
      <c r="H965" s="59"/>
      <c r="I965" s="30"/>
      <c r="J965" s="55" t="n">
        <f aca="false">ROUND(SUM(J963:J964),2)</f>
        <v>3.24</v>
      </c>
    </row>
    <row r="966" customFormat="false" ht="15" hidden="false" customHeight="false" outlineLevel="0" collapsed="false">
      <c r="B966" s="56" t="s">
        <v>293</v>
      </c>
      <c r="F966" s="57"/>
    </row>
    <row r="967" customFormat="false" ht="15" hidden="false" customHeight="false" outlineLevel="0" collapsed="false">
      <c r="B967" s="1" t="s">
        <v>726</v>
      </c>
      <c r="F967" s="57" t="s">
        <v>132</v>
      </c>
      <c r="H967" s="59" t="n">
        <v>0.05</v>
      </c>
      <c r="I967" s="30" t="n">
        <v>18</v>
      </c>
      <c r="J967" s="30" t="n">
        <f aca="false">H967*I967</f>
        <v>0.9</v>
      </c>
      <c r="K967" s="1" t="n">
        <v>60</v>
      </c>
    </row>
    <row r="968" customFormat="false" ht="15" hidden="false" customHeight="false" outlineLevel="0" collapsed="false">
      <c r="B968" s="1" t="s">
        <v>727</v>
      </c>
      <c r="F968" s="57" t="s">
        <v>437</v>
      </c>
      <c r="H968" s="59" t="n">
        <v>0.1</v>
      </c>
      <c r="I968" s="30" t="n">
        <v>150</v>
      </c>
      <c r="J968" s="30" t="n">
        <f aca="false">H968*I968</f>
        <v>15</v>
      </c>
      <c r="K968" s="1" t="n">
        <v>30</v>
      </c>
    </row>
    <row r="969" customFormat="false" ht="15" hidden="false" customHeight="false" outlineLevel="0" collapsed="false">
      <c r="J969" s="55" t="n">
        <f aca="false">ROUND(SUM(J967:J968),2)</f>
        <v>15.9</v>
      </c>
    </row>
    <row r="970" customFormat="false" ht="15" hidden="false" customHeight="false" outlineLevel="0" collapsed="false">
      <c r="B970" s="56" t="s">
        <v>317</v>
      </c>
    </row>
    <row r="971" customFormat="false" ht="15" hidden="false" customHeight="false" outlineLevel="0" collapsed="false">
      <c r="B971" s="1" t="s">
        <v>309</v>
      </c>
      <c r="F971" s="57" t="s">
        <v>310</v>
      </c>
      <c r="H971" s="59" t="n">
        <v>3</v>
      </c>
      <c r="I971" s="30" t="n">
        <f aca="false">J965</f>
        <v>3.24</v>
      </c>
      <c r="J971" s="30" t="n">
        <f aca="false">H971%*I971</f>
        <v>0.0972</v>
      </c>
      <c r="K971" s="1" t="n">
        <v>37</v>
      </c>
    </row>
    <row r="972" customFormat="false" ht="15" hidden="false" customHeight="false" outlineLevel="0" collapsed="false">
      <c r="A972" s="62"/>
      <c r="B972" s="62"/>
      <c r="C972" s="62"/>
      <c r="D972" s="62"/>
      <c r="E972" s="62"/>
      <c r="F972" s="62"/>
      <c r="G972" s="62"/>
      <c r="H972" s="62"/>
      <c r="I972" s="62"/>
      <c r="J972" s="63" t="n">
        <f aca="false">ROUND(SUM(J971),2)</f>
        <v>0.1</v>
      </c>
    </row>
    <row r="974" customFormat="false" ht="15" hidden="false" customHeight="false" outlineLevel="0" collapsed="false">
      <c r="A974" s="14" t="s">
        <v>276</v>
      </c>
      <c r="B974" s="14" t="str">
        <f aca="false">ESTRUCTURA!A80</f>
        <v>02.04.01.07</v>
      </c>
      <c r="C974" s="14" t="s">
        <v>604</v>
      </c>
      <c r="D974" s="14"/>
      <c r="E974" s="14"/>
      <c r="F974" s="14"/>
      <c r="G974" s="14"/>
      <c r="H974" s="14"/>
      <c r="I974" s="14"/>
    </row>
    <row r="975" customFormat="false" ht="15" hidden="false" customHeight="false" outlineLevel="0" collapsed="false">
      <c r="A975" s="14" t="s">
        <v>277</v>
      </c>
      <c r="B975" s="14" t="s">
        <v>313</v>
      </c>
      <c r="C975" s="38" t="s">
        <v>279</v>
      </c>
      <c r="D975" s="54" t="n">
        <v>100</v>
      </c>
      <c r="E975" s="38" t="s">
        <v>280</v>
      </c>
      <c r="F975" s="54" t="n">
        <f aca="false">D975</f>
        <v>100</v>
      </c>
      <c r="G975" s="14" t="s">
        <v>281</v>
      </c>
      <c r="I975" s="38" t="s">
        <v>143</v>
      </c>
      <c r="J975" s="55" t="n">
        <f aca="false">J980+J984+J987</f>
        <v>19.24</v>
      </c>
    </row>
    <row r="976" customFormat="false" ht="15" hidden="false" customHeight="false" outlineLevel="0" collapsed="false">
      <c r="A976" s="14" t="s">
        <v>282</v>
      </c>
      <c r="B976" s="14" t="s">
        <v>283</v>
      </c>
      <c r="F976" s="38" t="s">
        <v>121</v>
      </c>
      <c r="G976" s="38" t="s">
        <v>284</v>
      </c>
      <c r="H976" s="38" t="s">
        <v>285</v>
      </c>
      <c r="I976" s="38" t="s">
        <v>286</v>
      </c>
      <c r="J976" s="38" t="s">
        <v>287</v>
      </c>
    </row>
    <row r="977" customFormat="false" ht="15" hidden="false" customHeight="false" outlineLevel="0" collapsed="false">
      <c r="B977" s="56" t="s">
        <v>288</v>
      </c>
    </row>
    <row r="978" customFormat="false" ht="15" hidden="false" customHeight="false" outlineLevel="0" collapsed="false">
      <c r="B978" s="1" t="s">
        <v>649</v>
      </c>
      <c r="F978" s="57" t="s">
        <v>290</v>
      </c>
      <c r="G978" s="58" t="n">
        <v>1</v>
      </c>
      <c r="H978" s="59" t="n">
        <f aca="false">G978*8/$D$975</f>
        <v>0.08</v>
      </c>
      <c r="I978" s="30" t="n">
        <v>34.73</v>
      </c>
      <c r="J978" s="30" t="n">
        <f aca="false">H978*I978</f>
        <v>2.7784</v>
      </c>
      <c r="K978" s="1" t="n">
        <v>47</v>
      </c>
    </row>
    <row r="979" customFormat="false" ht="15" hidden="false" customHeight="false" outlineLevel="0" collapsed="false">
      <c r="B979" s="1" t="s">
        <v>289</v>
      </c>
      <c r="F979" s="57" t="s">
        <v>290</v>
      </c>
      <c r="G979" s="58" t="n">
        <v>0.2</v>
      </c>
      <c r="H979" s="59" t="n">
        <f aca="false">G979*8/$D$975</f>
        <v>0.016</v>
      </c>
      <c r="I979" s="30" t="n">
        <v>28.94</v>
      </c>
      <c r="J979" s="30" t="n">
        <f aca="false">H979*I979</f>
        <v>0.46304</v>
      </c>
      <c r="K979" s="1" t="n">
        <v>47</v>
      </c>
    </row>
    <row r="980" customFormat="false" ht="15" hidden="false" customHeight="false" outlineLevel="0" collapsed="false">
      <c r="F980" s="57"/>
      <c r="G980" s="58"/>
      <c r="H980" s="59"/>
      <c r="I980" s="30"/>
      <c r="J980" s="55" t="n">
        <f aca="false">ROUND(SUM(J978:J979),2)</f>
        <v>3.24</v>
      </c>
    </row>
    <row r="981" customFormat="false" ht="15" hidden="false" customHeight="false" outlineLevel="0" collapsed="false">
      <c r="B981" s="56" t="s">
        <v>293</v>
      </c>
      <c r="F981" s="57"/>
    </row>
    <row r="982" customFormat="false" ht="15" hidden="false" customHeight="false" outlineLevel="0" collapsed="false">
      <c r="B982" s="1" t="s">
        <v>726</v>
      </c>
      <c r="F982" s="57" t="s">
        <v>132</v>
      </c>
      <c r="H982" s="59" t="n">
        <v>0.05</v>
      </c>
      <c r="I982" s="30" t="n">
        <v>18</v>
      </c>
      <c r="J982" s="30" t="n">
        <f aca="false">H982*I982</f>
        <v>0.9</v>
      </c>
      <c r="K982" s="1" t="n">
        <v>60</v>
      </c>
    </row>
    <row r="983" customFormat="false" ht="15" hidden="false" customHeight="false" outlineLevel="0" collapsed="false">
      <c r="B983" s="1" t="s">
        <v>727</v>
      </c>
      <c r="F983" s="57" t="s">
        <v>437</v>
      </c>
      <c r="H983" s="59" t="n">
        <v>0.1</v>
      </c>
      <c r="I983" s="30" t="n">
        <v>150</v>
      </c>
      <c r="J983" s="30" t="n">
        <f aca="false">H983*I983</f>
        <v>15</v>
      </c>
      <c r="K983" s="1" t="n">
        <v>30</v>
      </c>
    </row>
    <row r="984" customFormat="false" ht="15" hidden="false" customHeight="false" outlineLevel="0" collapsed="false">
      <c r="J984" s="55" t="n">
        <f aca="false">ROUND(SUM(J982:J983),2)</f>
        <v>15.9</v>
      </c>
    </row>
    <row r="985" customFormat="false" ht="15" hidden="false" customHeight="false" outlineLevel="0" collapsed="false">
      <c r="B985" s="56" t="s">
        <v>317</v>
      </c>
    </row>
    <row r="986" customFormat="false" ht="15" hidden="false" customHeight="false" outlineLevel="0" collapsed="false">
      <c r="B986" s="1" t="s">
        <v>309</v>
      </c>
      <c r="F986" s="57" t="s">
        <v>310</v>
      </c>
      <c r="H986" s="59" t="n">
        <v>3</v>
      </c>
      <c r="I986" s="30" t="n">
        <f aca="false">J980</f>
        <v>3.24</v>
      </c>
      <c r="J986" s="30" t="n">
        <f aca="false">H986%*I986</f>
        <v>0.0972</v>
      </c>
      <c r="K986" s="1" t="n">
        <v>37</v>
      </c>
    </row>
    <row r="987" customFormat="false" ht="15" hidden="false" customHeight="false" outlineLevel="0" collapsed="false">
      <c r="A987" s="62"/>
      <c r="B987" s="62"/>
      <c r="C987" s="62"/>
      <c r="D987" s="62"/>
      <c r="E987" s="62"/>
      <c r="F987" s="62"/>
      <c r="G987" s="62"/>
      <c r="H987" s="62"/>
      <c r="I987" s="62"/>
      <c r="J987" s="63" t="n">
        <f aca="false">ROUND(SUM(J986),2)</f>
        <v>0.1</v>
      </c>
    </row>
    <row r="989" customFormat="false" ht="15" hidden="false" customHeight="false" outlineLevel="0" collapsed="false">
      <c r="A989" s="14" t="s">
        <v>276</v>
      </c>
      <c r="B989" s="14" t="str">
        <f aca="false">ESTRUCTURA!A81</f>
        <v>02.04.01.08</v>
      </c>
      <c r="C989" s="14" t="s">
        <v>606</v>
      </c>
      <c r="D989" s="14"/>
    </row>
    <row r="990" customFormat="false" ht="15" hidden="false" customHeight="false" outlineLevel="0" collapsed="false">
      <c r="A990" s="14" t="s">
        <v>277</v>
      </c>
      <c r="B990" s="14" t="s">
        <v>313</v>
      </c>
      <c r="C990" s="38" t="s">
        <v>279</v>
      </c>
      <c r="D990" s="54" t="n">
        <v>1</v>
      </c>
      <c r="E990" s="38" t="s">
        <v>280</v>
      </c>
      <c r="F990" s="54" t="n">
        <f aca="false">D990</f>
        <v>1</v>
      </c>
      <c r="G990" s="14" t="s">
        <v>281</v>
      </c>
      <c r="I990" s="38" t="s">
        <v>143</v>
      </c>
      <c r="J990" s="55" t="n">
        <f aca="false">J994</f>
        <v>616.64</v>
      </c>
    </row>
    <row r="991" customFormat="false" ht="15" hidden="false" customHeight="false" outlineLevel="0" collapsed="false">
      <c r="A991" s="14" t="s">
        <v>282</v>
      </c>
      <c r="B991" s="14" t="s">
        <v>283</v>
      </c>
      <c r="F991" s="38" t="s">
        <v>121</v>
      </c>
      <c r="G991" s="38" t="s">
        <v>284</v>
      </c>
      <c r="H991" s="38" t="s">
        <v>285</v>
      </c>
      <c r="I991" s="38" t="s">
        <v>286</v>
      </c>
      <c r="J991" s="38" t="s">
        <v>287</v>
      </c>
    </row>
    <row r="992" customFormat="false" ht="15" hidden="false" customHeight="false" outlineLevel="0" collapsed="false">
      <c r="B992" s="56" t="s">
        <v>293</v>
      </c>
    </row>
    <row r="993" customFormat="false" ht="15" hidden="false" customHeight="false" outlineLevel="0" collapsed="false">
      <c r="B993" s="1" t="s">
        <v>606</v>
      </c>
      <c r="H993" s="59" t="n">
        <v>1</v>
      </c>
      <c r="I993" s="30" t="n">
        <v>616.64</v>
      </c>
      <c r="J993" s="30" t="n">
        <f aca="false">H993*I993</f>
        <v>616.64</v>
      </c>
      <c r="K993" s="1" t="n">
        <v>39</v>
      </c>
    </row>
    <row r="994" customFormat="false" ht="15" hidden="false" customHeight="false" outlineLevel="0" collapsed="false">
      <c r="A994" s="62"/>
      <c r="B994" s="62"/>
      <c r="C994" s="62"/>
      <c r="D994" s="62"/>
      <c r="E994" s="62"/>
      <c r="F994" s="66"/>
      <c r="G994" s="62"/>
      <c r="H994" s="68"/>
      <c r="I994" s="69"/>
      <c r="J994" s="63" t="n">
        <f aca="false">ROUND(SUM(J993),2)</f>
        <v>616.64</v>
      </c>
    </row>
    <row r="996" customFormat="false" ht="15" hidden="false" customHeight="false" outlineLevel="0" collapsed="false">
      <c r="A996" s="14" t="s">
        <v>276</v>
      </c>
      <c r="B996" s="14" t="str">
        <f aca="false">ESTRUCTURA!A83</f>
        <v>02.04.02.01</v>
      </c>
      <c r="C996" s="14" t="s">
        <v>609</v>
      </c>
      <c r="D996" s="14"/>
      <c r="E996" s="14"/>
      <c r="F996" s="14"/>
      <c r="G996" s="14"/>
      <c r="H996" s="14"/>
      <c r="I996" s="14"/>
    </row>
    <row r="997" customFormat="false" ht="15" hidden="false" customHeight="false" outlineLevel="0" collapsed="false">
      <c r="A997" s="14" t="s">
        <v>277</v>
      </c>
      <c r="B997" s="14" t="s">
        <v>415</v>
      </c>
      <c r="C997" s="38" t="s">
        <v>279</v>
      </c>
      <c r="D997" s="54" t="n">
        <v>30</v>
      </c>
      <c r="E997" s="38" t="s">
        <v>280</v>
      </c>
      <c r="F997" s="54" t="n">
        <f aca="false">D997</f>
        <v>30</v>
      </c>
      <c r="G997" s="14" t="s">
        <v>281</v>
      </c>
      <c r="I997" s="38" t="s">
        <v>202</v>
      </c>
      <c r="J997" s="55" t="n">
        <f aca="false">J1004+J1009+J1013</f>
        <v>445.67</v>
      </c>
    </row>
    <row r="998" customFormat="false" ht="15" hidden="false" customHeight="false" outlineLevel="0" collapsed="false">
      <c r="A998" s="14" t="s">
        <v>282</v>
      </c>
      <c r="B998" s="14" t="s">
        <v>283</v>
      </c>
      <c r="F998" s="38" t="s">
        <v>121</v>
      </c>
      <c r="G998" s="38" t="s">
        <v>284</v>
      </c>
      <c r="H998" s="38" t="s">
        <v>285</v>
      </c>
      <c r="I998" s="38" t="s">
        <v>286</v>
      </c>
      <c r="J998" s="38" t="s">
        <v>287</v>
      </c>
    </row>
    <row r="999" customFormat="false" ht="15" hidden="false" customHeight="false" outlineLevel="0" collapsed="false">
      <c r="B999" s="56" t="s">
        <v>288</v>
      </c>
    </row>
    <row r="1000" customFormat="false" ht="15" hidden="false" customHeight="false" outlineLevel="0" collapsed="false">
      <c r="B1000" s="1" t="s">
        <v>649</v>
      </c>
      <c r="F1000" s="57" t="s">
        <v>290</v>
      </c>
      <c r="G1000" s="58" t="n">
        <v>0.1</v>
      </c>
      <c r="H1000" s="59" t="n">
        <f aca="false">G1000*8/$D$883</f>
        <v>0.0266666666666667</v>
      </c>
      <c r="I1000" s="30" t="n">
        <v>34.73</v>
      </c>
      <c r="J1000" s="30" t="n">
        <f aca="false">H1000*I1000</f>
        <v>0.926133333333333</v>
      </c>
      <c r="K1000" s="1" t="n">
        <v>47</v>
      </c>
    </row>
    <row r="1001" customFormat="false" ht="15" hidden="false" customHeight="false" outlineLevel="0" collapsed="false">
      <c r="B1001" s="1" t="s">
        <v>289</v>
      </c>
      <c r="F1001" s="57" t="s">
        <v>290</v>
      </c>
      <c r="G1001" s="58" t="n">
        <v>2</v>
      </c>
      <c r="H1001" s="59" t="n">
        <f aca="false">G1001*8/$D$883</f>
        <v>0.533333333333333</v>
      </c>
      <c r="I1001" s="30" t="n">
        <v>28.94</v>
      </c>
      <c r="J1001" s="30" t="n">
        <f aca="false">H1001*I1001</f>
        <v>15.4346666666667</v>
      </c>
      <c r="K1001" s="1" t="n">
        <v>47</v>
      </c>
    </row>
    <row r="1002" customFormat="false" ht="15" hidden="false" customHeight="false" outlineLevel="0" collapsed="false">
      <c r="B1002" s="1" t="s">
        <v>291</v>
      </c>
      <c r="F1002" s="57" t="s">
        <v>290</v>
      </c>
      <c r="G1002" s="58" t="n">
        <v>1</v>
      </c>
      <c r="H1002" s="59" t="n">
        <f aca="false">G1002*8/$D$883</f>
        <v>0.266666666666667</v>
      </c>
      <c r="I1002" s="30" t="n">
        <v>22.66</v>
      </c>
      <c r="J1002" s="30" t="n">
        <f aca="false">H1002*I1002</f>
        <v>6.04266666666667</v>
      </c>
      <c r="K1002" s="1" t="n">
        <v>47</v>
      </c>
    </row>
    <row r="1003" customFormat="false" ht="15" hidden="false" customHeight="false" outlineLevel="0" collapsed="false">
      <c r="B1003" s="1" t="s">
        <v>292</v>
      </c>
      <c r="F1003" s="57" t="s">
        <v>290</v>
      </c>
      <c r="G1003" s="58" t="n">
        <v>4</v>
      </c>
      <c r="H1003" s="59" t="n">
        <f aca="false">G1003*8/$D$883</f>
        <v>1.06666666666667</v>
      </c>
      <c r="I1003" s="30" t="n">
        <v>20.51</v>
      </c>
      <c r="J1003" s="30" t="n">
        <f aca="false">H1003*I1003</f>
        <v>21.8773333333333</v>
      </c>
      <c r="K1003" s="1" t="n">
        <v>47</v>
      </c>
    </row>
    <row r="1004" customFormat="false" ht="15" hidden="false" customHeight="false" outlineLevel="0" collapsed="false">
      <c r="J1004" s="55" t="n">
        <f aca="false">ROUND(SUM(J1000:J1003),2)</f>
        <v>44.28</v>
      </c>
    </row>
    <row r="1005" customFormat="false" ht="15" hidden="false" customHeight="false" outlineLevel="0" collapsed="false">
      <c r="B1005" s="56" t="s">
        <v>293</v>
      </c>
    </row>
    <row r="1006" customFormat="false" ht="15" hidden="false" customHeight="false" outlineLevel="0" collapsed="false">
      <c r="B1006" s="1" t="s">
        <v>718</v>
      </c>
      <c r="E1006" s="1" t="s">
        <v>295</v>
      </c>
      <c r="H1006" s="59" t="n">
        <v>0.1</v>
      </c>
      <c r="I1006" s="30" t="n">
        <v>24.52</v>
      </c>
      <c r="J1006" s="30" t="n">
        <f aca="false">H1006*I1006</f>
        <v>2.452</v>
      </c>
      <c r="K1006" s="1" t="n">
        <v>21</v>
      </c>
    </row>
    <row r="1007" customFormat="false" ht="15" hidden="false" customHeight="false" outlineLevel="0" collapsed="false">
      <c r="B1007" s="1" t="s">
        <v>719</v>
      </c>
      <c r="E1007" s="1" t="s">
        <v>295</v>
      </c>
      <c r="H1007" s="59" t="n">
        <v>1.02</v>
      </c>
      <c r="I1007" s="30" t="n">
        <v>358</v>
      </c>
      <c r="J1007" s="30" t="n">
        <f aca="false">H1007*I1007</f>
        <v>365.16</v>
      </c>
      <c r="K1007" s="1" t="n">
        <v>80</v>
      </c>
    </row>
    <row r="1008" customFormat="false" ht="15" hidden="false" customHeight="false" outlineLevel="0" collapsed="false">
      <c r="B1008" s="1" t="s">
        <v>720</v>
      </c>
      <c r="E1008" s="1" t="s">
        <v>304</v>
      </c>
      <c r="H1008" s="59" t="n">
        <v>1.02</v>
      </c>
      <c r="I1008" s="30" t="n">
        <v>30</v>
      </c>
      <c r="J1008" s="30" t="n">
        <f aca="false">H1008*I1008</f>
        <v>30.6</v>
      </c>
      <c r="K1008" s="1" t="n">
        <v>39</v>
      </c>
    </row>
    <row r="1009" customFormat="false" ht="15" hidden="false" customHeight="false" outlineLevel="0" collapsed="false">
      <c r="J1009" s="55" t="n">
        <f aca="false">ROUND(SUM(J1006:J1008),2)</f>
        <v>398.21</v>
      </c>
    </row>
    <row r="1010" customFormat="false" ht="15" hidden="false" customHeight="false" outlineLevel="0" collapsed="false">
      <c r="B1010" s="56" t="s">
        <v>317</v>
      </c>
    </row>
    <row r="1011" customFormat="false" ht="15" hidden="false" customHeight="false" outlineLevel="0" collapsed="false">
      <c r="B1011" s="1" t="s">
        <v>309</v>
      </c>
      <c r="F1011" s="57" t="s">
        <v>310</v>
      </c>
      <c r="H1011" s="59" t="n">
        <v>3</v>
      </c>
      <c r="I1011" s="30" t="n">
        <f aca="false">J1004</f>
        <v>44.28</v>
      </c>
      <c r="J1011" s="30" t="n">
        <f aca="false">H1011%*I1011</f>
        <v>1.3284</v>
      </c>
      <c r="K1011" s="1" t="n">
        <v>37</v>
      </c>
    </row>
    <row r="1012" customFormat="false" ht="15" hidden="false" customHeight="false" outlineLevel="0" collapsed="false">
      <c r="B1012" s="1" t="s">
        <v>721</v>
      </c>
      <c r="F1012" s="57" t="s">
        <v>337</v>
      </c>
      <c r="G1012" s="58" t="n">
        <v>1</v>
      </c>
      <c r="H1012" s="59" t="n">
        <f aca="false">G1012*8/$D$883</f>
        <v>0.266666666666667</v>
      </c>
      <c r="I1012" s="30" t="n">
        <v>6.93</v>
      </c>
      <c r="J1012" s="30" t="n">
        <f aca="false">H1012*I1012</f>
        <v>1.848</v>
      </c>
      <c r="K1012" s="1" t="n">
        <v>49</v>
      </c>
    </row>
    <row r="1013" customFormat="false" ht="15" hidden="false" customHeight="false" outlineLevel="0" collapsed="false">
      <c r="A1013" s="62"/>
      <c r="B1013" s="62"/>
      <c r="C1013" s="62"/>
      <c r="D1013" s="62"/>
      <c r="E1013" s="62"/>
      <c r="F1013" s="62"/>
      <c r="G1013" s="62"/>
      <c r="H1013" s="62"/>
      <c r="I1013" s="62"/>
      <c r="J1013" s="63" t="n">
        <f aca="false">ROUND(SUM(J1011:J1012),2)</f>
        <v>3.18</v>
      </c>
    </row>
    <row r="1014" customFormat="false" ht="15" hidden="false" customHeight="false" outlineLevel="0" collapsed="false">
      <c r="J1014" s="55"/>
    </row>
    <row r="1015" customFormat="false" ht="15" hidden="false" customHeight="false" outlineLevel="0" collapsed="false">
      <c r="A1015" s="14" t="s">
        <v>276</v>
      </c>
      <c r="B1015" s="14" t="str">
        <f aca="false">ESTRUCTURA!A84</f>
        <v>02.04.02.02</v>
      </c>
      <c r="C1015" s="14" t="s">
        <v>594</v>
      </c>
      <c r="D1015" s="14"/>
      <c r="E1015" s="14"/>
      <c r="F1015" s="14"/>
      <c r="G1015" s="14"/>
      <c r="H1015" s="14"/>
      <c r="I1015" s="14"/>
    </row>
    <row r="1016" customFormat="false" ht="15" hidden="false" customHeight="false" outlineLevel="0" collapsed="false">
      <c r="A1016" s="14" t="s">
        <v>277</v>
      </c>
      <c r="B1016" s="14" t="s">
        <v>415</v>
      </c>
      <c r="C1016" s="38" t="s">
        <v>279</v>
      </c>
      <c r="D1016" s="54" t="n">
        <v>30</v>
      </c>
      <c r="E1016" s="38" t="s">
        <v>280</v>
      </c>
      <c r="F1016" s="54" t="n">
        <f aca="false">D1016</f>
        <v>30</v>
      </c>
      <c r="G1016" s="14" t="s">
        <v>281</v>
      </c>
      <c r="I1016" s="38" t="s">
        <v>202</v>
      </c>
      <c r="J1016" s="55" t="n">
        <f aca="false">J1023+J1028+J1032</f>
        <v>445.67</v>
      </c>
    </row>
    <row r="1017" customFormat="false" ht="15" hidden="false" customHeight="false" outlineLevel="0" collapsed="false">
      <c r="A1017" s="14" t="s">
        <v>282</v>
      </c>
      <c r="B1017" s="14" t="s">
        <v>283</v>
      </c>
      <c r="F1017" s="38" t="s">
        <v>121</v>
      </c>
      <c r="G1017" s="38" t="s">
        <v>284</v>
      </c>
      <c r="H1017" s="38" t="s">
        <v>285</v>
      </c>
      <c r="I1017" s="38" t="s">
        <v>286</v>
      </c>
      <c r="J1017" s="38" t="s">
        <v>287</v>
      </c>
    </row>
    <row r="1018" customFormat="false" ht="15" hidden="false" customHeight="false" outlineLevel="0" collapsed="false">
      <c r="B1018" s="56" t="s">
        <v>288</v>
      </c>
    </row>
    <row r="1019" customFormat="false" ht="15" hidden="false" customHeight="false" outlineLevel="0" collapsed="false">
      <c r="B1019" s="1" t="s">
        <v>649</v>
      </c>
      <c r="F1019" s="57" t="s">
        <v>290</v>
      </c>
      <c r="G1019" s="58" t="n">
        <v>0.1</v>
      </c>
      <c r="H1019" s="59" t="n">
        <f aca="false">G1019*8/$D$1016</f>
        <v>0.0266666666666667</v>
      </c>
      <c r="I1019" s="30" t="n">
        <v>34.73</v>
      </c>
      <c r="J1019" s="30" t="n">
        <f aca="false">H1019*I1019</f>
        <v>0.926133333333333</v>
      </c>
      <c r="K1019" s="1" t="n">
        <v>47</v>
      </c>
    </row>
    <row r="1020" customFormat="false" ht="15" hidden="false" customHeight="false" outlineLevel="0" collapsed="false">
      <c r="B1020" s="1" t="s">
        <v>289</v>
      </c>
      <c r="F1020" s="57" t="s">
        <v>290</v>
      </c>
      <c r="G1020" s="58" t="n">
        <v>2</v>
      </c>
      <c r="H1020" s="59" t="n">
        <f aca="false">G1020*8/$D$1016</f>
        <v>0.533333333333333</v>
      </c>
      <c r="I1020" s="30" t="n">
        <v>28.94</v>
      </c>
      <c r="J1020" s="30" t="n">
        <f aca="false">H1020*I1020</f>
        <v>15.4346666666667</v>
      </c>
      <c r="K1020" s="1" t="n">
        <v>47</v>
      </c>
    </row>
    <row r="1021" customFormat="false" ht="15" hidden="false" customHeight="false" outlineLevel="0" collapsed="false">
      <c r="B1021" s="1" t="s">
        <v>291</v>
      </c>
      <c r="F1021" s="57" t="s">
        <v>290</v>
      </c>
      <c r="G1021" s="58" t="n">
        <v>1</v>
      </c>
      <c r="H1021" s="59" t="n">
        <f aca="false">G1021*8/$D$1016</f>
        <v>0.266666666666667</v>
      </c>
      <c r="I1021" s="30" t="n">
        <v>22.66</v>
      </c>
      <c r="J1021" s="30" t="n">
        <f aca="false">H1021*I1021</f>
        <v>6.04266666666667</v>
      </c>
      <c r="K1021" s="1" t="n">
        <v>47</v>
      </c>
    </row>
    <row r="1022" customFormat="false" ht="15" hidden="false" customHeight="false" outlineLevel="0" collapsed="false">
      <c r="B1022" s="1" t="s">
        <v>292</v>
      </c>
      <c r="F1022" s="57" t="s">
        <v>290</v>
      </c>
      <c r="G1022" s="58" t="n">
        <v>4</v>
      </c>
      <c r="H1022" s="59" t="n">
        <f aca="false">G1022*8/$D$1016</f>
        <v>1.06666666666667</v>
      </c>
      <c r="I1022" s="30" t="n">
        <v>20.51</v>
      </c>
      <c r="J1022" s="30" t="n">
        <f aca="false">H1022*I1022</f>
        <v>21.8773333333333</v>
      </c>
      <c r="K1022" s="1" t="n">
        <v>47</v>
      </c>
    </row>
    <row r="1023" customFormat="false" ht="15" hidden="false" customHeight="false" outlineLevel="0" collapsed="false">
      <c r="J1023" s="55" t="n">
        <f aca="false">ROUND(SUM(J1019:J1022),2)</f>
        <v>44.28</v>
      </c>
    </row>
    <row r="1024" customFormat="false" ht="15" hidden="false" customHeight="false" outlineLevel="0" collapsed="false">
      <c r="B1024" s="56" t="s">
        <v>293</v>
      </c>
    </row>
    <row r="1025" customFormat="false" ht="15" hidden="false" customHeight="false" outlineLevel="0" collapsed="false">
      <c r="B1025" s="1" t="s">
        <v>718</v>
      </c>
      <c r="E1025" s="1" t="s">
        <v>295</v>
      </c>
      <c r="H1025" s="59" t="n">
        <v>0.1</v>
      </c>
      <c r="I1025" s="30" t="n">
        <v>24.52</v>
      </c>
      <c r="J1025" s="30" t="n">
        <f aca="false">H1025*I1025</f>
        <v>2.452</v>
      </c>
      <c r="K1025" s="1" t="n">
        <v>21</v>
      </c>
    </row>
    <row r="1026" customFormat="false" ht="15" hidden="false" customHeight="false" outlineLevel="0" collapsed="false">
      <c r="B1026" s="1" t="s">
        <v>719</v>
      </c>
      <c r="E1026" s="1" t="s">
        <v>295</v>
      </c>
      <c r="H1026" s="59" t="n">
        <v>1.02</v>
      </c>
      <c r="I1026" s="1" t="n">
        <v>358</v>
      </c>
      <c r="J1026" s="30" t="n">
        <f aca="false">H1026*I1026</f>
        <v>365.16</v>
      </c>
      <c r="K1026" s="1" t="n">
        <v>80</v>
      </c>
    </row>
    <row r="1027" customFormat="false" ht="15" hidden="false" customHeight="false" outlineLevel="0" collapsed="false">
      <c r="B1027" s="1" t="s">
        <v>720</v>
      </c>
      <c r="E1027" s="1" t="s">
        <v>304</v>
      </c>
      <c r="H1027" s="59" t="n">
        <v>1.02</v>
      </c>
      <c r="I1027" s="30" t="n">
        <v>30</v>
      </c>
      <c r="J1027" s="30" t="n">
        <f aca="false">H1027*I1027</f>
        <v>30.6</v>
      </c>
      <c r="K1027" s="1" t="n">
        <v>39</v>
      </c>
    </row>
    <row r="1028" customFormat="false" ht="15" hidden="false" customHeight="false" outlineLevel="0" collapsed="false">
      <c r="J1028" s="55" t="n">
        <f aca="false">ROUND(SUM(J1025:J1027),2)</f>
        <v>398.21</v>
      </c>
    </row>
    <row r="1029" customFormat="false" ht="15" hidden="false" customHeight="false" outlineLevel="0" collapsed="false">
      <c r="B1029" s="56" t="s">
        <v>317</v>
      </c>
    </row>
    <row r="1030" customFormat="false" ht="15" hidden="false" customHeight="false" outlineLevel="0" collapsed="false">
      <c r="B1030" s="1" t="s">
        <v>309</v>
      </c>
      <c r="F1030" s="57" t="s">
        <v>310</v>
      </c>
      <c r="H1030" s="59" t="n">
        <v>3</v>
      </c>
      <c r="I1030" s="30" t="n">
        <f aca="false">J1023</f>
        <v>44.28</v>
      </c>
      <c r="J1030" s="30" t="n">
        <f aca="false">H1030%*I1030</f>
        <v>1.3284</v>
      </c>
      <c r="K1030" s="1" t="n">
        <v>37</v>
      </c>
    </row>
    <row r="1031" customFormat="false" ht="15" hidden="false" customHeight="false" outlineLevel="0" collapsed="false">
      <c r="B1031" s="1" t="s">
        <v>721</v>
      </c>
      <c r="F1031" s="57" t="s">
        <v>337</v>
      </c>
      <c r="G1031" s="58" t="n">
        <v>1</v>
      </c>
      <c r="H1031" s="59" t="n">
        <f aca="false">G1031*8/$D$1016</f>
        <v>0.266666666666667</v>
      </c>
      <c r="I1031" s="30" t="n">
        <v>6.93</v>
      </c>
      <c r="J1031" s="30" t="n">
        <f aca="false">H1031*I1031</f>
        <v>1.848</v>
      </c>
      <c r="K1031" s="1" t="n">
        <v>49</v>
      </c>
    </row>
    <row r="1032" customFormat="false" ht="15" hidden="false" customHeight="false" outlineLevel="0" collapsed="false">
      <c r="A1032" s="62"/>
      <c r="B1032" s="62"/>
      <c r="C1032" s="62"/>
      <c r="D1032" s="62"/>
      <c r="E1032" s="62"/>
      <c r="F1032" s="62"/>
      <c r="G1032" s="62"/>
      <c r="H1032" s="62"/>
      <c r="I1032" s="62"/>
      <c r="J1032" s="63" t="n">
        <f aca="false">ROUND(SUM(J1030:J1031),2)</f>
        <v>3.18</v>
      </c>
    </row>
    <row r="1033" customFormat="false" ht="15" hidden="false" customHeight="false" outlineLevel="0" collapsed="false">
      <c r="J1033" s="55"/>
    </row>
    <row r="1034" customFormat="false" ht="15" hidden="false" customHeight="false" outlineLevel="0" collapsed="false">
      <c r="A1034" s="14" t="s">
        <v>276</v>
      </c>
      <c r="B1034" s="14" t="str">
        <f aca="false">ESTRUCTURA!A85</f>
        <v>02.04.02.03</v>
      </c>
      <c r="C1034" s="14" t="s">
        <v>596</v>
      </c>
      <c r="D1034" s="14"/>
      <c r="E1034" s="14"/>
      <c r="F1034" s="14"/>
      <c r="G1034" s="14"/>
      <c r="H1034" s="14"/>
      <c r="I1034" s="14"/>
    </row>
    <row r="1035" customFormat="false" ht="15" hidden="false" customHeight="false" outlineLevel="0" collapsed="false">
      <c r="A1035" s="14" t="s">
        <v>277</v>
      </c>
      <c r="B1035" s="14" t="s">
        <v>278</v>
      </c>
      <c r="C1035" s="38" t="s">
        <v>279</v>
      </c>
      <c r="D1035" s="54" t="n">
        <v>25</v>
      </c>
      <c r="E1035" s="38" t="s">
        <v>280</v>
      </c>
      <c r="F1035" s="54" t="n">
        <f aca="false">D1035</f>
        <v>25</v>
      </c>
      <c r="G1035" s="14" t="s">
        <v>281</v>
      </c>
      <c r="I1035" s="38" t="s">
        <v>132</v>
      </c>
      <c r="J1035" s="55" t="n">
        <f aca="false">J1042+J1047+J1051</f>
        <v>118.01</v>
      </c>
    </row>
    <row r="1036" customFormat="false" ht="15" hidden="false" customHeight="false" outlineLevel="0" collapsed="false">
      <c r="A1036" s="14" t="s">
        <v>282</v>
      </c>
      <c r="B1036" s="14" t="s">
        <v>283</v>
      </c>
      <c r="F1036" s="38" t="s">
        <v>121</v>
      </c>
      <c r="G1036" s="38" t="s">
        <v>284</v>
      </c>
      <c r="H1036" s="38" t="s">
        <v>285</v>
      </c>
      <c r="I1036" s="38" t="s">
        <v>286</v>
      </c>
      <c r="J1036" s="38" t="s">
        <v>287</v>
      </c>
    </row>
    <row r="1037" customFormat="false" ht="15" hidden="false" customHeight="false" outlineLevel="0" collapsed="false">
      <c r="B1037" s="56" t="s">
        <v>288</v>
      </c>
    </row>
    <row r="1038" customFormat="false" ht="15" hidden="false" customHeight="false" outlineLevel="0" collapsed="false">
      <c r="B1038" s="1" t="s">
        <v>649</v>
      </c>
      <c r="F1038" s="57" t="s">
        <v>290</v>
      </c>
      <c r="G1038" s="58" t="n">
        <v>0.1</v>
      </c>
      <c r="H1038" s="59" t="n">
        <f aca="false">G1038*8/$D$1035</f>
        <v>0.032</v>
      </c>
      <c r="I1038" s="30" t="n">
        <v>34.73</v>
      </c>
      <c r="J1038" s="30" t="n">
        <f aca="false">H1038*I1038</f>
        <v>1.11136</v>
      </c>
      <c r="K1038" s="1" t="n">
        <v>47</v>
      </c>
    </row>
    <row r="1039" customFormat="false" ht="15" hidden="false" customHeight="false" outlineLevel="0" collapsed="false">
      <c r="B1039" s="1" t="s">
        <v>289</v>
      </c>
      <c r="F1039" s="57" t="s">
        <v>290</v>
      </c>
      <c r="G1039" s="58" t="n">
        <v>1</v>
      </c>
      <c r="H1039" s="59" t="n">
        <f aca="false">G1039*8/$D$1035</f>
        <v>0.32</v>
      </c>
      <c r="I1039" s="30" t="n">
        <v>28.94</v>
      </c>
      <c r="J1039" s="30" t="n">
        <f aca="false">H1039*I1039</f>
        <v>9.2608</v>
      </c>
      <c r="K1039" s="1" t="n">
        <v>47</v>
      </c>
    </row>
    <row r="1040" customFormat="false" ht="15" hidden="false" customHeight="false" outlineLevel="0" collapsed="false">
      <c r="B1040" s="1" t="s">
        <v>291</v>
      </c>
      <c r="F1040" s="57" t="s">
        <v>290</v>
      </c>
      <c r="G1040" s="58" t="n">
        <v>2</v>
      </c>
      <c r="H1040" s="59" t="n">
        <f aca="false">G1040*8/$D$1035</f>
        <v>0.64</v>
      </c>
      <c r="I1040" s="30" t="n">
        <v>22.66</v>
      </c>
      <c r="J1040" s="30" t="n">
        <f aca="false">H1040*I1040</f>
        <v>14.5024</v>
      </c>
      <c r="K1040" s="1" t="n">
        <v>47</v>
      </c>
    </row>
    <row r="1041" customFormat="false" ht="15" hidden="false" customHeight="false" outlineLevel="0" collapsed="false">
      <c r="B1041" s="1" t="s">
        <v>292</v>
      </c>
      <c r="F1041" s="57" t="s">
        <v>290</v>
      </c>
      <c r="G1041" s="58" t="n">
        <v>8</v>
      </c>
      <c r="H1041" s="59" t="n">
        <f aca="false">G1041*8/$D$1035</f>
        <v>2.56</v>
      </c>
      <c r="I1041" s="30" t="n">
        <v>20.51</v>
      </c>
      <c r="J1041" s="30" t="n">
        <f aca="false">H1041*I1041</f>
        <v>52.5056</v>
      </c>
      <c r="K1041" s="1" t="n">
        <v>47</v>
      </c>
    </row>
    <row r="1042" customFormat="false" ht="15" hidden="false" customHeight="false" outlineLevel="0" collapsed="false">
      <c r="J1042" s="55" t="n">
        <f aca="false">ROUND(SUM(J1038:J1041),2)</f>
        <v>77.38</v>
      </c>
    </row>
    <row r="1043" customFormat="false" ht="15" hidden="false" customHeight="false" outlineLevel="0" collapsed="false">
      <c r="B1043" s="56" t="s">
        <v>293</v>
      </c>
    </row>
    <row r="1044" customFormat="false" ht="15" hidden="false" customHeight="false" outlineLevel="0" collapsed="false">
      <c r="B1044" s="1" t="s">
        <v>722</v>
      </c>
      <c r="E1044" s="1" t="s">
        <v>295</v>
      </c>
      <c r="H1044" s="59" t="n">
        <v>0.1</v>
      </c>
      <c r="I1044" s="30" t="n">
        <v>4.64</v>
      </c>
      <c r="J1044" s="30" t="n">
        <f aca="false">H1044*I1044</f>
        <v>0.464</v>
      </c>
      <c r="K1044" s="1" t="n">
        <v>2</v>
      </c>
    </row>
    <row r="1045" customFormat="false" ht="15" hidden="false" customHeight="false" outlineLevel="0" collapsed="false">
      <c r="B1045" s="1" t="s">
        <v>723</v>
      </c>
      <c r="E1045" s="1" t="s">
        <v>295</v>
      </c>
      <c r="H1045" s="59" t="n">
        <v>0.15</v>
      </c>
      <c r="I1045" s="1" t="n">
        <v>4.16</v>
      </c>
      <c r="J1045" s="30" t="n">
        <f aca="false">H1045*I1045</f>
        <v>0.624</v>
      </c>
      <c r="K1045" s="1" t="n">
        <v>2</v>
      </c>
    </row>
    <row r="1046" customFormat="false" ht="15" hidden="false" customHeight="false" outlineLevel="0" collapsed="false">
      <c r="B1046" s="1" t="s">
        <v>307</v>
      </c>
      <c r="E1046" s="1" t="s">
        <v>304</v>
      </c>
      <c r="H1046" s="59" t="n">
        <v>6.1138</v>
      </c>
      <c r="I1046" s="30" t="n">
        <v>5.8</v>
      </c>
      <c r="J1046" s="30" t="n">
        <f aca="false">H1046*I1046</f>
        <v>35.46004</v>
      </c>
      <c r="K1046" s="1" t="n">
        <v>43</v>
      </c>
    </row>
    <row r="1047" customFormat="false" ht="15" hidden="false" customHeight="false" outlineLevel="0" collapsed="false">
      <c r="J1047" s="55" t="n">
        <f aca="false">ROUND(SUM(J1044:J1046),2)</f>
        <v>36.55</v>
      </c>
    </row>
    <row r="1048" customFormat="false" ht="15" hidden="false" customHeight="false" outlineLevel="0" collapsed="false">
      <c r="B1048" s="56" t="s">
        <v>317</v>
      </c>
    </row>
    <row r="1049" customFormat="false" ht="15" hidden="false" customHeight="false" outlineLevel="0" collapsed="false">
      <c r="B1049" s="1" t="s">
        <v>309</v>
      </c>
      <c r="F1049" s="57" t="s">
        <v>310</v>
      </c>
      <c r="H1049" s="59" t="n">
        <v>3</v>
      </c>
      <c r="I1049" s="30" t="n">
        <f aca="false">J1042</f>
        <v>77.38</v>
      </c>
      <c r="J1049" s="30" t="n">
        <f aca="false">H1049%*I1049</f>
        <v>2.3214</v>
      </c>
      <c r="K1049" s="1" t="n">
        <v>37</v>
      </c>
    </row>
    <row r="1050" customFormat="false" ht="15" hidden="false" customHeight="false" outlineLevel="0" collapsed="false">
      <c r="B1050" s="1" t="s">
        <v>724</v>
      </c>
      <c r="F1050" s="57" t="s">
        <v>337</v>
      </c>
      <c r="G1050" s="58" t="n">
        <v>1</v>
      </c>
      <c r="H1050" s="59" t="n">
        <f aca="false">G1050*8/$D$1035</f>
        <v>0.32</v>
      </c>
      <c r="I1050" s="30" t="n">
        <v>5.5</v>
      </c>
      <c r="J1050" s="30" t="n">
        <f aca="false">H1050*I1050</f>
        <v>1.76</v>
      </c>
      <c r="K1050" s="1" t="n">
        <v>39</v>
      </c>
    </row>
    <row r="1051" customFormat="false" ht="15" hidden="false" customHeight="false" outlineLevel="0" collapsed="false">
      <c r="A1051" s="62"/>
      <c r="B1051" s="62"/>
      <c r="C1051" s="62"/>
      <c r="D1051" s="62"/>
      <c r="E1051" s="62"/>
      <c r="F1051" s="62"/>
      <c r="G1051" s="62"/>
      <c r="H1051" s="62"/>
      <c r="I1051" s="62"/>
      <c r="J1051" s="63" t="n">
        <f aca="false">ROUND(SUM(J1049:J1050),2)</f>
        <v>4.08</v>
      </c>
    </row>
    <row r="1052" customFormat="false" ht="15" hidden="false" customHeight="false" outlineLevel="0" collapsed="false">
      <c r="J1052" s="55"/>
    </row>
    <row r="1053" customFormat="false" ht="15" hidden="false" customHeight="false" outlineLevel="0" collapsed="false">
      <c r="A1053" s="14" t="s">
        <v>276</v>
      </c>
      <c r="B1053" s="14" t="str">
        <f aca="false">ESTRUCTURA!A86</f>
        <v>02.04.02.04</v>
      </c>
      <c r="C1053" s="14" t="s">
        <v>598</v>
      </c>
      <c r="D1053" s="14"/>
    </row>
    <row r="1054" customFormat="false" ht="15" hidden="false" customHeight="false" outlineLevel="0" collapsed="false">
      <c r="A1054" s="14" t="s">
        <v>277</v>
      </c>
      <c r="B1054" s="14" t="s">
        <v>415</v>
      </c>
      <c r="C1054" s="38" t="s">
        <v>279</v>
      </c>
      <c r="D1054" s="54" t="n">
        <v>1</v>
      </c>
      <c r="E1054" s="38" t="s">
        <v>280</v>
      </c>
      <c r="F1054" s="54" t="n">
        <f aca="false">D1054</f>
        <v>1</v>
      </c>
      <c r="G1054" s="14" t="s">
        <v>281</v>
      </c>
      <c r="I1054" s="38" t="s">
        <v>202</v>
      </c>
      <c r="J1054" s="55" t="n">
        <f aca="false">J1058</f>
        <v>358</v>
      </c>
    </row>
    <row r="1055" customFormat="false" ht="15" hidden="false" customHeight="false" outlineLevel="0" collapsed="false">
      <c r="A1055" s="14" t="s">
        <v>282</v>
      </c>
      <c r="B1055" s="14" t="s">
        <v>283</v>
      </c>
      <c r="F1055" s="38" t="s">
        <v>121</v>
      </c>
      <c r="G1055" s="38" t="s">
        <v>284</v>
      </c>
      <c r="H1055" s="38" t="s">
        <v>285</v>
      </c>
      <c r="I1055" s="38" t="s">
        <v>286</v>
      </c>
      <c r="J1055" s="38" t="s">
        <v>287</v>
      </c>
    </row>
    <row r="1056" customFormat="false" ht="15" hidden="false" customHeight="false" outlineLevel="0" collapsed="false">
      <c r="B1056" s="56" t="s">
        <v>293</v>
      </c>
    </row>
    <row r="1057" customFormat="false" ht="15" hidden="false" customHeight="false" outlineLevel="0" collapsed="false">
      <c r="B1057" s="1" t="s">
        <v>598</v>
      </c>
      <c r="H1057" s="59" t="n">
        <v>1</v>
      </c>
      <c r="I1057" s="30" t="n">
        <v>358</v>
      </c>
      <c r="J1057" s="30" t="n">
        <f aca="false">H1057*I1057</f>
        <v>358</v>
      </c>
      <c r="K1057" s="1" t="n">
        <v>80</v>
      </c>
    </row>
    <row r="1058" customFormat="false" ht="15" hidden="false" customHeight="false" outlineLevel="0" collapsed="false">
      <c r="A1058" s="62"/>
      <c r="B1058" s="62"/>
      <c r="C1058" s="62"/>
      <c r="D1058" s="62"/>
      <c r="E1058" s="62"/>
      <c r="F1058" s="66"/>
      <c r="G1058" s="62"/>
      <c r="H1058" s="68"/>
      <c r="I1058" s="69"/>
      <c r="J1058" s="63" t="n">
        <f aca="false">ROUND(SUM(J1057),2)</f>
        <v>358</v>
      </c>
    </row>
    <row r="1060" customFormat="false" ht="15" hidden="false" customHeight="false" outlineLevel="0" collapsed="false">
      <c r="A1060" s="14" t="s">
        <v>276</v>
      </c>
      <c r="B1060" s="14" t="str">
        <f aca="false">ESTRUCTURA!A87</f>
        <v>02.04.02.05</v>
      </c>
      <c r="C1060" s="14" t="s">
        <v>728</v>
      </c>
      <c r="D1060" s="14"/>
      <c r="E1060" s="14"/>
      <c r="F1060" s="14"/>
      <c r="G1060" s="14"/>
      <c r="H1060" s="14"/>
      <c r="I1060" s="14"/>
    </row>
    <row r="1061" customFormat="false" ht="15" hidden="false" customHeight="false" outlineLevel="0" collapsed="false">
      <c r="A1061" s="14" t="s">
        <v>277</v>
      </c>
      <c r="B1061" s="14" t="s">
        <v>278</v>
      </c>
      <c r="C1061" s="38" t="s">
        <v>279</v>
      </c>
      <c r="D1061" s="54" t="n">
        <v>250</v>
      </c>
      <c r="E1061" s="38" t="s">
        <v>280</v>
      </c>
      <c r="F1061" s="54" t="n">
        <f aca="false">D1061</f>
        <v>250</v>
      </c>
      <c r="G1061" s="14" t="s">
        <v>281</v>
      </c>
      <c r="I1061" s="38" t="s">
        <v>132</v>
      </c>
      <c r="J1061" s="55" t="n">
        <f aca="false">J1065+J1068+J1071</f>
        <v>2.95</v>
      </c>
    </row>
    <row r="1062" customFormat="false" ht="15" hidden="false" customHeight="false" outlineLevel="0" collapsed="false">
      <c r="A1062" s="14" t="s">
        <v>282</v>
      </c>
      <c r="B1062" s="14" t="s">
        <v>283</v>
      </c>
      <c r="F1062" s="38" t="s">
        <v>121</v>
      </c>
      <c r="G1062" s="38" t="s">
        <v>284</v>
      </c>
      <c r="H1062" s="38" t="s">
        <v>285</v>
      </c>
      <c r="I1062" s="38" t="s">
        <v>286</v>
      </c>
      <c r="J1062" s="38" t="s">
        <v>287</v>
      </c>
    </row>
    <row r="1063" customFormat="false" ht="15" hidden="false" customHeight="false" outlineLevel="0" collapsed="false">
      <c r="B1063" s="56" t="s">
        <v>288</v>
      </c>
    </row>
    <row r="1064" customFormat="false" ht="15" hidden="false" customHeight="false" outlineLevel="0" collapsed="false">
      <c r="B1064" s="1" t="s">
        <v>291</v>
      </c>
      <c r="F1064" s="57" t="s">
        <v>290</v>
      </c>
      <c r="G1064" s="58" t="n">
        <v>1</v>
      </c>
      <c r="H1064" s="59" t="n">
        <f aca="false">G1064*8/$D$1061</f>
        <v>0.032</v>
      </c>
      <c r="I1064" s="30" t="n">
        <v>22.66</v>
      </c>
      <c r="J1064" s="30" t="n">
        <f aca="false">H1064*I1064</f>
        <v>0.72512</v>
      </c>
      <c r="K1064" s="1" t="n">
        <v>47</v>
      </c>
    </row>
    <row r="1065" customFormat="false" ht="15" hidden="false" customHeight="false" outlineLevel="0" collapsed="false">
      <c r="F1065" s="57"/>
      <c r="G1065" s="58"/>
      <c r="H1065" s="59"/>
      <c r="I1065" s="30"/>
      <c r="J1065" s="55" t="n">
        <f aca="false">ROUND(SUM(J1064:J1064),2)</f>
        <v>0.73</v>
      </c>
    </row>
    <row r="1066" customFormat="false" ht="15" hidden="false" customHeight="false" outlineLevel="0" collapsed="false">
      <c r="B1066" s="56" t="s">
        <v>293</v>
      </c>
    </row>
    <row r="1067" customFormat="false" ht="15" hidden="false" customHeight="false" outlineLevel="0" collapsed="false">
      <c r="B1067" s="1" t="s">
        <v>725</v>
      </c>
      <c r="F1067" s="57" t="s">
        <v>437</v>
      </c>
      <c r="H1067" s="59" t="n">
        <v>0.05</v>
      </c>
      <c r="I1067" s="30" t="n">
        <v>43.9</v>
      </c>
      <c r="J1067" s="30" t="n">
        <f aca="false">H1067*I1067</f>
        <v>2.195</v>
      </c>
      <c r="K1067" s="1" t="n">
        <v>30</v>
      </c>
    </row>
    <row r="1068" customFormat="false" ht="15" hidden="false" customHeight="false" outlineLevel="0" collapsed="false">
      <c r="J1068" s="55" t="n">
        <f aca="false">ROUND(SUM(J1067),2)</f>
        <v>2.2</v>
      </c>
    </row>
    <row r="1069" customFormat="false" ht="15" hidden="false" customHeight="false" outlineLevel="0" collapsed="false">
      <c r="B1069" s="56" t="s">
        <v>317</v>
      </c>
    </row>
    <row r="1070" customFormat="false" ht="15" hidden="false" customHeight="false" outlineLevel="0" collapsed="false">
      <c r="B1070" s="1" t="s">
        <v>309</v>
      </c>
      <c r="F1070" s="57" t="s">
        <v>310</v>
      </c>
      <c r="H1070" s="59" t="n">
        <v>3</v>
      </c>
      <c r="I1070" s="30" t="n">
        <f aca="false">J1065</f>
        <v>0.73</v>
      </c>
      <c r="J1070" s="30" t="n">
        <f aca="false">H1070%*I1070</f>
        <v>0.0219</v>
      </c>
      <c r="K1070" s="1" t="n">
        <v>37</v>
      </c>
    </row>
    <row r="1071" customFormat="false" ht="15" hidden="false" customHeight="false" outlineLevel="0" collapsed="false">
      <c r="A1071" s="62"/>
      <c r="B1071" s="62"/>
      <c r="C1071" s="62"/>
      <c r="D1071" s="62"/>
      <c r="E1071" s="62"/>
      <c r="F1071" s="62"/>
      <c r="G1071" s="62"/>
      <c r="H1071" s="62"/>
      <c r="I1071" s="62"/>
      <c r="J1071" s="63" t="n">
        <f aca="false">ROUND(SUM(J1070),2)</f>
        <v>0.02</v>
      </c>
    </row>
    <row r="1072" customFormat="false" ht="15" hidden="false" customHeight="false" outlineLevel="0" collapsed="false">
      <c r="H1072" s="59"/>
      <c r="I1072" s="30"/>
      <c r="J1072" s="30"/>
    </row>
    <row r="1073" customFormat="false" ht="15" hidden="false" customHeight="false" outlineLevel="0" collapsed="false">
      <c r="A1073" s="14" t="s">
        <v>276</v>
      </c>
      <c r="B1073" s="14" t="str">
        <f aca="false">ESTRUCTURA!A88</f>
        <v>02.04.02.06</v>
      </c>
      <c r="C1073" s="14" t="s">
        <v>602</v>
      </c>
      <c r="D1073" s="14"/>
      <c r="E1073" s="14"/>
      <c r="F1073" s="14"/>
      <c r="G1073" s="14"/>
      <c r="H1073" s="14"/>
      <c r="I1073" s="14"/>
    </row>
    <row r="1074" customFormat="false" ht="15" hidden="false" customHeight="false" outlineLevel="0" collapsed="false">
      <c r="A1074" s="14" t="s">
        <v>277</v>
      </c>
      <c r="B1074" s="14" t="s">
        <v>313</v>
      </c>
      <c r="C1074" s="38" t="s">
        <v>279</v>
      </c>
      <c r="D1074" s="54" t="n">
        <v>100</v>
      </c>
      <c r="E1074" s="38" t="s">
        <v>280</v>
      </c>
      <c r="F1074" s="54" t="n">
        <f aca="false">D1074</f>
        <v>100</v>
      </c>
      <c r="G1074" s="14" t="s">
        <v>281</v>
      </c>
      <c r="I1074" s="38" t="s">
        <v>143</v>
      </c>
      <c r="J1074" s="55" t="n">
        <f aca="false">J1079+J1083+J1086</f>
        <v>19.24</v>
      </c>
    </row>
    <row r="1075" customFormat="false" ht="15" hidden="false" customHeight="false" outlineLevel="0" collapsed="false">
      <c r="A1075" s="14" t="s">
        <v>282</v>
      </c>
      <c r="B1075" s="14" t="s">
        <v>283</v>
      </c>
      <c r="F1075" s="38" t="s">
        <v>121</v>
      </c>
      <c r="G1075" s="38" t="s">
        <v>284</v>
      </c>
      <c r="H1075" s="38" t="s">
        <v>285</v>
      </c>
      <c r="I1075" s="38" t="s">
        <v>286</v>
      </c>
      <c r="J1075" s="38" t="s">
        <v>287</v>
      </c>
    </row>
    <row r="1076" customFormat="false" ht="15" hidden="false" customHeight="false" outlineLevel="0" collapsed="false">
      <c r="B1076" s="56" t="s">
        <v>288</v>
      </c>
    </row>
    <row r="1077" customFormat="false" ht="15" hidden="false" customHeight="false" outlineLevel="0" collapsed="false">
      <c r="B1077" s="1" t="s">
        <v>649</v>
      </c>
      <c r="F1077" s="57" t="s">
        <v>290</v>
      </c>
      <c r="G1077" s="58" t="n">
        <v>1</v>
      </c>
      <c r="H1077" s="59" t="n">
        <f aca="false">G1077*8/$D$1074</f>
        <v>0.08</v>
      </c>
      <c r="I1077" s="30" t="n">
        <v>34.73</v>
      </c>
      <c r="J1077" s="30" t="n">
        <f aca="false">H1077*I1077</f>
        <v>2.7784</v>
      </c>
      <c r="K1077" s="1" t="n">
        <v>47</v>
      </c>
    </row>
    <row r="1078" customFormat="false" ht="15" hidden="false" customHeight="false" outlineLevel="0" collapsed="false">
      <c r="B1078" s="1" t="s">
        <v>289</v>
      </c>
      <c r="F1078" s="57" t="s">
        <v>290</v>
      </c>
      <c r="G1078" s="58" t="n">
        <v>0.2</v>
      </c>
      <c r="H1078" s="59" t="n">
        <f aca="false">G1078*8/$D$1074</f>
        <v>0.016</v>
      </c>
      <c r="I1078" s="30" t="n">
        <v>28.94</v>
      </c>
      <c r="J1078" s="30" t="n">
        <f aca="false">H1078*I1078</f>
        <v>0.46304</v>
      </c>
      <c r="K1078" s="1" t="n">
        <v>47</v>
      </c>
    </row>
    <row r="1079" customFormat="false" ht="15" hidden="false" customHeight="false" outlineLevel="0" collapsed="false">
      <c r="F1079" s="57"/>
      <c r="G1079" s="58"/>
      <c r="H1079" s="59"/>
      <c r="I1079" s="30"/>
      <c r="J1079" s="55" t="n">
        <f aca="false">ROUND(SUM(J1077:J1078),2)</f>
        <v>3.24</v>
      </c>
    </row>
    <row r="1080" customFormat="false" ht="15" hidden="false" customHeight="false" outlineLevel="0" collapsed="false">
      <c r="B1080" s="56" t="s">
        <v>293</v>
      </c>
      <c r="F1080" s="57"/>
    </row>
    <row r="1081" customFormat="false" ht="15" hidden="false" customHeight="false" outlineLevel="0" collapsed="false">
      <c r="B1081" s="1" t="s">
        <v>726</v>
      </c>
      <c r="F1081" s="57" t="s">
        <v>132</v>
      </c>
      <c r="H1081" s="59" t="n">
        <v>0.05</v>
      </c>
      <c r="I1081" s="30" t="n">
        <v>18</v>
      </c>
      <c r="J1081" s="30" t="n">
        <f aca="false">H1081*I1081</f>
        <v>0.9</v>
      </c>
      <c r="K1081" s="1" t="n">
        <v>60</v>
      </c>
    </row>
    <row r="1082" customFormat="false" ht="15" hidden="false" customHeight="false" outlineLevel="0" collapsed="false">
      <c r="B1082" s="1" t="s">
        <v>727</v>
      </c>
      <c r="F1082" s="57" t="s">
        <v>437</v>
      </c>
      <c r="H1082" s="59" t="n">
        <v>0.1</v>
      </c>
      <c r="I1082" s="30" t="n">
        <v>150</v>
      </c>
      <c r="J1082" s="30" t="n">
        <f aca="false">H1082*I1082</f>
        <v>15</v>
      </c>
      <c r="K1082" s="1" t="n">
        <v>30</v>
      </c>
    </row>
    <row r="1083" customFormat="false" ht="15" hidden="false" customHeight="false" outlineLevel="0" collapsed="false">
      <c r="J1083" s="55" t="n">
        <f aca="false">ROUND(SUM(J1081:J1082),2)</f>
        <v>15.9</v>
      </c>
    </row>
    <row r="1084" customFormat="false" ht="15" hidden="false" customHeight="false" outlineLevel="0" collapsed="false">
      <c r="B1084" s="56" t="s">
        <v>317</v>
      </c>
    </row>
    <row r="1085" customFormat="false" ht="15" hidden="false" customHeight="false" outlineLevel="0" collapsed="false">
      <c r="B1085" s="1" t="s">
        <v>309</v>
      </c>
      <c r="F1085" s="57" t="s">
        <v>310</v>
      </c>
      <c r="H1085" s="59" t="n">
        <v>3</v>
      </c>
      <c r="I1085" s="30" t="n">
        <f aca="false">J1079</f>
        <v>3.24</v>
      </c>
      <c r="J1085" s="30" t="n">
        <f aca="false">H1085%*I1085</f>
        <v>0.0972</v>
      </c>
      <c r="K1085" s="1" t="n">
        <v>37</v>
      </c>
    </row>
    <row r="1086" customFormat="false" ht="15" hidden="false" customHeight="false" outlineLevel="0" collapsed="false">
      <c r="A1086" s="62"/>
      <c r="B1086" s="62"/>
      <c r="C1086" s="62"/>
      <c r="D1086" s="62"/>
      <c r="E1086" s="62"/>
      <c r="F1086" s="62"/>
      <c r="G1086" s="62"/>
      <c r="H1086" s="62"/>
      <c r="I1086" s="62"/>
      <c r="J1086" s="63" t="n">
        <f aca="false">ROUND(SUM(J1085),2)</f>
        <v>0.1</v>
      </c>
    </row>
    <row r="1087" customFormat="false" ht="15" hidden="false" customHeight="false" outlineLevel="0" collapsed="false">
      <c r="J1087" s="55"/>
    </row>
    <row r="1088" customFormat="false" ht="15" hidden="false" customHeight="false" outlineLevel="0" collapsed="false">
      <c r="A1088" s="14" t="s">
        <v>276</v>
      </c>
      <c r="B1088" s="14" t="str">
        <f aca="false">ESTRUCTURA!A89</f>
        <v>02.04.02.07</v>
      </c>
      <c r="C1088" s="14" t="s">
        <v>604</v>
      </c>
      <c r="D1088" s="14"/>
      <c r="E1088" s="14"/>
      <c r="F1088" s="14"/>
      <c r="G1088" s="14"/>
      <c r="H1088" s="14"/>
      <c r="I1088" s="14"/>
    </row>
    <row r="1089" customFormat="false" ht="15" hidden="false" customHeight="false" outlineLevel="0" collapsed="false">
      <c r="A1089" s="14" t="s">
        <v>277</v>
      </c>
      <c r="B1089" s="14" t="s">
        <v>313</v>
      </c>
      <c r="C1089" s="38" t="s">
        <v>279</v>
      </c>
      <c r="D1089" s="54" t="n">
        <v>100</v>
      </c>
      <c r="E1089" s="38" t="s">
        <v>280</v>
      </c>
      <c r="F1089" s="54" t="n">
        <f aca="false">D1089</f>
        <v>100</v>
      </c>
      <c r="G1089" s="14" t="s">
        <v>281</v>
      </c>
      <c r="I1089" s="38" t="s">
        <v>143</v>
      </c>
      <c r="J1089" s="55" t="n">
        <f aca="false">J1094+J1098+J1101</f>
        <v>19.24</v>
      </c>
    </row>
    <row r="1090" customFormat="false" ht="15" hidden="false" customHeight="false" outlineLevel="0" collapsed="false">
      <c r="A1090" s="14" t="s">
        <v>282</v>
      </c>
      <c r="B1090" s="14" t="s">
        <v>283</v>
      </c>
      <c r="F1090" s="38" t="s">
        <v>121</v>
      </c>
      <c r="G1090" s="38" t="s">
        <v>284</v>
      </c>
      <c r="H1090" s="38" t="s">
        <v>285</v>
      </c>
      <c r="I1090" s="38" t="s">
        <v>286</v>
      </c>
      <c r="J1090" s="38" t="s">
        <v>287</v>
      </c>
    </row>
    <row r="1091" customFormat="false" ht="15" hidden="false" customHeight="false" outlineLevel="0" collapsed="false">
      <c r="B1091" s="56" t="s">
        <v>288</v>
      </c>
    </row>
    <row r="1092" customFormat="false" ht="15" hidden="false" customHeight="false" outlineLevel="0" collapsed="false">
      <c r="B1092" s="1" t="s">
        <v>649</v>
      </c>
      <c r="F1092" s="57" t="s">
        <v>290</v>
      </c>
      <c r="G1092" s="58" t="n">
        <v>1</v>
      </c>
      <c r="H1092" s="59" t="n">
        <f aca="false">G1092*8/$D$1089</f>
        <v>0.08</v>
      </c>
      <c r="I1092" s="30" t="n">
        <v>34.73</v>
      </c>
      <c r="J1092" s="30" t="n">
        <f aca="false">H1092*I1092</f>
        <v>2.7784</v>
      </c>
      <c r="K1092" s="1" t="n">
        <v>47</v>
      </c>
    </row>
    <row r="1093" customFormat="false" ht="15" hidden="false" customHeight="false" outlineLevel="0" collapsed="false">
      <c r="B1093" s="1" t="s">
        <v>289</v>
      </c>
      <c r="F1093" s="57" t="s">
        <v>290</v>
      </c>
      <c r="G1093" s="58" t="n">
        <v>0.2</v>
      </c>
      <c r="H1093" s="59" t="n">
        <f aca="false">G1093*8/$D$1089</f>
        <v>0.016</v>
      </c>
      <c r="I1093" s="30" t="n">
        <v>28.94</v>
      </c>
      <c r="J1093" s="30" t="n">
        <f aca="false">H1093*I1093</f>
        <v>0.46304</v>
      </c>
      <c r="K1093" s="1" t="n">
        <v>47</v>
      </c>
    </row>
    <row r="1094" customFormat="false" ht="15" hidden="false" customHeight="false" outlineLevel="0" collapsed="false">
      <c r="F1094" s="57"/>
      <c r="G1094" s="58"/>
      <c r="H1094" s="59"/>
      <c r="I1094" s="30"/>
      <c r="J1094" s="55" t="n">
        <f aca="false">ROUND(SUM(J1092:J1093),2)</f>
        <v>3.24</v>
      </c>
    </row>
    <row r="1095" customFormat="false" ht="15" hidden="false" customHeight="false" outlineLevel="0" collapsed="false">
      <c r="B1095" s="56" t="s">
        <v>293</v>
      </c>
      <c r="F1095" s="57"/>
    </row>
    <row r="1096" customFormat="false" ht="15" hidden="false" customHeight="false" outlineLevel="0" collapsed="false">
      <c r="B1096" s="1" t="s">
        <v>726</v>
      </c>
      <c r="F1096" s="57" t="s">
        <v>132</v>
      </c>
      <c r="H1096" s="59" t="n">
        <v>0.05</v>
      </c>
      <c r="I1096" s="30" t="n">
        <v>18</v>
      </c>
      <c r="J1096" s="30" t="n">
        <f aca="false">H1096*I1096</f>
        <v>0.9</v>
      </c>
      <c r="K1096" s="1" t="n">
        <v>60</v>
      </c>
    </row>
    <row r="1097" customFormat="false" ht="15" hidden="false" customHeight="false" outlineLevel="0" collapsed="false">
      <c r="B1097" s="1" t="s">
        <v>727</v>
      </c>
      <c r="F1097" s="57" t="s">
        <v>437</v>
      </c>
      <c r="H1097" s="59" t="n">
        <v>0.1</v>
      </c>
      <c r="I1097" s="30" t="n">
        <v>150</v>
      </c>
      <c r="J1097" s="30" t="n">
        <f aca="false">H1097*I1097</f>
        <v>15</v>
      </c>
      <c r="K1097" s="1" t="n">
        <v>30</v>
      </c>
    </row>
    <row r="1098" customFormat="false" ht="15" hidden="false" customHeight="false" outlineLevel="0" collapsed="false">
      <c r="J1098" s="55" t="n">
        <f aca="false">ROUND(SUM(J1096:J1097),2)</f>
        <v>15.9</v>
      </c>
    </row>
    <row r="1099" customFormat="false" ht="15" hidden="false" customHeight="false" outlineLevel="0" collapsed="false">
      <c r="B1099" s="56" t="s">
        <v>317</v>
      </c>
    </row>
    <row r="1100" customFormat="false" ht="15" hidden="false" customHeight="false" outlineLevel="0" collapsed="false">
      <c r="B1100" s="1" t="s">
        <v>309</v>
      </c>
      <c r="F1100" s="57" t="s">
        <v>310</v>
      </c>
      <c r="H1100" s="59" t="n">
        <v>3</v>
      </c>
      <c r="I1100" s="30" t="n">
        <f aca="false">J1094</f>
        <v>3.24</v>
      </c>
      <c r="J1100" s="30" t="n">
        <f aca="false">H1100%*I1100</f>
        <v>0.0972</v>
      </c>
      <c r="K1100" s="1" t="n">
        <v>37</v>
      </c>
    </row>
    <row r="1101" customFormat="false" ht="15" hidden="false" customHeight="false" outlineLevel="0" collapsed="false">
      <c r="A1101" s="62"/>
      <c r="B1101" s="62"/>
      <c r="C1101" s="62"/>
      <c r="D1101" s="62"/>
      <c r="E1101" s="62"/>
      <c r="F1101" s="62"/>
      <c r="G1101" s="62"/>
      <c r="H1101" s="62"/>
      <c r="I1101" s="62"/>
      <c r="J1101" s="63" t="n">
        <f aca="false">ROUND(SUM(J1100),2)</f>
        <v>0.1</v>
      </c>
    </row>
    <row r="1103" customFormat="false" ht="15" hidden="false" customHeight="false" outlineLevel="0" collapsed="false">
      <c r="A1103" s="14" t="s">
        <v>276</v>
      </c>
      <c r="B1103" s="14" t="str">
        <f aca="false">ESTRUCTURA!A90</f>
        <v>02.04.02.08</v>
      </c>
      <c r="C1103" s="14" t="s">
        <v>606</v>
      </c>
      <c r="D1103" s="14"/>
    </row>
    <row r="1104" customFormat="false" ht="15" hidden="false" customHeight="false" outlineLevel="0" collapsed="false">
      <c r="A1104" s="14" t="s">
        <v>277</v>
      </c>
      <c r="B1104" s="14" t="s">
        <v>313</v>
      </c>
      <c r="C1104" s="38" t="s">
        <v>279</v>
      </c>
      <c r="D1104" s="54" t="n">
        <v>1</v>
      </c>
      <c r="E1104" s="38" t="s">
        <v>280</v>
      </c>
      <c r="F1104" s="54" t="n">
        <f aca="false">D1104</f>
        <v>1</v>
      </c>
      <c r="G1104" s="14" t="s">
        <v>281</v>
      </c>
      <c r="I1104" s="38" t="s">
        <v>143</v>
      </c>
      <c r="J1104" s="55" t="n">
        <f aca="false">J1108</f>
        <v>616.64</v>
      </c>
    </row>
    <row r="1105" customFormat="false" ht="15" hidden="false" customHeight="false" outlineLevel="0" collapsed="false">
      <c r="A1105" s="14" t="s">
        <v>282</v>
      </c>
      <c r="B1105" s="14" t="s">
        <v>283</v>
      </c>
      <c r="F1105" s="38" t="s">
        <v>121</v>
      </c>
      <c r="G1105" s="38" t="s">
        <v>284</v>
      </c>
      <c r="H1105" s="38" t="s">
        <v>285</v>
      </c>
      <c r="I1105" s="38" t="s">
        <v>286</v>
      </c>
      <c r="J1105" s="38" t="s">
        <v>287</v>
      </c>
    </row>
    <row r="1106" customFormat="false" ht="15" hidden="false" customHeight="false" outlineLevel="0" collapsed="false">
      <c r="B1106" s="56" t="s">
        <v>293</v>
      </c>
    </row>
    <row r="1107" customFormat="false" ht="15" hidden="false" customHeight="false" outlineLevel="0" collapsed="false">
      <c r="B1107" s="1" t="s">
        <v>606</v>
      </c>
      <c r="H1107" s="59" t="n">
        <v>1</v>
      </c>
      <c r="I1107" s="30" t="n">
        <v>616.64</v>
      </c>
      <c r="J1107" s="30" t="n">
        <f aca="false">H1107*I1107</f>
        <v>616.64</v>
      </c>
      <c r="K1107" s="1" t="n">
        <v>39</v>
      </c>
    </row>
    <row r="1108" customFormat="false" ht="15" hidden="false" customHeight="false" outlineLevel="0" collapsed="false">
      <c r="A1108" s="62"/>
      <c r="B1108" s="62"/>
      <c r="C1108" s="62"/>
      <c r="D1108" s="62"/>
      <c r="E1108" s="62"/>
      <c r="F1108" s="66"/>
      <c r="G1108" s="62"/>
      <c r="H1108" s="68"/>
      <c r="I1108" s="69"/>
      <c r="J1108" s="63" t="n">
        <f aca="false">ROUND(SUM(J1107),2)</f>
        <v>616.64</v>
      </c>
    </row>
    <row r="1109" customFormat="false" ht="15" hidden="false" customHeight="false" outlineLevel="0" collapsed="false">
      <c r="F1109" s="57"/>
      <c r="H1109" s="59"/>
      <c r="I1109" s="30"/>
      <c r="J1109" s="55"/>
    </row>
    <row r="1110" customFormat="false" ht="15" hidden="false" customHeight="false" outlineLevel="0" collapsed="false">
      <c r="A1110" s="14" t="s">
        <v>276</v>
      </c>
      <c r="B1110" s="14" t="str">
        <f aca="false">ESTRUCTURA!A92</f>
        <v>02.04.03.01</v>
      </c>
      <c r="C1110" s="14" t="s">
        <v>619</v>
      </c>
      <c r="D1110" s="14"/>
      <c r="E1110" s="14"/>
      <c r="F1110" s="14"/>
      <c r="G1110" s="14"/>
      <c r="H1110" s="14"/>
      <c r="I1110" s="14"/>
    </row>
    <row r="1111" customFormat="false" ht="15" hidden="false" customHeight="false" outlineLevel="0" collapsed="false">
      <c r="A1111" s="14" t="s">
        <v>277</v>
      </c>
      <c r="B1111" s="14" t="s">
        <v>415</v>
      </c>
      <c r="C1111" s="38" t="s">
        <v>279</v>
      </c>
      <c r="D1111" s="54" t="n">
        <v>25</v>
      </c>
      <c r="E1111" s="38" t="s">
        <v>280</v>
      </c>
      <c r="F1111" s="54" t="n">
        <f aca="false">D1111</f>
        <v>25</v>
      </c>
      <c r="G1111" s="14" t="s">
        <v>281</v>
      </c>
      <c r="I1111" s="38" t="s">
        <v>202</v>
      </c>
      <c r="J1111" s="55" t="n">
        <f aca="false">J1118+J1123+J1127</f>
        <v>447.9</v>
      </c>
    </row>
    <row r="1112" customFormat="false" ht="15" hidden="false" customHeight="false" outlineLevel="0" collapsed="false">
      <c r="A1112" s="14" t="s">
        <v>282</v>
      </c>
      <c r="B1112" s="14" t="s">
        <v>283</v>
      </c>
      <c r="F1112" s="38" t="s">
        <v>121</v>
      </c>
      <c r="G1112" s="38" t="s">
        <v>284</v>
      </c>
      <c r="H1112" s="38" t="s">
        <v>285</v>
      </c>
      <c r="I1112" s="38" t="s">
        <v>286</v>
      </c>
      <c r="J1112" s="38" t="s">
        <v>287</v>
      </c>
    </row>
    <row r="1113" customFormat="false" ht="15" hidden="false" customHeight="false" outlineLevel="0" collapsed="false">
      <c r="B1113" s="56" t="s">
        <v>288</v>
      </c>
    </row>
    <row r="1114" customFormat="false" ht="15" hidden="false" customHeight="false" outlineLevel="0" collapsed="false">
      <c r="B1114" s="1" t="s">
        <v>649</v>
      </c>
      <c r="F1114" s="57" t="s">
        <v>290</v>
      </c>
      <c r="G1114" s="58" t="n">
        <v>0.1</v>
      </c>
      <c r="H1114" s="59" t="n">
        <f aca="false">G1114*8/$D$1111</f>
        <v>0.032</v>
      </c>
      <c r="I1114" s="30" t="n">
        <v>34.73</v>
      </c>
      <c r="J1114" s="30" t="n">
        <f aca="false">H1114*I1114</f>
        <v>1.11136</v>
      </c>
      <c r="K1114" s="1" t="n">
        <v>47</v>
      </c>
    </row>
    <row r="1115" customFormat="false" ht="15" hidden="false" customHeight="false" outlineLevel="0" collapsed="false">
      <c r="B1115" s="1" t="s">
        <v>289</v>
      </c>
      <c r="F1115" s="57" t="s">
        <v>290</v>
      </c>
      <c r="G1115" s="58" t="n">
        <v>2</v>
      </c>
      <c r="H1115" s="59" t="n">
        <f aca="false">G1115*8/$D$1111</f>
        <v>0.64</v>
      </c>
      <c r="I1115" s="30" t="n">
        <v>28.94</v>
      </c>
      <c r="J1115" s="30" t="n">
        <f aca="false">H1115*I1115</f>
        <v>18.5216</v>
      </c>
      <c r="K1115" s="1" t="n">
        <v>47</v>
      </c>
    </row>
    <row r="1116" customFormat="false" ht="15" hidden="false" customHeight="false" outlineLevel="0" collapsed="false">
      <c r="B1116" s="1" t="s">
        <v>291</v>
      </c>
      <c r="F1116" s="57" t="s">
        <v>290</v>
      </c>
      <c r="G1116" s="58" t="n">
        <v>1</v>
      </c>
      <c r="H1116" s="59" t="n">
        <f aca="false">G1116*8/$D$1111</f>
        <v>0.32</v>
      </c>
      <c r="I1116" s="30" t="n">
        <v>22.66</v>
      </c>
      <c r="J1116" s="30" t="n">
        <f aca="false">H1116*I1116</f>
        <v>7.2512</v>
      </c>
      <c r="K1116" s="1" t="n">
        <v>47</v>
      </c>
    </row>
    <row r="1117" customFormat="false" ht="15" hidden="false" customHeight="false" outlineLevel="0" collapsed="false">
      <c r="B1117" s="1" t="s">
        <v>292</v>
      </c>
      <c r="F1117" s="57" t="s">
        <v>290</v>
      </c>
      <c r="G1117" s="58" t="n">
        <v>4</v>
      </c>
      <c r="H1117" s="59" t="n">
        <f aca="false">G1117*8/$D$1111</f>
        <v>1.28</v>
      </c>
      <c r="I1117" s="30" t="n">
        <v>20.51</v>
      </c>
      <c r="J1117" s="30" t="n">
        <f aca="false">H1117*I1117</f>
        <v>26.2528</v>
      </c>
      <c r="K1117" s="1" t="n">
        <v>47</v>
      </c>
    </row>
    <row r="1118" customFormat="false" ht="15" hidden="false" customHeight="false" outlineLevel="0" collapsed="false">
      <c r="J1118" s="55" t="n">
        <f aca="false">ROUND(SUM(J1114:J1117),2)</f>
        <v>53.14</v>
      </c>
    </row>
    <row r="1119" customFormat="false" ht="15" hidden="false" customHeight="false" outlineLevel="0" collapsed="false">
      <c r="B1119" s="56" t="s">
        <v>293</v>
      </c>
    </row>
    <row r="1120" customFormat="false" ht="15" hidden="false" customHeight="false" outlineLevel="0" collapsed="false">
      <c r="B1120" s="1" t="s">
        <v>718</v>
      </c>
      <c r="E1120" s="1" t="s">
        <v>295</v>
      </c>
      <c r="H1120" s="59" t="n">
        <v>0.1</v>
      </c>
      <c r="I1120" s="30" t="n">
        <v>24.52</v>
      </c>
      <c r="J1120" s="30" t="n">
        <f aca="false">H1120*I1120</f>
        <v>2.452</v>
      </c>
      <c r="K1120" s="1" t="n">
        <v>21</v>
      </c>
    </row>
    <row r="1121" customFormat="false" ht="15" hidden="false" customHeight="false" outlineLevel="0" collapsed="false">
      <c r="B1121" s="1" t="s">
        <v>729</v>
      </c>
      <c r="E1121" s="1" t="s">
        <v>295</v>
      </c>
      <c r="H1121" s="59" t="n">
        <v>1.05</v>
      </c>
      <c r="I1121" s="30" t="n">
        <v>340</v>
      </c>
      <c r="J1121" s="30" t="n">
        <f aca="false">H1121*I1121</f>
        <v>357</v>
      </c>
      <c r="K1121" s="1" t="n">
        <v>80</v>
      </c>
    </row>
    <row r="1122" customFormat="false" ht="15" hidden="false" customHeight="false" outlineLevel="0" collapsed="false">
      <c r="B1122" s="1" t="s">
        <v>720</v>
      </c>
      <c r="E1122" s="1" t="s">
        <v>304</v>
      </c>
      <c r="H1122" s="59" t="n">
        <v>1.05</v>
      </c>
      <c r="I1122" s="30" t="n">
        <v>30</v>
      </c>
      <c r="J1122" s="30" t="n">
        <f aca="false">H1122*I1122</f>
        <v>31.5</v>
      </c>
      <c r="K1122" s="1" t="n">
        <v>39</v>
      </c>
    </row>
    <row r="1123" customFormat="false" ht="15" hidden="false" customHeight="false" outlineLevel="0" collapsed="false">
      <c r="J1123" s="55" t="n">
        <f aca="false">ROUND(SUM(J1120:J1122),2)</f>
        <v>390.95</v>
      </c>
    </row>
    <row r="1124" customFormat="false" ht="15" hidden="false" customHeight="false" outlineLevel="0" collapsed="false">
      <c r="B1124" s="56" t="s">
        <v>317</v>
      </c>
    </row>
    <row r="1125" customFormat="false" ht="15" hidden="false" customHeight="false" outlineLevel="0" collapsed="false">
      <c r="B1125" s="1" t="s">
        <v>309</v>
      </c>
      <c r="F1125" s="57" t="s">
        <v>310</v>
      </c>
      <c r="H1125" s="59" t="n">
        <v>3</v>
      </c>
      <c r="I1125" s="30" t="n">
        <f aca="false">J1118</f>
        <v>53.14</v>
      </c>
      <c r="J1125" s="30" t="n">
        <f aca="false">H1125%*I1125</f>
        <v>1.5942</v>
      </c>
      <c r="K1125" s="1" t="n">
        <v>37</v>
      </c>
    </row>
    <row r="1126" customFormat="false" ht="15" hidden="false" customHeight="false" outlineLevel="0" collapsed="false">
      <c r="B1126" s="1" t="s">
        <v>721</v>
      </c>
      <c r="F1126" s="57" t="s">
        <v>337</v>
      </c>
      <c r="G1126" s="58" t="n">
        <v>1</v>
      </c>
      <c r="H1126" s="59" t="n">
        <f aca="false">G1126*8/$D$1111</f>
        <v>0.32</v>
      </c>
      <c r="I1126" s="30" t="n">
        <v>6.93</v>
      </c>
      <c r="J1126" s="30" t="n">
        <f aca="false">H1126*I1126</f>
        <v>2.2176</v>
      </c>
      <c r="K1126" s="1" t="n">
        <v>49</v>
      </c>
    </row>
    <row r="1127" customFormat="false" ht="15" hidden="false" customHeight="false" outlineLevel="0" collapsed="false">
      <c r="A1127" s="62"/>
      <c r="B1127" s="62"/>
      <c r="C1127" s="62"/>
      <c r="D1127" s="62"/>
      <c r="E1127" s="62"/>
      <c r="F1127" s="62"/>
      <c r="G1127" s="62"/>
      <c r="H1127" s="62"/>
      <c r="I1127" s="62"/>
      <c r="J1127" s="63" t="n">
        <f aca="false">ROUND(SUM(J1125:J1126),2)</f>
        <v>3.81</v>
      </c>
    </row>
    <row r="1128" customFormat="false" ht="15" hidden="false" customHeight="false" outlineLevel="0" collapsed="false">
      <c r="F1128" s="57"/>
      <c r="H1128" s="59"/>
      <c r="I1128" s="30"/>
      <c r="J1128" s="30"/>
    </row>
    <row r="1129" customFormat="false" ht="15" hidden="false" customHeight="false" outlineLevel="0" collapsed="false">
      <c r="A1129" s="14" t="s">
        <v>276</v>
      </c>
      <c r="B1129" s="14" t="str">
        <f aca="false">ESTRUCTURA!A93</f>
        <v>02.04.03.02</v>
      </c>
      <c r="C1129" s="14" t="s">
        <v>621</v>
      </c>
      <c r="D1129" s="14"/>
      <c r="E1129" s="14"/>
      <c r="F1129" s="14"/>
      <c r="G1129" s="14"/>
      <c r="H1129" s="14"/>
      <c r="I1129" s="14"/>
    </row>
    <row r="1130" customFormat="false" ht="15" hidden="false" customHeight="false" outlineLevel="0" collapsed="false">
      <c r="A1130" s="14" t="s">
        <v>277</v>
      </c>
      <c r="B1130" s="14" t="s">
        <v>415</v>
      </c>
      <c r="C1130" s="38" t="s">
        <v>279</v>
      </c>
      <c r="D1130" s="54" t="n">
        <v>25</v>
      </c>
      <c r="E1130" s="38" t="s">
        <v>280</v>
      </c>
      <c r="F1130" s="54" t="n">
        <f aca="false">D1130</f>
        <v>25</v>
      </c>
      <c r="G1130" s="14" t="s">
        <v>281</v>
      </c>
      <c r="I1130" s="38" t="s">
        <v>202</v>
      </c>
      <c r="J1130" s="55" t="n">
        <f aca="false">J1137+J1142+J1146</f>
        <v>447.9</v>
      </c>
    </row>
    <row r="1131" customFormat="false" ht="15" hidden="false" customHeight="false" outlineLevel="0" collapsed="false">
      <c r="A1131" s="14" t="s">
        <v>282</v>
      </c>
      <c r="B1131" s="14" t="s">
        <v>283</v>
      </c>
      <c r="F1131" s="38" t="s">
        <v>121</v>
      </c>
      <c r="G1131" s="38" t="s">
        <v>284</v>
      </c>
      <c r="H1131" s="38" t="s">
        <v>285</v>
      </c>
      <c r="I1131" s="38" t="s">
        <v>286</v>
      </c>
      <c r="J1131" s="38" t="s">
        <v>287</v>
      </c>
    </row>
    <row r="1132" customFormat="false" ht="15" hidden="false" customHeight="false" outlineLevel="0" collapsed="false">
      <c r="B1132" s="56" t="s">
        <v>288</v>
      </c>
    </row>
    <row r="1133" customFormat="false" ht="15" hidden="false" customHeight="false" outlineLevel="0" collapsed="false">
      <c r="B1133" s="1" t="s">
        <v>649</v>
      </c>
      <c r="F1133" s="57" t="s">
        <v>290</v>
      </c>
      <c r="G1133" s="58" t="n">
        <v>0.1</v>
      </c>
      <c r="H1133" s="59" t="n">
        <f aca="false">G1133*8/$D$1130</f>
        <v>0.032</v>
      </c>
      <c r="I1133" s="30" t="n">
        <v>34.73</v>
      </c>
      <c r="J1133" s="30" t="n">
        <f aca="false">H1133*I1133</f>
        <v>1.11136</v>
      </c>
      <c r="K1133" s="1" t="n">
        <v>47</v>
      </c>
    </row>
    <row r="1134" customFormat="false" ht="15" hidden="false" customHeight="false" outlineLevel="0" collapsed="false">
      <c r="B1134" s="1" t="s">
        <v>289</v>
      </c>
      <c r="F1134" s="57" t="s">
        <v>290</v>
      </c>
      <c r="G1134" s="58" t="n">
        <v>2</v>
      </c>
      <c r="H1134" s="59" t="n">
        <f aca="false">G1134*8/$D$1130</f>
        <v>0.64</v>
      </c>
      <c r="I1134" s="30" t="n">
        <v>28.94</v>
      </c>
      <c r="J1134" s="30" t="n">
        <f aca="false">H1134*I1134</f>
        <v>18.5216</v>
      </c>
      <c r="K1134" s="1" t="n">
        <v>47</v>
      </c>
    </row>
    <row r="1135" customFormat="false" ht="15" hidden="false" customHeight="false" outlineLevel="0" collapsed="false">
      <c r="B1135" s="1" t="s">
        <v>291</v>
      </c>
      <c r="F1135" s="57" t="s">
        <v>290</v>
      </c>
      <c r="G1135" s="58" t="n">
        <v>1</v>
      </c>
      <c r="H1135" s="59" t="n">
        <f aca="false">G1135*8/$D$1130</f>
        <v>0.32</v>
      </c>
      <c r="I1135" s="30" t="n">
        <v>22.66</v>
      </c>
      <c r="J1135" s="30" t="n">
        <f aca="false">H1135*I1135</f>
        <v>7.2512</v>
      </c>
      <c r="K1135" s="1" t="n">
        <v>47</v>
      </c>
    </row>
    <row r="1136" customFormat="false" ht="15" hidden="false" customHeight="false" outlineLevel="0" collapsed="false">
      <c r="B1136" s="1" t="s">
        <v>292</v>
      </c>
      <c r="F1136" s="57" t="s">
        <v>290</v>
      </c>
      <c r="G1136" s="58" t="n">
        <v>4</v>
      </c>
      <c r="H1136" s="59" t="n">
        <f aca="false">G1136*8/$D$1130</f>
        <v>1.28</v>
      </c>
      <c r="I1136" s="30" t="n">
        <v>20.51</v>
      </c>
      <c r="J1136" s="30" t="n">
        <f aca="false">H1136*I1136</f>
        <v>26.2528</v>
      </c>
      <c r="K1136" s="1" t="n">
        <v>47</v>
      </c>
    </row>
    <row r="1137" customFormat="false" ht="15" hidden="false" customHeight="false" outlineLevel="0" collapsed="false">
      <c r="J1137" s="55" t="n">
        <f aca="false">ROUND(SUM(J1133:J1136),2)</f>
        <v>53.14</v>
      </c>
    </row>
    <row r="1138" customFormat="false" ht="15" hidden="false" customHeight="false" outlineLevel="0" collapsed="false">
      <c r="B1138" s="56" t="s">
        <v>293</v>
      </c>
      <c r="F1138" s="57"/>
    </row>
    <row r="1139" customFormat="false" ht="15" hidden="false" customHeight="false" outlineLevel="0" collapsed="false">
      <c r="B1139" s="1" t="s">
        <v>718</v>
      </c>
      <c r="F1139" s="57" t="s">
        <v>295</v>
      </c>
      <c r="H1139" s="59" t="n">
        <v>0.1</v>
      </c>
      <c r="I1139" s="30" t="n">
        <v>24.52</v>
      </c>
      <c r="J1139" s="30" t="n">
        <f aca="false">H1139*I1139</f>
        <v>2.452</v>
      </c>
      <c r="K1139" s="1" t="n">
        <v>21</v>
      </c>
    </row>
    <row r="1140" customFormat="false" ht="15" hidden="false" customHeight="false" outlineLevel="0" collapsed="false">
      <c r="B1140" s="1" t="s">
        <v>729</v>
      </c>
      <c r="F1140" s="57" t="s">
        <v>295</v>
      </c>
      <c r="H1140" s="59" t="n">
        <v>1.05</v>
      </c>
      <c r="I1140" s="30" t="n">
        <v>340</v>
      </c>
      <c r="J1140" s="30" t="n">
        <f aca="false">H1140*I1140</f>
        <v>357</v>
      </c>
      <c r="K1140" s="1" t="n">
        <v>80</v>
      </c>
    </row>
    <row r="1141" customFormat="false" ht="15" hidden="false" customHeight="false" outlineLevel="0" collapsed="false">
      <c r="B1141" s="1" t="s">
        <v>720</v>
      </c>
      <c r="F1141" s="57" t="s">
        <v>304</v>
      </c>
      <c r="H1141" s="59" t="n">
        <v>1.05</v>
      </c>
      <c r="I1141" s="30" t="n">
        <v>30</v>
      </c>
      <c r="J1141" s="30" t="n">
        <f aca="false">H1141*I1141</f>
        <v>31.5</v>
      </c>
      <c r="K1141" s="1" t="n">
        <v>39</v>
      </c>
    </row>
    <row r="1142" customFormat="false" ht="15" hidden="false" customHeight="false" outlineLevel="0" collapsed="false">
      <c r="J1142" s="55" t="n">
        <f aca="false">ROUND(SUM(J1139:J1141),2)</f>
        <v>390.95</v>
      </c>
    </row>
    <row r="1143" customFormat="false" ht="15" hidden="false" customHeight="false" outlineLevel="0" collapsed="false">
      <c r="B1143" s="56" t="s">
        <v>317</v>
      </c>
    </row>
    <row r="1144" customFormat="false" ht="15" hidden="false" customHeight="false" outlineLevel="0" collapsed="false">
      <c r="B1144" s="1" t="s">
        <v>309</v>
      </c>
      <c r="F1144" s="57" t="s">
        <v>310</v>
      </c>
      <c r="H1144" s="59" t="n">
        <v>3</v>
      </c>
      <c r="I1144" s="30" t="n">
        <f aca="false">J1137</f>
        <v>53.14</v>
      </c>
      <c r="J1144" s="30" t="n">
        <f aca="false">H1144%*I1144</f>
        <v>1.5942</v>
      </c>
      <c r="K1144" s="1" t="n">
        <v>37</v>
      </c>
    </row>
    <row r="1145" customFormat="false" ht="15" hidden="false" customHeight="false" outlineLevel="0" collapsed="false">
      <c r="B1145" s="1" t="s">
        <v>721</v>
      </c>
      <c r="F1145" s="57" t="s">
        <v>337</v>
      </c>
      <c r="G1145" s="58" t="n">
        <v>1</v>
      </c>
      <c r="H1145" s="59" t="n">
        <f aca="false">G1145*8/$D$1130</f>
        <v>0.32</v>
      </c>
      <c r="I1145" s="30" t="n">
        <v>6.93</v>
      </c>
      <c r="J1145" s="30" t="n">
        <f aca="false">H1145*I1145</f>
        <v>2.2176</v>
      </c>
      <c r="K1145" s="1" t="n">
        <v>49</v>
      </c>
    </row>
    <row r="1146" customFormat="false" ht="15" hidden="false" customHeight="false" outlineLevel="0" collapsed="false">
      <c r="A1146" s="62"/>
      <c r="B1146" s="62"/>
      <c r="C1146" s="62"/>
      <c r="D1146" s="62"/>
      <c r="E1146" s="62"/>
      <c r="F1146" s="62"/>
      <c r="G1146" s="62"/>
      <c r="H1146" s="62"/>
      <c r="I1146" s="62"/>
      <c r="J1146" s="63" t="n">
        <f aca="false">ROUND(SUM(J1144:J1145),2)</f>
        <v>3.81</v>
      </c>
    </row>
    <row r="1147" customFormat="false" ht="15" hidden="false" customHeight="false" outlineLevel="0" collapsed="false">
      <c r="J1147" s="55"/>
    </row>
    <row r="1148" customFormat="false" ht="15" hidden="false" customHeight="false" outlineLevel="0" collapsed="false">
      <c r="A1148" s="14" t="s">
        <v>276</v>
      </c>
      <c r="B1148" s="14" t="str">
        <f aca="false">ESTRUCTURA!A94</f>
        <v>02.04.03.03</v>
      </c>
      <c r="C1148" s="14" t="s">
        <v>596</v>
      </c>
      <c r="D1148" s="14"/>
      <c r="E1148" s="14"/>
      <c r="F1148" s="14"/>
      <c r="G1148" s="14"/>
      <c r="H1148" s="14"/>
      <c r="I1148" s="14"/>
    </row>
    <row r="1149" customFormat="false" ht="15" hidden="false" customHeight="false" outlineLevel="0" collapsed="false">
      <c r="A1149" s="14" t="s">
        <v>277</v>
      </c>
      <c r="B1149" s="14" t="s">
        <v>278</v>
      </c>
      <c r="C1149" s="38" t="s">
        <v>279</v>
      </c>
      <c r="D1149" s="54" t="n">
        <v>25</v>
      </c>
      <c r="E1149" s="38" t="s">
        <v>280</v>
      </c>
      <c r="F1149" s="54" t="n">
        <f aca="false">D1149</f>
        <v>25</v>
      </c>
      <c r="G1149" s="14" t="s">
        <v>281</v>
      </c>
      <c r="I1149" s="38" t="s">
        <v>132</v>
      </c>
      <c r="J1149" s="55" t="n">
        <f aca="false">J1156+J1161+J1165</f>
        <v>118.01</v>
      </c>
    </row>
    <row r="1150" customFormat="false" ht="15" hidden="false" customHeight="false" outlineLevel="0" collapsed="false">
      <c r="A1150" s="14" t="s">
        <v>282</v>
      </c>
      <c r="B1150" s="14" t="s">
        <v>283</v>
      </c>
      <c r="F1150" s="38" t="s">
        <v>121</v>
      </c>
      <c r="G1150" s="38" t="s">
        <v>284</v>
      </c>
      <c r="H1150" s="38" t="s">
        <v>285</v>
      </c>
      <c r="I1150" s="38" t="s">
        <v>286</v>
      </c>
      <c r="J1150" s="38" t="s">
        <v>287</v>
      </c>
    </row>
    <row r="1151" customFormat="false" ht="15" hidden="false" customHeight="false" outlineLevel="0" collapsed="false">
      <c r="B1151" s="56" t="s">
        <v>288</v>
      </c>
    </row>
    <row r="1152" customFormat="false" ht="15" hidden="false" customHeight="false" outlineLevel="0" collapsed="false">
      <c r="B1152" s="1" t="s">
        <v>649</v>
      </c>
      <c r="F1152" s="57" t="s">
        <v>290</v>
      </c>
      <c r="G1152" s="58" t="n">
        <v>0.1</v>
      </c>
      <c r="H1152" s="59" t="n">
        <f aca="false">G1152*8/$D$1149</f>
        <v>0.032</v>
      </c>
      <c r="I1152" s="30" t="n">
        <v>34.73</v>
      </c>
      <c r="J1152" s="30" t="n">
        <f aca="false">H1152*I1152</f>
        <v>1.11136</v>
      </c>
      <c r="K1152" s="1" t="n">
        <v>47</v>
      </c>
    </row>
    <row r="1153" customFormat="false" ht="15" hidden="false" customHeight="false" outlineLevel="0" collapsed="false">
      <c r="B1153" s="1" t="s">
        <v>289</v>
      </c>
      <c r="F1153" s="57" t="s">
        <v>290</v>
      </c>
      <c r="G1153" s="58" t="n">
        <v>1</v>
      </c>
      <c r="H1153" s="59" t="n">
        <f aca="false">G1153*8/$D$1149</f>
        <v>0.32</v>
      </c>
      <c r="I1153" s="30" t="n">
        <v>28.94</v>
      </c>
      <c r="J1153" s="30" t="n">
        <f aca="false">H1153*I1153</f>
        <v>9.2608</v>
      </c>
      <c r="K1153" s="1" t="n">
        <v>47</v>
      </c>
    </row>
    <row r="1154" customFormat="false" ht="15" hidden="false" customHeight="false" outlineLevel="0" collapsed="false">
      <c r="B1154" s="1" t="s">
        <v>291</v>
      </c>
      <c r="F1154" s="57" t="s">
        <v>290</v>
      </c>
      <c r="G1154" s="58" t="n">
        <v>2</v>
      </c>
      <c r="H1154" s="59" t="n">
        <f aca="false">G1154*8/$D$1149</f>
        <v>0.64</v>
      </c>
      <c r="I1154" s="30" t="n">
        <v>22.66</v>
      </c>
      <c r="J1154" s="30" t="n">
        <f aca="false">H1154*I1154</f>
        <v>14.5024</v>
      </c>
      <c r="K1154" s="1" t="n">
        <v>47</v>
      </c>
    </row>
    <row r="1155" customFormat="false" ht="15" hidden="false" customHeight="false" outlineLevel="0" collapsed="false">
      <c r="B1155" s="1" t="s">
        <v>292</v>
      </c>
      <c r="F1155" s="57" t="s">
        <v>290</v>
      </c>
      <c r="G1155" s="58" t="n">
        <v>8</v>
      </c>
      <c r="H1155" s="59" t="n">
        <f aca="false">G1155*8/$D$1149</f>
        <v>2.56</v>
      </c>
      <c r="I1155" s="30" t="n">
        <v>20.51</v>
      </c>
      <c r="J1155" s="30" t="n">
        <f aca="false">H1155*I1155</f>
        <v>52.5056</v>
      </c>
      <c r="K1155" s="1" t="n">
        <v>47</v>
      </c>
    </row>
    <row r="1156" customFormat="false" ht="15" hidden="false" customHeight="false" outlineLevel="0" collapsed="false">
      <c r="J1156" s="55" t="n">
        <f aca="false">ROUND(SUM(J1152:J1155),2)</f>
        <v>77.38</v>
      </c>
    </row>
    <row r="1157" customFormat="false" ht="15" hidden="false" customHeight="false" outlineLevel="0" collapsed="false">
      <c r="B1157" s="56" t="s">
        <v>293</v>
      </c>
      <c r="F1157" s="57"/>
    </row>
    <row r="1158" customFormat="false" ht="15" hidden="false" customHeight="false" outlineLevel="0" collapsed="false">
      <c r="B1158" s="1" t="s">
        <v>722</v>
      </c>
      <c r="F1158" s="57" t="s">
        <v>295</v>
      </c>
      <c r="H1158" s="59" t="n">
        <v>0.1</v>
      </c>
      <c r="I1158" s="30" t="n">
        <v>4.64</v>
      </c>
      <c r="J1158" s="30" t="n">
        <f aca="false">H1158*I1158</f>
        <v>0.464</v>
      </c>
      <c r="K1158" s="1" t="n">
        <v>2</v>
      </c>
    </row>
    <row r="1159" customFormat="false" ht="15" hidden="false" customHeight="false" outlineLevel="0" collapsed="false">
      <c r="B1159" s="1" t="s">
        <v>723</v>
      </c>
      <c r="F1159" s="57" t="s">
        <v>295</v>
      </c>
      <c r="H1159" s="59" t="n">
        <v>0.15</v>
      </c>
      <c r="I1159" s="1" t="n">
        <v>4.16</v>
      </c>
      <c r="J1159" s="30" t="n">
        <f aca="false">H1159*I1159</f>
        <v>0.624</v>
      </c>
      <c r="K1159" s="1" t="n">
        <v>2</v>
      </c>
    </row>
    <row r="1160" customFormat="false" ht="15" hidden="false" customHeight="false" outlineLevel="0" collapsed="false">
      <c r="B1160" s="1" t="s">
        <v>307</v>
      </c>
      <c r="F1160" s="57" t="s">
        <v>304</v>
      </c>
      <c r="H1160" s="59" t="n">
        <v>6.1138</v>
      </c>
      <c r="I1160" s="30" t="n">
        <v>5.8</v>
      </c>
      <c r="J1160" s="30" t="n">
        <f aca="false">H1160*I1160</f>
        <v>35.46004</v>
      </c>
      <c r="K1160" s="1" t="n">
        <v>43</v>
      </c>
    </row>
    <row r="1161" customFormat="false" ht="15" hidden="false" customHeight="false" outlineLevel="0" collapsed="false">
      <c r="J1161" s="55" t="n">
        <f aca="false">ROUND(SUM(J1158:J1160),2)</f>
        <v>36.55</v>
      </c>
    </row>
    <row r="1162" customFormat="false" ht="15" hidden="false" customHeight="false" outlineLevel="0" collapsed="false">
      <c r="B1162" s="56" t="s">
        <v>317</v>
      </c>
    </row>
    <row r="1163" customFormat="false" ht="15" hidden="false" customHeight="false" outlineLevel="0" collapsed="false">
      <c r="B1163" s="1" t="s">
        <v>309</v>
      </c>
      <c r="F1163" s="57" t="s">
        <v>310</v>
      </c>
      <c r="H1163" s="59" t="n">
        <v>3</v>
      </c>
      <c r="I1163" s="30" t="n">
        <f aca="false">J1156</f>
        <v>77.38</v>
      </c>
      <c r="J1163" s="30" t="n">
        <f aca="false">H1163%*I1163</f>
        <v>2.3214</v>
      </c>
      <c r="K1163" s="1" t="n">
        <v>37</v>
      </c>
    </row>
    <row r="1164" customFormat="false" ht="15" hidden="false" customHeight="false" outlineLevel="0" collapsed="false">
      <c r="B1164" s="1" t="s">
        <v>724</v>
      </c>
      <c r="F1164" s="57" t="s">
        <v>337</v>
      </c>
      <c r="G1164" s="58" t="n">
        <v>1</v>
      </c>
      <c r="H1164" s="59" t="n">
        <f aca="false">G1164*8/$D$1149</f>
        <v>0.32</v>
      </c>
      <c r="I1164" s="30" t="n">
        <v>5.5</v>
      </c>
      <c r="J1164" s="30" t="n">
        <f aca="false">H1164*I1164</f>
        <v>1.76</v>
      </c>
      <c r="K1164" s="1" t="n">
        <v>39</v>
      </c>
    </row>
    <row r="1165" customFormat="false" ht="15" hidden="false" customHeight="false" outlineLevel="0" collapsed="false">
      <c r="A1165" s="62"/>
      <c r="B1165" s="62"/>
      <c r="C1165" s="62"/>
      <c r="D1165" s="62"/>
      <c r="E1165" s="62"/>
      <c r="F1165" s="62"/>
      <c r="G1165" s="62"/>
      <c r="H1165" s="62"/>
      <c r="I1165" s="62"/>
      <c r="J1165" s="63" t="n">
        <f aca="false">ROUND(SUM(J1163:J1164),2)</f>
        <v>4.08</v>
      </c>
    </row>
    <row r="1166" customFormat="false" ht="15" hidden="false" customHeight="false" outlineLevel="0" collapsed="false">
      <c r="J1166" s="55"/>
    </row>
    <row r="1167" customFormat="false" ht="15" hidden="false" customHeight="false" outlineLevel="0" collapsed="false">
      <c r="A1167" s="14" t="s">
        <v>276</v>
      </c>
      <c r="B1167" s="85" t="str">
        <f aca="false">ESTRUCTURA!A95</f>
        <v>02.04.03.04</v>
      </c>
      <c r="C1167" s="14" t="s">
        <v>728</v>
      </c>
      <c r="D1167" s="14"/>
      <c r="E1167" s="14"/>
      <c r="F1167" s="14"/>
      <c r="G1167" s="14"/>
      <c r="H1167" s="14"/>
      <c r="I1167" s="14"/>
    </row>
    <row r="1168" customFormat="false" ht="15" hidden="false" customHeight="false" outlineLevel="0" collapsed="false">
      <c r="A1168" s="14" t="s">
        <v>277</v>
      </c>
      <c r="B1168" s="14" t="s">
        <v>278</v>
      </c>
      <c r="C1168" s="38" t="s">
        <v>279</v>
      </c>
      <c r="D1168" s="54" t="n">
        <v>250</v>
      </c>
      <c r="E1168" s="38" t="s">
        <v>280</v>
      </c>
      <c r="F1168" s="54" t="n">
        <f aca="false">D1168</f>
        <v>250</v>
      </c>
      <c r="G1168" s="14" t="s">
        <v>281</v>
      </c>
      <c r="I1168" s="38" t="s">
        <v>132</v>
      </c>
      <c r="J1168" s="55" t="n">
        <f aca="false">J1172+J1175+J1178</f>
        <v>2.95</v>
      </c>
    </row>
    <row r="1169" customFormat="false" ht="15" hidden="false" customHeight="false" outlineLevel="0" collapsed="false">
      <c r="A1169" s="14" t="s">
        <v>282</v>
      </c>
      <c r="B1169" s="14" t="s">
        <v>283</v>
      </c>
      <c r="F1169" s="38" t="s">
        <v>121</v>
      </c>
      <c r="G1169" s="38" t="s">
        <v>284</v>
      </c>
      <c r="H1169" s="38" t="s">
        <v>285</v>
      </c>
      <c r="I1169" s="38" t="s">
        <v>286</v>
      </c>
      <c r="J1169" s="38" t="s">
        <v>287</v>
      </c>
    </row>
    <row r="1170" customFormat="false" ht="15" hidden="false" customHeight="false" outlineLevel="0" collapsed="false">
      <c r="B1170" s="56" t="s">
        <v>288</v>
      </c>
    </row>
    <row r="1171" customFormat="false" ht="15" hidden="false" customHeight="false" outlineLevel="0" collapsed="false">
      <c r="B1171" s="1" t="s">
        <v>291</v>
      </c>
      <c r="F1171" s="57" t="s">
        <v>290</v>
      </c>
      <c r="G1171" s="58" t="n">
        <v>1</v>
      </c>
      <c r="H1171" s="59" t="n">
        <f aca="false">G1171*8/$D$1168</f>
        <v>0.032</v>
      </c>
      <c r="I1171" s="30" t="n">
        <v>22.66</v>
      </c>
      <c r="J1171" s="30" t="n">
        <f aca="false">H1171*I1171</f>
        <v>0.72512</v>
      </c>
      <c r="K1171" s="1" t="n">
        <v>47</v>
      </c>
    </row>
    <row r="1172" customFormat="false" ht="15" hidden="false" customHeight="false" outlineLevel="0" collapsed="false">
      <c r="F1172" s="57"/>
      <c r="G1172" s="58"/>
      <c r="H1172" s="59"/>
      <c r="I1172" s="30"/>
      <c r="J1172" s="55" t="n">
        <f aca="false">ROUND(SUM(J1171:J1171),2)</f>
        <v>0.73</v>
      </c>
    </row>
    <row r="1173" customFormat="false" ht="15" hidden="false" customHeight="false" outlineLevel="0" collapsed="false">
      <c r="B1173" s="56" t="s">
        <v>293</v>
      </c>
    </row>
    <row r="1174" customFormat="false" ht="15" hidden="false" customHeight="false" outlineLevel="0" collapsed="false">
      <c r="B1174" s="1" t="s">
        <v>725</v>
      </c>
      <c r="F1174" s="57" t="s">
        <v>437</v>
      </c>
      <c r="H1174" s="59" t="n">
        <v>0.05</v>
      </c>
      <c r="I1174" s="30" t="n">
        <v>43.9</v>
      </c>
      <c r="J1174" s="30" t="n">
        <f aca="false">H1174*I1174</f>
        <v>2.195</v>
      </c>
      <c r="K1174" s="1" t="n">
        <v>30</v>
      </c>
    </row>
    <row r="1175" customFormat="false" ht="15" hidden="false" customHeight="false" outlineLevel="0" collapsed="false">
      <c r="J1175" s="55" t="n">
        <f aca="false">ROUND(SUM(J1174),2)</f>
        <v>2.2</v>
      </c>
    </row>
    <row r="1176" customFormat="false" ht="15" hidden="false" customHeight="false" outlineLevel="0" collapsed="false">
      <c r="B1176" s="56" t="s">
        <v>317</v>
      </c>
    </row>
    <row r="1177" customFormat="false" ht="15" hidden="false" customHeight="false" outlineLevel="0" collapsed="false">
      <c r="B1177" s="1" t="s">
        <v>309</v>
      </c>
      <c r="F1177" s="57" t="s">
        <v>310</v>
      </c>
      <c r="H1177" s="59" t="n">
        <v>3</v>
      </c>
      <c r="I1177" s="30" t="n">
        <f aca="false">J1172</f>
        <v>0.73</v>
      </c>
      <c r="J1177" s="30" t="n">
        <f aca="false">H1177%*I1177</f>
        <v>0.0219</v>
      </c>
      <c r="K1177" s="1" t="n">
        <v>37</v>
      </c>
    </row>
    <row r="1178" customFormat="false" ht="15" hidden="false" customHeight="false" outlineLevel="0" collapsed="false">
      <c r="A1178" s="62"/>
      <c r="B1178" s="62"/>
      <c r="C1178" s="62"/>
      <c r="D1178" s="62"/>
      <c r="E1178" s="62"/>
      <c r="F1178" s="62"/>
      <c r="G1178" s="62"/>
      <c r="H1178" s="62"/>
      <c r="I1178" s="62"/>
      <c r="J1178" s="63" t="n">
        <f aca="false">ROUND(SUM(J1177),2)</f>
        <v>0.02</v>
      </c>
    </row>
    <row r="1179" customFormat="false" ht="15" hidden="false" customHeight="false" outlineLevel="0" collapsed="false">
      <c r="J1179" s="55"/>
    </row>
    <row r="1180" customFormat="false" ht="15" hidden="false" customHeight="false" outlineLevel="0" collapsed="false">
      <c r="A1180" s="14" t="s">
        <v>276</v>
      </c>
      <c r="B1180" s="14" t="str">
        <f aca="false">ESTRUCTURA!A96</f>
        <v>02.04.03.05</v>
      </c>
      <c r="C1180" s="14" t="s">
        <v>602</v>
      </c>
      <c r="D1180" s="14"/>
      <c r="E1180" s="14"/>
      <c r="F1180" s="14"/>
      <c r="G1180" s="14"/>
      <c r="H1180" s="14"/>
      <c r="I1180" s="14"/>
    </row>
    <row r="1181" customFormat="false" ht="15" hidden="false" customHeight="false" outlineLevel="0" collapsed="false">
      <c r="A1181" s="14" t="s">
        <v>277</v>
      </c>
      <c r="B1181" s="14" t="s">
        <v>313</v>
      </c>
      <c r="C1181" s="38" t="s">
        <v>279</v>
      </c>
      <c r="D1181" s="54" t="n">
        <v>100</v>
      </c>
      <c r="E1181" s="38" t="s">
        <v>280</v>
      </c>
      <c r="F1181" s="54" t="n">
        <f aca="false">D1181</f>
        <v>100</v>
      </c>
      <c r="G1181" s="14" t="s">
        <v>281</v>
      </c>
      <c r="I1181" s="38" t="s">
        <v>143</v>
      </c>
      <c r="J1181" s="55" t="n">
        <f aca="false">J1186+J1190+J1193</f>
        <v>19.24</v>
      </c>
    </row>
    <row r="1182" customFormat="false" ht="15" hidden="false" customHeight="false" outlineLevel="0" collapsed="false">
      <c r="A1182" s="14" t="s">
        <v>282</v>
      </c>
      <c r="B1182" s="14" t="s">
        <v>283</v>
      </c>
      <c r="F1182" s="38" t="s">
        <v>121</v>
      </c>
      <c r="G1182" s="38" t="s">
        <v>284</v>
      </c>
      <c r="H1182" s="38" t="s">
        <v>285</v>
      </c>
      <c r="I1182" s="38" t="s">
        <v>286</v>
      </c>
      <c r="J1182" s="38" t="s">
        <v>287</v>
      </c>
    </row>
    <row r="1183" customFormat="false" ht="15" hidden="false" customHeight="false" outlineLevel="0" collapsed="false">
      <c r="B1183" s="56" t="s">
        <v>288</v>
      </c>
    </row>
    <row r="1184" customFormat="false" ht="15" hidden="false" customHeight="false" outlineLevel="0" collapsed="false">
      <c r="B1184" s="1" t="s">
        <v>649</v>
      </c>
      <c r="F1184" s="57" t="s">
        <v>290</v>
      </c>
      <c r="G1184" s="58" t="n">
        <v>1</v>
      </c>
      <c r="H1184" s="59" t="n">
        <f aca="false">G1184*8/$D$1181</f>
        <v>0.08</v>
      </c>
      <c r="I1184" s="30" t="n">
        <v>34.73</v>
      </c>
      <c r="J1184" s="30" t="n">
        <f aca="false">H1184*I1184</f>
        <v>2.7784</v>
      </c>
      <c r="K1184" s="1" t="n">
        <v>47</v>
      </c>
    </row>
    <row r="1185" customFormat="false" ht="15" hidden="false" customHeight="false" outlineLevel="0" collapsed="false">
      <c r="B1185" s="1" t="s">
        <v>289</v>
      </c>
      <c r="F1185" s="57" t="s">
        <v>290</v>
      </c>
      <c r="G1185" s="58" t="n">
        <v>0.2</v>
      </c>
      <c r="H1185" s="59" t="n">
        <f aca="false">G1185*8/$D$1181</f>
        <v>0.016</v>
      </c>
      <c r="I1185" s="30" t="n">
        <v>28.94</v>
      </c>
      <c r="J1185" s="30" t="n">
        <f aca="false">H1185*I1185</f>
        <v>0.46304</v>
      </c>
      <c r="K1185" s="1" t="n">
        <v>47</v>
      </c>
    </row>
    <row r="1186" customFormat="false" ht="15" hidden="false" customHeight="false" outlineLevel="0" collapsed="false">
      <c r="F1186" s="57"/>
      <c r="G1186" s="58"/>
      <c r="H1186" s="59"/>
      <c r="I1186" s="30"/>
      <c r="J1186" s="55" t="n">
        <f aca="false">ROUND(SUM(J1184:J1185),2)</f>
        <v>3.24</v>
      </c>
    </row>
    <row r="1187" customFormat="false" ht="15" hidden="false" customHeight="false" outlineLevel="0" collapsed="false">
      <c r="B1187" s="56" t="s">
        <v>293</v>
      </c>
      <c r="F1187" s="57"/>
    </row>
    <row r="1188" customFormat="false" ht="15" hidden="false" customHeight="false" outlineLevel="0" collapsed="false">
      <c r="B1188" s="1" t="s">
        <v>726</v>
      </c>
      <c r="F1188" s="57" t="s">
        <v>132</v>
      </c>
      <c r="H1188" s="59" t="n">
        <v>0.05</v>
      </c>
      <c r="I1188" s="30" t="n">
        <v>18</v>
      </c>
      <c r="J1188" s="30" t="n">
        <f aca="false">H1188*I1188</f>
        <v>0.9</v>
      </c>
      <c r="K1188" s="1" t="n">
        <v>60</v>
      </c>
    </row>
    <row r="1189" customFormat="false" ht="15" hidden="false" customHeight="false" outlineLevel="0" collapsed="false">
      <c r="B1189" s="1" t="s">
        <v>727</v>
      </c>
      <c r="F1189" s="57" t="s">
        <v>437</v>
      </c>
      <c r="H1189" s="59" t="n">
        <v>0.1</v>
      </c>
      <c r="I1189" s="30" t="n">
        <v>150</v>
      </c>
      <c r="J1189" s="30" t="n">
        <f aca="false">H1189*I1189</f>
        <v>15</v>
      </c>
      <c r="K1189" s="1" t="n">
        <v>30</v>
      </c>
    </row>
    <row r="1190" customFormat="false" ht="15" hidden="false" customHeight="false" outlineLevel="0" collapsed="false">
      <c r="J1190" s="55" t="n">
        <f aca="false">ROUND(SUM(J1188:J1189),2)</f>
        <v>15.9</v>
      </c>
    </row>
    <row r="1191" customFormat="false" ht="15" hidden="false" customHeight="false" outlineLevel="0" collapsed="false">
      <c r="B1191" s="56" t="s">
        <v>317</v>
      </c>
    </row>
    <row r="1192" customFormat="false" ht="15" hidden="false" customHeight="false" outlineLevel="0" collapsed="false">
      <c r="B1192" s="1" t="s">
        <v>309</v>
      </c>
      <c r="F1192" s="57" t="s">
        <v>310</v>
      </c>
      <c r="H1192" s="59" t="n">
        <v>3</v>
      </c>
      <c r="I1192" s="30" t="n">
        <f aca="false">J1186</f>
        <v>3.24</v>
      </c>
      <c r="J1192" s="30" t="n">
        <f aca="false">H1192%*I1192</f>
        <v>0.0972</v>
      </c>
      <c r="K1192" s="1" t="n">
        <v>37</v>
      </c>
    </row>
    <row r="1193" customFormat="false" ht="15" hidden="false" customHeight="false" outlineLevel="0" collapsed="false">
      <c r="A1193" s="62"/>
      <c r="B1193" s="62"/>
      <c r="C1193" s="62"/>
      <c r="D1193" s="62"/>
      <c r="E1193" s="62"/>
      <c r="F1193" s="62"/>
      <c r="G1193" s="62"/>
      <c r="H1193" s="62"/>
      <c r="I1193" s="62"/>
      <c r="J1193" s="63" t="n">
        <f aca="false">ROUND(SUM(J1192),2)</f>
        <v>0.1</v>
      </c>
    </row>
    <row r="1195" customFormat="false" ht="15" hidden="false" customHeight="false" outlineLevel="0" collapsed="false">
      <c r="A1195" s="14" t="s">
        <v>276</v>
      </c>
      <c r="B1195" s="14" t="str">
        <f aca="false">ESTRUCTURA!A97</f>
        <v>02.04.03.06</v>
      </c>
      <c r="C1195" s="14" t="s">
        <v>604</v>
      </c>
      <c r="D1195" s="14"/>
      <c r="E1195" s="14"/>
      <c r="F1195" s="14"/>
      <c r="G1195" s="14"/>
      <c r="H1195" s="14"/>
      <c r="I1195" s="14"/>
    </row>
    <row r="1196" customFormat="false" ht="15" hidden="false" customHeight="false" outlineLevel="0" collapsed="false">
      <c r="A1196" s="14" t="s">
        <v>277</v>
      </c>
      <c r="B1196" s="14" t="s">
        <v>313</v>
      </c>
      <c r="C1196" s="38" t="s">
        <v>279</v>
      </c>
      <c r="D1196" s="54" t="n">
        <v>100</v>
      </c>
      <c r="E1196" s="38" t="s">
        <v>280</v>
      </c>
      <c r="F1196" s="54" t="n">
        <f aca="false">D1196</f>
        <v>100</v>
      </c>
      <c r="G1196" s="14" t="s">
        <v>281</v>
      </c>
      <c r="I1196" s="38" t="s">
        <v>143</v>
      </c>
      <c r="J1196" s="55" t="n">
        <f aca="false">J1201+J1205+J1208</f>
        <v>19.24</v>
      </c>
    </row>
    <row r="1197" customFormat="false" ht="15" hidden="false" customHeight="false" outlineLevel="0" collapsed="false">
      <c r="A1197" s="14" t="s">
        <v>282</v>
      </c>
      <c r="B1197" s="14" t="s">
        <v>283</v>
      </c>
      <c r="F1197" s="38" t="s">
        <v>121</v>
      </c>
      <c r="G1197" s="38" t="s">
        <v>284</v>
      </c>
      <c r="H1197" s="38" t="s">
        <v>285</v>
      </c>
      <c r="I1197" s="38" t="s">
        <v>286</v>
      </c>
      <c r="J1197" s="38" t="s">
        <v>287</v>
      </c>
    </row>
    <row r="1198" customFormat="false" ht="15" hidden="false" customHeight="false" outlineLevel="0" collapsed="false">
      <c r="B1198" s="56" t="s">
        <v>288</v>
      </c>
    </row>
    <row r="1199" customFormat="false" ht="15" hidden="false" customHeight="false" outlineLevel="0" collapsed="false">
      <c r="B1199" s="1" t="s">
        <v>649</v>
      </c>
      <c r="F1199" s="57" t="s">
        <v>290</v>
      </c>
      <c r="G1199" s="58" t="n">
        <v>1</v>
      </c>
      <c r="H1199" s="59" t="n">
        <f aca="false">G1199*8/$D$1196</f>
        <v>0.08</v>
      </c>
      <c r="I1199" s="30" t="n">
        <v>34.73</v>
      </c>
      <c r="J1199" s="30" t="n">
        <f aca="false">H1199*I1199</f>
        <v>2.7784</v>
      </c>
      <c r="K1199" s="1" t="n">
        <v>47</v>
      </c>
    </row>
    <row r="1200" customFormat="false" ht="15" hidden="false" customHeight="false" outlineLevel="0" collapsed="false">
      <c r="B1200" s="1" t="s">
        <v>289</v>
      </c>
      <c r="F1200" s="57" t="s">
        <v>290</v>
      </c>
      <c r="G1200" s="58" t="n">
        <v>0.2</v>
      </c>
      <c r="H1200" s="59" t="n">
        <f aca="false">G1200*8/$D$1196</f>
        <v>0.016</v>
      </c>
      <c r="I1200" s="30" t="n">
        <v>28.94</v>
      </c>
      <c r="J1200" s="30" t="n">
        <f aca="false">H1200*I1200</f>
        <v>0.46304</v>
      </c>
      <c r="K1200" s="1" t="n">
        <v>47</v>
      </c>
    </row>
    <row r="1201" customFormat="false" ht="15" hidden="false" customHeight="false" outlineLevel="0" collapsed="false">
      <c r="F1201" s="57"/>
      <c r="G1201" s="58"/>
      <c r="H1201" s="59"/>
      <c r="I1201" s="30"/>
      <c r="J1201" s="55" t="n">
        <f aca="false">ROUND(SUM(J1199:J1200),2)</f>
        <v>3.24</v>
      </c>
    </row>
    <row r="1202" customFormat="false" ht="15" hidden="false" customHeight="false" outlineLevel="0" collapsed="false">
      <c r="B1202" s="56" t="s">
        <v>293</v>
      </c>
      <c r="F1202" s="57"/>
    </row>
    <row r="1203" customFormat="false" ht="15" hidden="false" customHeight="false" outlineLevel="0" collapsed="false">
      <c r="B1203" s="1" t="s">
        <v>726</v>
      </c>
      <c r="F1203" s="57" t="s">
        <v>132</v>
      </c>
      <c r="H1203" s="59" t="n">
        <v>0.05</v>
      </c>
      <c r="I1203" s="30" t="n">
        <v>18</v>
      </c>
      <c r="J1203" s="30" t="n">
        <f aca="false">H1203*I1203</f>
        <v>0.9</v>
      </c>
      <c r="K1203" s="1" t="n">
        <v>60</v>
      </c>
    </row>
    <row r="1204" customFormat="false" ht="15" hidden="false" customHeight="false" outlineLevel="0" collapsed="false">
      <c r="B1204" s="1" t="s">
        <v>727</v>
      </c>
      <c r="F1204" s="57" t="s">
        <v>437</v>
      </c>
      <c r="H1204" s="59" t="n">
        <v>0.1</v>
      </c>
      <c r="I1204" s="30" t="n">
        <v>150</v>
      </c>
      <c r="J1204" s="30" t="n">
        <f aca="false">H1204*I1204</f>
        <v>15</v>
      </c>
      <c r="K1204" s="1" t="n">
        <v>30</v>
      </c>
    </row>
    <row r="1205" customFormat="false" ht="15" hidden="false" customHeight="false" outlineLevel="0" collapsed="false">
      <c r="J1205" s="55" t="n">
        <f aca="false">ROUND(SUM(J1203:J1204),2)</f>
        <v>15.9</v>
      </c>
    </row>
    <row r="1206" customFormat="false" ht="15" hidden="false" customHeight="false" outlineLevel="0" collapsed="false">
      <c r="B1206" s="56" t="s">
        <v>317</v>
      </c>
    </row>
    <row r="1207" customFormat="false" ht="15" hidden="false" customHeight="false" outlineLevel="0" collapsed="false">
      <c r="B1207" s="1" t="s">
        <v>309</v>
      </c>
      <c r="F1207" s="57" t="s">
        <v>310</v>
      </c>
      <c r="H1207" s="59" t="n">
        <v>3</v>
      </c>
      <c r="I1207" s="30" t="n">
        <f aca="false">J1201</f>
        <v>3.24</v>
      </c>
      <c r="J1207" s="30" t="n">
        <f aca="false">H1207%*I1207</f>
        <v>0.0972</v>
      </c>
      <c r="K1207" s="1" t="n">
        <v>37</v>
      </c>
    </row>
    <row r="1208" customFormat="false" ht="15" hidden="false" customHeight="false" outlineLevel="0" collapsed="false">
      <c r="A1208" s="62"/>
      <c r="B1208" s="62"/>
      <c r="C1208" s="62"/>
      <c r="D1208" s="62"/>
      <c r="E1208" s="62"/>
      <c r="F1208" s="62"/>
      <c r="G1208" s="62"/>
      <c r="H1208" s="62"/>
      <c r="I1208" s="62"/>
      <c r="J1208" s="63" t="n">
        <f aca="false">ROUND(SUM(J1207),2)</f>
        <v>0.1</v>
      </c>
    </row>
    <row r="1209" customFormat="false" ht="15" hidden="false" customHeight="false" outlineLevel="0" collapsed="false">
      <c r="F1209" s="57"/>
      <c r="H1209" s="59"/>
      <c r="I1209" s="30"/>
      <c r="J1209" s="30"/>
    </row>
    <row r="1210" customFormat="false" ht="15" hidden="false" customHeight="false" outlineLevel="0" collapsed="false">
      <c r="A1210" s="14" t="s">
        <v>276</v>
      </c>
      <c r="B1210" s="14" t="str">
        <f aca="false">ESTRUCTURA!A99</f>
        <v>02.04.04.01</v>
      </c>
      <c r="C1210" s="14" t="s">
        <v>628</v>
      </c>
      <c r="D1210" s="14"/>
      <c r="E1210" s="14"/>
      <c r="F1210" s="14"/>
      <c r="G1210" s="14"/>
      <c r="H1210" s="14"/>
      <c r="I1210" s="14"/>
    </row>
    <row r="1211" customFormat="false" ht="15" hidden="false" customHeight="false" outlineLevel="0" collapsed="false">
      <c r="A1211" s="14" t="s">
        <v>277</v>
      </c>
      <c r="B1211" s="14" t="s">
        <v>278</v>
      </c>
      <c r="C1211" s="38" t="s">
        <v>279</v>
      </c>
      <c r="D1211" s="54" t="n">
        <v>12</v>
      </c>
      <c r="E1211" s="38" t="s">
        <v>280</v>
      </c>
      <c r="F1211" s="54" t="n">
        <f aca="false">D1211</f>
        <v>12</v>
      </c>
      <c r="G1211" s="14" t="s">
        <v>281</v>
      </c>
      <c r="I1211" s="38" t="s">
        <v>132</v>
      </c>
      <c r="J1211" s="55" t="n">
        <f aca="false">J1218+J1224+J1227</f>
        <v>101.29</v>
      </c>
    </row>
    <row r="1212" customFormat="false" ht="15" hidden="false" customHeight="false" outlineLevel="0" collapsed="false">
      <c r="A1212" s="14" t="s">
        <v>282</v>
      </c>
      <c r="B1212" s="14" t="s">
        <v>283</v>
      </c>
      <c r="F1212" s="38" t="s">
        <v>121</v>
      </c>
      <c r="G1212" s="38" t="s">
        <v>284</v>
      </c>
      <c r="H1212" s="38" t="s">
        <v>285</v>
      </c>
      <c r="I1212" s="38" t="s">
        <v>286</v>
      </c>
      <c r="J1212" s="38" t="s">
        <v>287</v>
      </c>
    </row>
    <row r="1213" customFormat="false" ht="15" hidden="false" customHeight="false" outlineLevel="0" collapsed="false">
      <c r="B1213" s="56" t="s">
        <v>288</v>
      </c>
    </row>
    <row r="1214" customFormat="false" ht="15" hidden="false" customHeight="false" outlineLevel="0" collapsed="false">
      <c r="B1214" s="1" t="s">
        <v>649</v>
      </c>
      <c r="F1214" s="57" t="s">
        <v>290</v>
      </c>
      <c r="G1214" s="58" t="n">
        <v>0.1</v>
      </c>
      <c r="H1214" s="59" t="n">
        <f aca="false">G1214*8/$D$1211</f>
        <v>0.0666666666666667</v>
      </c>
      <c r="I1214" s="30" t="n">
        <v>34.73</v>
      </c>
      <c r="J1214" s="30" t="n">
        <f aca="false">H1214*I1214</f>
        <v>2.31533333333333</v>
      </c>
      <c r="K1214" s="1" t="n">
        <v>47</v>
      </c>
    </row>
    <row r="1215" customFormat="false" ht="15" hidden="false" customHeight="false" outlineLevel="0" collapsed="false">
      <c r="B1215" s="1" t="s">
        <v>289</v>
      </c>
      <c r="F1215" s="57" t="s">
        <v>290</v>
      </c>
      <c r="G1215" s="58" t="n">
        <v>1</v>
      </c>
      <c r="H1215" s="59" t="n">
        <f aca="false">G1215*8/$D$1211</f>
        <v>0.666666666666667</v>
      </c>
      <c r="I1215" s="30" t="n">
        <v>28.94</v>
      </c>
      <c r="J1215" s="30" t="n">
        <f aca="false">H1215*I1215</f>
        <v>19.2933333333333</v>
      </c>
      <c r="K1215" s="1" t="n">
        <v>47</v>
      </c>
    </row>
    <row r="1216" customFormat="false" ht="15" hidden="false" customHeight="false" outlineLevel="0" collapsed="false">
      <c r="B1216" s="1" t="s">
        <v>291</v>
      </c>
      <c r="F1216" s="57" t="s">
        <v>290</v>
      </c>
      <c r="G1216" s="58" t="n">
        <v>1</v>
      </c>
      <c r="H1216" s="59" t="n">
        <f aca="false">G1216*8/$D$1211</f>
        <v>0.666666666666667</v>
      </c>
      <c r="I1216" s="30" t="n">
        <v>22.66</v>
      </c>
      <c r="J1216" s="30" t="n">
        <f aca="false">H1216*I1216</f>
        <v>15.1066666666667</v>
      </c>
      <c r="K1216" s="1" t="n">
        <v>47</v>
      </c>
    </row>
    <row r="1217" customFormat="false" ht="15" hidden="false" customHeight="false" outlineLevel="0" collapsed="false">
      <c r="B1217" s="1" t="s">
        <v>292</v>
      </c>
      <c r="F1217" s="57" t="s">
        <v>290</v>
      </c>
      <c r="G1217" s="58" t="n">
        <v>0.75</v>
      </c>
      <c r="H1217" s="59" t="n">
        <f aca="false">G1217*8/$D$1211</f>
        <v>0.5</v>
      </c>
      <c r="I1217" s="30" t="n">
        <v>20.51</v>
      </c>
      <c r="J1217" s="30" t="n">
        <f aca="false">H1217*I1217</f>
        <v>10.255</v>
      </c>
      <c r="K1217" s="1" t="n">
        <v>47</v>
      </c>
    </row>
    <row r="1218" customFormat="false" ht="15" hidden="false" customHeight="false" outlineLevel="0" collapsed="false">
      <c r="J1218" s="55" t="n">
        <f aca="false">ROUND(SUM(J1214:J1217),2)</f>
        <v>46.97</v>
      </c>
    </row>
    <row r="1219" customFormat="false" ht="15" hidden="false" customHeight="false" outlineLevel="0" collapsed="false">
      <c r="B1219" s="56" t="s">
        <v>293</v>
      </c>
      <c r="F1219" s="57"/>
    </row>
    <row r="1220" customFormat="false" ht="15" hidden="false" customHeight="false" outlineLevel="0" collapsed="false">
      <c r="B1220" s="1" t="s">
        <v>685</v>
      </c>
      <c r="F1220" s="57" t="s">
        <v>295</v>
      </c>
      <c r="H1220" s="59" t="n">
        <v>0.1</v>
      </c>
      <c r="I1220" s="30" t="n">
        <v>2.64</v>
      </c>
      <c r="J1220" s="30" t="n">
        <f aca="false">H1220*I1220</f>
        <v>0.264</v>
      </c>
      <c r="K1220" s="1" t="n">
        <v>2</v>
      </c>
    </row>
    <row r="1221" customFormat="false" ht="15" hidden="false" customHeight="false" outlineLevel="0" collapsed="false">
      <c r="B1221" s="1" t="s">
        <v>723</v>
      </c>
      <c r="F1221" s="57" t="s">
        <v>295</v>
      </c>
      <c r="H1221" s="59" t="n">
        <v>0.2</v>
      </c>
      <c r="I1221" s="1" t="n">
        <v>4.16</v>
      </c>
      <c r="J1221" s="30" t="n">
        <f aca="false">H1221*I1221</f>
        <v>0.832</v>
      </c>
      <c r="K1221" s="1" t="n">
        <v>2</v>
      </c>
    </row>
    <row r="1222" customFormat="false" ht="15" hidden="false" customHeight="false" outlineLevel="0" collapsed="false">
      <c r="B1222" s="1" t="s">
        <v>730</v>
      </c>
      <c r="F1222" s="57" t="s">
        <v>148</v>
      </c>
      <c r="H1222" s="59" t="n">
        <v>0.07</v>
      </c>
      <c r="I1222" s="1" t="n">
        <v>43.98</v>
      </c>
      <c r="J1222" s="30" t="n">
        <f aca="false">H1222*I1222</f>
        <v>3.0786</v>
      </c>
      <c r="K1222" s="1" t="n">
        <v>44</v>
      </c>
    </row>
    <row r="1223" customFormat="false" ht="15" hidden="false" customHeight="false" outlineLevel="0" collapsed="false">
      <c r="B1223" s="1" t="s">
        <v>307</v>
      </c>
      <c r="F1223" s="57" t="s">
        <v>304</v>
      </c>
      <c r="H1223" s="59" t="n">
        <v>5.538</v>
      </c>
      <c r="I1223" s="30" t="n">
        <v>8.8</v>
      </c>
      <c r="J1223" s="30" t="n">
        <f aca="false">H1223*I1223</f>
        <v>48.7344</v>
      </c>
      <c r="K1223" s="1" t="n">
        <v>43</v>
      </c>
    </row>
    <row r="1224" customFormat="false" ht="15" hidden="false" customHeight="false" outlineLevel="0" collapsed="false">
      <c r="J1224" s="55" t="n">
        <f aca="false">ROUND(SUM(J1220:J1223),2)</f>
        <v>52.91</v>
      </c>
    </row>
    <row r="1225" customFormat="false" ht="15" hidden="false" customHeight="false" outlineLevel="0" collapsed="false">
      <c r="B1225" s="56" t="s">
        <v>317</v>
      </c>
    </row>
    <row r="1226" customFormat="false" ht="15" hidden="false" customHeight="false" outlineLevel="0" collapsed="false">
      <c r="B1226" s="1" t="s">
        <v>309</v>
      </c>
      <c r="F1226" s="57" t="s">
        <v>310</v>
      </c>
      <c r="H1226" s="59" t="n">
        <v>3</v>
      </c>
      <c r="I1226" s="30" t="n">
        <f aca="false">J1218</f>
        <v>46.97</v>
      </c>
      <c r="J1226" s="30" t="n">
        <f aca="false">H1226%*I1226</f>
        <v>1.4091</v>
      </c>
      <c r="K1226" s="1" t="n">
        <v>37</v>
      </c>
    </row>
    <row r="1227" customFormat="false" ht="15" hidden="false" customHeight="false" outlineLevel="0" collapsed="false">
      <c r="A1227" s="62"/>
      <c r="B1227" s="62"/>
      <c r="C1227" s="62"/>
      <c r="D1227" s="62"/>
      <c r="E1227" s="62"/>
      <c r="F1227" s="62"/>
      <c r="G1227" s="62"/>
      <c r="H1227" s="62"/>
      <c r="I1227" s="62"/>
      <c r="J1227" s="63" t="n">
        <f aca="false">ROUND(SUM(J1226:J1226),2)</f>
        <v>1.41</v>
      </c>
    </row>
    <row r="1229" customFormat="false" ht="15" hidden="false" customHeight="false" outlineLevel="0" collapsed="false">
      <c r="A1229" s="14" t="s">
        <v>276</v>
      </c>
      <c r="B1229" s="14" t="str">
        <f aca="false">ESTRUCTURA!A100</f>
        <v>02.04.04.02</v>
      </c>
      <c r="C1229" s="14" t="s">
        <v>630</v>
      </c>
      <c r="D1229" s="14"/>
      <c r="E1229" s="14"/>
      <c r="F1229" s="14"/>
      <c r="G1229" s="14"/>
      <c r="H1229" s="14"/>
      <c r="I1229" s="14"/>
    </row>
    <row r="1230" customFormat="false" ht="15" hidden="false" customHeight="false" outlineLevel="0" collapsed="false">
      <c r="A1230" s="14" t="s">
        <v>277</v>
      </c>
      <c r="B1230" s="14" t="s">
        <v>674</v>
      </c>
      <c r="C1230" s="38" t="s">
        <v>279</v>
      </c>
      <c r="D1230" s="54" t="n">
        <v>280</v>
      </c>
      <c r="E1230" s="38" t="s">
        <v>280</v>
      </c>
      <c r="F1230" s="54" t="n">
        <f aca="false">D1230</f>
        <v>280</v>
      </c>
      <c r="G1230" s="14" t="s">
        <v>281</v>
      </c>
      <c r="I1230" s="38" t="s">
        <v>295</v>
      </c>
      <c r="J1230" s="55" t="n">
        <f aca="false">J1237+J1240+J1243</f>
        <v>7.5</v>
      </c>
    </row>
    <row r="1231" customFormat="false" ht="15" hidden="false" customHeight="false" outlineLevel="0" collapsed="false">
      <c r="A1231" s="14" t="s">
        <v>282</v>
      </c>
      <c r="B1231" s="14" t="s">
        <v>283</v>
      </c>
      <c r="F1231" s="38" t="s">
        <v>121</v>
      </c>
      <c r="G1231" s="38" t="s">
        <v>284</v>
      </c>
      <c r="H1231" s="38" t="s">
        <v>285</v>
      </c>
      <c r="I1231" s="38" t="s">
        <v>286</v>
      </c>
      <c r="J1231" s="38" t="s">
        <v>287</v>
      </c>
    </row>
    <row r="1232" customFormat="false" ht="15" hidden="false" customHeight="false" outlineLevel="0" collapsed="false">
      <c r="B1232" s="56" t="s">
        <v>288</v>
      </c>
    </row>
    <row r="1233" customFormat="false" ht="15" hidden="false" customHeight="false" outlineLevel="0" collapsed="false">
      <c r="B1233" s="1" t="s">
        <v>649</v>
      </c>
      <c r="F1233" s="57" t="s">
        <v>290</v>
      </c>
      <c r="G1233" s="58" t="n">
        <v>0.1</v>
      </c>
      <c r="H1233" s="59" t="n">
        <f aca="false">G1233*8/$D$1230</f>
        <v>0.00285714285714286</v>
      </c>
      <c r="I1233" s="30" t="n">
        <v>34.73</v>
      </c>
      <c r="J1233" s="30" t="n">
        <f aca="false">H1233*I1233</f>
        <v>0.0992285714285714</v>
      </c>
      <c r="K1233" s="1" t="n">
        <v>47</v>
      </c>
    </row>
    <row r="1234" customFormat="false" ht="15" hidden="false" customHeight="false" outlineLevel="0" collapsed="false">
      <c r="B1234" s="1" t="s">
        <v>289</v>
      </c>
      <c r="F1234" s="57" t="s">
        <v>290</v>
      </c>
      <c r="G1234" s="58" t="n">
        <v>1</v>
      </c>
      <c r="H1234" s="59" t="n">
        <f aca="false">G1234*8/$D$1230</f>
        <v>0.0285714285714286</v>
      </c>
      <c r="I1234" s="30" t="n">
        <v>28.94</v>
      </c>
      <c r="J1234" s="30" t="n">
        <f aca="false">H1234*I1234</f>
        <v>0.826857142857143</v>
      </c>
      <c r="K1234" s="1" t="n">
        <v>47</v>
      </c>
    </row>
    <row r="1235" customFormat="false" ht="15" hidden="false" customHeight="false" outlineLevel="0" collapsed="false">
      <c r="B1235" s="1" t="s">
        <v>291</v>
      </c>
      <c r="F1235" s="57" t="s">
        <v>290</v>
      </c>
      <c r="G1235" s="58" t="n">
        <v>1</v>
      </c>
      <c r="H1235" s="59" t="n">
        <f aca="false">G1235*8/$D$1230</f>
        <v>0.0285714285714286</v>
      </c>
      <c r="I1235" s="30" t="n">
        <v>22.66</v>
      </c>
      <c r="J1235" s="30" t="n">
        <f aca="false">H1235*I1235</f>
        <v>0.647428571428572</v>
      </c>
      <c r="K1235" s="1" t="n">
        <v>47</v>
      </c>
    </row>
    <row r="1236" customFormat="false" ht="15" hidden="false" customHeight="false" outlineLevel="0" collapsed="false">
      <c r="B1236" s="1" t="s">
        <v>292</v>
      </c>
      <c r="F1236" s="57" t="s">
        <v>290</v>
      </c>
      <c r="G1236" s="58" t="n">
        <v>1</v>
      </c>
      <c r="H1236" s="59" t="n">
        <f aca="false">G1236*8/$D$1230</f>
        <v>0.0285714285714286</v>
      </c>
      <c r="I1236" s="30" t="n">
        <v>20.51</v>
      </c>
      <c r="J1236" s="30" t="n">
        <f aca="false">H1236*I1236</f>
        <v>0.586</v>
      </c>
      <c r="K1236" s="1" t="n">
        <v>47</v>
      </c>
    </row>
    <row r="1237" customFormat="false" ht="15" hidden="false" customHeight="false" outlineLevel="0" collapsed="false">
      <c r="J1237" s="55" t="n">
        <f aca="false">ROUND(SUM(J1233:J1236),2)</f>
        <v>2.16</v>
      </c>
    </row>
    <row r="1238" customFormat="false" ht="15" hidden="false" customHeight="false" outlineLevel="0" collapsed="false">
      <c r="B1238" s="56" t="s">
        <v>293</v>
      </c>
      <c r="F1238" s="57"/>
    </row>
    <row r="1239" customFormat="false" ht="15" hidden="false" customHeight="false" outlineLevel="0" collapsed="false">
      <c r="B1239" s="1" t="s">
        <v>731</v>
      </c>
      <c r="F1239" s="57" t="s">
        <v>295</v>
      </c>
      <c r="H1239" s="59" t="n">
        <v>1.05</v>
      </c>
      <c r="I1239" s="30" t="n">
        <v>5.03</v>
      </c>
      <c r="J1239" s="30" t="n">
        <f aca="false">H1239*I1239</f>
        <v>5.2815</v>
      </c>
      <c r="K1239" s="1" t="n">
        <v>2</v>
      </c>
    </row>
    <row r="1240" customFormat="false" ht="15" hidden="false" customHeight="false" outlineLevel="0" collapsed="false">
      <c r="J1240" s="55" t="n">
        <f aca="false">ROUND(SUM(J1239:J1239),2)</f>
        <v>5.28</v>
      </c>
    </row>
    <row r="1241" customFormat="false" ht="15" hidden="false" customHeight="false" outlineLevel="0" collapsed="false">
      <c r="B1241" s="56" t="s">
        <v>317</v>
      </c>
    </row>
    <row r="1242" customFormat="false" ht="15" hidden="false" customHeight="false" outlineLevel="0" collapsed="false">
      <c r="B1242" s="1" t="s">
        <v>309</v>
      </c>
      <c r="F1242" s="57" t="s">
        <v>310</v>
      </c>
      <c r="H1242" s="59" t="n">
        <v>3</v>
      </c>
      <c r="I1242" s="30" t="n">
        <f aca="false">J1237</f>
        <v>2.16</v>
      </c>
      <c r="J1242" s="30" t="n">
        <f aca="false">H1242%*I1242</f>
        <v>0.0648</v>
      </c>
      <c r="K1242" s="1" t="n">
        <v>37</v>
      </c>
    </row>
    <row r="1243" customFormat="false" ht="15" hidden="false" customHeight="false" outlineLevel="0" collapsed="false">
      <c r="A1243" s="62"/>
      <c r="B1243" s="62"/>
      <c r="C1243" s="62"/>
      <c r="D1243" s="62"/>
      <c r="E1243" s="62"/>
      <c r="F1243" s="62"/>
      <c r="G1243" s="62"/>
      <c r="H1243" s="62"/>
      <c r="I1243" s="62"/>
      <c r="J1243" s="63" t="n">
        <f aca="false">ROUND(SUM(J1242:J1242),2)</f>
        <v>0.06</v>
      </c>
    </row>
    <row r="1245" customFormat="false" ht="15" hidden="false" customHeight="false" outlineLevel="0" collapsed="false">
      <c r="A1245" s="14" t="s">
        <v>276</v>
      </c>
      <c r="B1245" s="85" t="str">
        <f aca="false">ESTRUCTURA!A101</f>
        <v>02.04.04.03</v>
      </c>
      <c r="C1245" s="14" t="s">
        <v>600</v>
      </c>
      <c r="D1245" s="14"/>
      <c r="E1245" s="14"/>
      <c r="F1245" s="14"/>
      <c r="G1245" s="14"/>
      <c r="H1245" s="14"/>
      <c r="I1245" s="14"/>
    </row>
    <row r="1246" customFormat="false" ht="15" hidden="false" customHeight="false" outlineLevel="0" collapsed="false">
      <c r="A1246" s="14" t="s">
        <v>277</v>
      </c>
      <c r="B1246" s="14" t="s">
        <v>278</v>
      </c>
      <c r="C1246" s="38" t="s">
        <v>279</v>
      </c>
      <c r="D1246" s="54" t="n">
        <v>250</v>
      </c>
      <c r="E1246" s="38" t="s">
        <v>280</v>
      </c>
      <c r="F1246" s="54" t="n">
        <f aca="false">D1246</f>
        <v>250</v>
      </c>
      <c r="G1246" s="14" t="s">
        <v>281</v>
      </c>
      <c r="I1246" s="38" t="s">
        <v>132</v>
      </c>
      <c r="J1246" s="55" t="n">
        <f aca="false">J1250+J1253+J1256</f>
        <v>2.95</v>
      </c>
    </row>
    <row r="1247" customFormat="false" ht="15" hidden="false" customHeight="false" outlineLevel="0" collapsed="false">
      <c r="A1247" s="14" t="s">
        <v>282</v>
      </c>
      <c r="B1247" s="14" t="s">
        <v>283</v>
      </c>
      <c r="F1247" s="38" t="s">
        <v>121</v>
      </c>
      <c r="G1247" s="38" t="s">
        <v>284</v>
      </c>
      <c r="H1247" s="38" t="s">
        <v>285</v>
      </c>
      <c r="I1247" s="38" t="s">
        <v>286</v>
      </c>
      <c r="J1247" s="38" t="s">
        <v>287</v>
      </c>
    </row>
    <row r="1248" customFormat="false" ht="15" hidden="false" customHeight="false" outlineLevel="0" collapsed="false">
      <c r="B1248" s="56" t="s">
        <v>288</v>
      </c>
    </row>
    <row r="1249" customFormat="false" ht="15" hidden="false" customHeight="false" outlineLevel="0" collapsed="false">
      <c r="B1249" s="1" t="s">
        <v>291</v>
      </c>
      <c r="F1249" s="57" t="s">
        <v>290</v>
      </c>
      <c r="G1249" s="58" t="n">
        <v>1</v>
      </c>
      <c r="H1249" s="59" t="n">
        <f aca="false">G1249*8/$D$1246</f>
        <v>0.032</v>
      </c>
      <c r="I1249" s="30" t="n">
        <v>22.66</v>
      </c>
      <c r="J1249" s="30" t="n">
        <f aca="false">H1249*I1249</f>
        <v>0.72512</v>
      </c>
      <c r="K1249" s="1" t="n">
        <v>47</v>
      </c>
    </row>
    <row r="1250" customFormat="false" ht="15" hidden="false" customHeight="false" outlineLevel="0" collapsed="false">
      <c r="F1250" s="57"/>
      <c r="G1250" s="58"/>
      <c r="H1250" s="59"/>
      <c r="I1250" s="30"/>
      <c r="J1250" s="55" t="n">
        <f aca="false">ROUND(SUM(J1249:J1249),2)</f>
        <v>0.73</v>
      </c>
    </row>
    <row r="1251" customFormat="false" ht="15" hidden="false" customHeight="false" outlineLevel="0" collapsed="false">
      <c r="B1251" s="56" t="s">
        <v>293</v>
      </c>
    </row>
    <row r="1252" customFormat="false" ht="15" hidden="false" customHeight="false" outlineLevel="0" collapsed="false">
      <c r="B1252" s="1" t="s">
        <v>725</v>
      </c>
      <c r="F1252" s="57" t="s">
        <v>437</v>
      </c>
      <c r="H1252" s="59" t="n">
        <v>0.05</v>
      </c>
      <c r="I1252" s="30" t="n">
        <v>43.9</v>
      </c>
      <c r="J1252" s="30" t="n">
        <f aca="false">H1252*I1252</f>
        <v>2.195</v>
      </c>
      <c r="K1252" s="1" t="n">
        <v>30</v>
      </c>
    </row>
    <row r="1253" customFormat="false" ht="15" hidden="false" customHeight="false" outlineLevel="0" collapsed="false">
      <c r="J1253" s="55" t="n">
        <f aca="false">ROUND(SUM(J1252),2)</f>
        <v>2.2</v>
      </c>
    </row>
    <row r="1254" customFormat="false" ht="15" hidden="false" customHeight="false" outlineLevel="0" collapsed="false">
      <c r="B1254" s="56" t="s">
        <v>317</v>
      </c>
    </row>
    <row r="1255" customFormat="false" ht="15" hidden="false" customHeight="false" outlineLevel="0" collapsed="false">
      <c r="B1255" s="1" t="s">
        <v>309</v>
      </c>
      <c r="F1255" s="57" t="s">
        <v>310</v>
      </c>
      <c r="H1255" s="59" t="n">
        <v>3</v>
      </c>
      <c r="I1255" s="30" t="n">
        <f aca="false">J1250</f>
        <v>0.73</v>
      </c>
      <c r="J1255" s="30" t="n">
        <f aca="false">H1255%*I1255</f>
        <v>0.0219</v>
      </c>
      <c r="K1255" s="1" t="n">
        <v>37</v>
      </c>
    </row>
    <row r="1256" customFormat="false" ht="15" hidden="false" customHeight="false" outlineLevel="0" collapsed="false">
      <c r="A1256" s="62"/>
      <c r="B1256" s="62"/>
      <c r="C1256" s="62"/>
      <c r="D1256" s="62"/>
      <c r="E1256" s="62"/>
      <c r="F1256" s="62"/>
      <c r="G1256" s="62"/>
      <c r="H1256" s="62"/>
      <c r="I1256" s="62"/>
      <c r="J1256" s="63" t="n">
        <f aca="false">ROUND(SUM(J1255),2)</f>
        <v>0.02</v>
      </c>
    </row>
    <row r="1258" customFormat="false" ht="15" hidden="false" customHeight="false" outlineLevel="0" collapsed="false">
      <c r="A1258" s="85" t="s">
        <v>276</v>
      </c>
      <c r="B1258" s="85" t="str">
        <f aca="false">ESTRUCTURA!A102</f>
        <v>02.04.04.04</v>
      </c>
      <c r="C1258" s="85" t="s">
        <v>633</v>
      </c>
      <c r="D1258" s="85"/>
    </row>
    <row r="1259" customFormat="false" ht="15" hidden="false" customHeight="false" outlineLevel="0" collapsed="false">
      <c r="A1259" s="85" t="s">
        <v>277</v>
      </c>
      <c r="B1259" s="85" t="s">
        <v>415</v>
      </c>
      <c r="C1259" s="87" t="s">
        <v>279</v>
      </c>
      <c r="D1259" s="88" t="n">
        <v>30</v>
      </c>
      <c r="E1259" s="87" t="s">
        <v>280</v>
      </c>
      <c r="F1259" s="88" t="n">
        <f aca="false">D1259</f>
        <v>30</v>
      </c>
      <c r="G1259" s="85" t="s">
        <v>281</v>
      </c>
      <c r="I1259" s="87" t="s">
        <v>202</v>
      </c>
      <c r="J1259" s="89" t="n">
        <f aca="false">J1266+J1271+J1275</f>
        <v>445.67</v>
      </c>
    </row>
    <row r="1260" customFormat="false" ht="15" hidden="false" customHeight="false" outlineLevel="0" collapsed="false">
      <c r="A1260" s="85" t="s">
        <v>282</v>
      </c>
      <c r="B1260" s="85" t="s">
        <v>283</v>
      </c>
      <c r="F1260" s="87" t="s">
        <v>121</v>
      </c>
      <c r="G1260" s="87" t="s">
        <v>284</v>
      </c>
      <c r="H1260" s="87" t="s">
        <v>285</v>
      </c>
      <c r="I1260" s="87" t="s">
        <v>286</v>
      </c>
      <c r="J1260" s="87" t="s">
        <v>287</v>
      </c>
    </row>
    <row r="1261" customFormat="false" ht="15" hidden="false" customHeight="false" outlineLevel="0" collapsed="false">
      <c r="B1261" s="90" t="s">
        <v>288</v>
      </c>
    </row>
    <row r="1262" customFormat="false" ht="15" hidden="false" customHeight="false" outlineLevel="0" collapsed="false">
      <c r="B1262" s="1" t="s">
        <v>649</v>
      </c>
      <c r="F1262" s="57" t="s">
        <v>290</v>
      </c>
      <c r="G1262" s="58" t="n">
        <v>0.1</v>
      </c>
      <c r="H1262" s="59" t="n">
        <f aca="false">G1262*8/$D$1259</f>
        <v>0.0266666666666667</v>
      </c>
      <c r="I1262" s="30" t="n">
        <v>34.73</v>
      </c>
      <c r="J1262" s="30" t="n">
        <f aca="false">H1262*I1262</f>
        <v>0.926133333333333</v>
      </c>
      <c r="K1262" s="1" t="n">
        <v>47</v>
      </c>
    </row>
    <row r="1263" customFormat="false" ht="15" hidden="false" customHeight="false" outlineLevel="0" collapsed="false">
      <c r="B1263" s="1" t="s">
        <v>289</v>
      </c>
      <c r="F1263" s="57" t="s">
        <v>290</v>
      </c>
      <c r="G1263" s="58" t="n">
        <v>2</v>
      </c>
      <c r="H1263" s="59" t="n">
        <f aca="false">G1263*8/$D$1259</f>
        <v>0.533333333333333</v>
      </c>
      <c r="I1263" s="30" t="n">
        <v>28.94</v>
      </c>
      <c r="J1263" s="30" t="n">
        <f aca="false">H1263*I1263</f>
        <v>15.4346666666667</v>
      </c>
      <c r="K1263" s="1" t="n">
        <v>47</v>
      </c>
    </row>
    <row r="1264" customFormat="false" ht="15" hidden="false" customHeight="false" outlineLevel="0" collapsed="false">
      <c r="B1264" s="1" t="s">
        <v>291</v>
      </c>
      <c r="F1264" s="57" t="s">
        <v>290</v>
      </c>
      <c r="G1264" s="58" t="n">
        <v>1</v>
      </c>
      <c r="H1264" s="59" t="n">
        <f aca="false">G1264*8/$D$1259</f>
        <v>0.266666666666667</v>
      </c>
      <c r="I1264" s="30" t="n">
        <v>22.66</v>
      </c>
      <c r="J1264" s="30" t="n">
        <f aca="false">H1264*I1264</f>
        <v>6.04266666666667</v>
      </c>
      <c r="K1264" s="1" t="n">
        <v>47</v>
      </c>
    </row>
    <row r="1265" customFormat="false" ht="15" hidden="false" customHeight="false" outlineLevel="0" collapsed="false">
      <c r="B1265" s="1" t="s">
        <v>292</v>
      </c>
      <c r="F1265" s="57" t="s">
        <v>290</v>
      </c>
      <c r="G1265" s="58" t="n">
        <v>4</v>
      </c>
      <c r="H1265" s="59" t="n">
        <f aca="false">G1265*8/$D$1259</f>
        <v>1.06666666666667</v>
      </c>
      <c r="I1265" s="30" t="n">
        <v>20.51</v>
      </c>
      <c r="J1265" s="30" t="n">
        <f aca="false">H1265*I1265</f>
        <v>21.8773333333333</v>
      </c>
      <c r="K1265" s="1" t="n">
        <v>47</v>
      </c>
    </row>
    <row r="1266" customFormat="false" ht="15" hidden="false" customHeight="false" outlineLevel="0" collapsed="false">
      <c r="F1266" s="57"/>
      <c r="G1266" s="58"/>
      <c r="H1266" s="59"/>
      <c r="J1266" s="89" t="n">
        <f aca="false">ROUND(SUM(J1262:J1265),2)</f>
        <v>44.28</v>
      </c>
    </row>
    <row r="1267" customFormat="false" ht="15" hidden="false" customHeight="false" outlineLevel="0" collapsed="false">
      <c r="B1267" s="90" t="s">
        <v>652</v>
      </c>
      <c r="F1267" s="57"/>
      <c r="G1267" s="58"/>
      <c r="H1267" s="59"/>
      <c r="J1267" s="30"/>
    </row>
    <row r="1268" customFormat="false" ht="15" hidden="false" customHeight="false" outlineLevel="0" collapsed="false">
      <c r="B1268" s="104" t="s">
        <v>718</v>
      </c>
      <c r="F1268" s="57" t="s">
        <v>202</v>
      </c>
      <c r="H1268" s="59" t="n">
        <v>0.1</v>
      </c>
      <c r="I1268" s="30" t="n">
        <v>24.52</v>
      </c>
      <c r="J1268" s="30" t="n">
        <f aca="false">H1268*I1268</f>
        <v>2.452</v>
      </c>
      <c r="K1268" s="1" t="n">
        <v>21</v>
      </c>
    </row>
    <row r="1269" customFormat="false" ht="15" hidden="false" customHeight="false" outlineLevel="0" collapsed="false">
      <c r="B1269" s="104" t="s">
        <v>719</v>
      </c>
      <c r="F1269" s="57" t="s">
        <v>202</v>
      </c>
      <c r="H1269" s="59" t="n">
        <v>1.02</v>
      </c>
      <c r="I1269" s="30" t="n">
        <v>358</v>
      </c>
      <c r="J1269" s="30" t="n">
        <f aca="false">H1269*I1269</f>
        <v>365.16</v>
      </c>
      <c r="K1269" s="1" t="n">
        <v>80</v>
      </c>
    </row>
    <row r="1270" customFormat="false" ht="15" hidden="false" customHeight="false" outlineLevel="0" collapsed="false">
      <c r="B1270" s="104" t="s">
        <v>720</v>
      </c>
      <c r="F1270" s="57" t="s">
        <v>306</v>
      </c>
      <c r="H1270" s="59" t="n">
        <v>1.02</v>
      </c>
      <c r="I1270" s="30" t="n">
        <v>30</v>
      </c>
      <c r="J1270" s="30" t="n">
        <f aca="false">H1270*I1270</f>
        <v>30.6</v>
      </c>
      <c r="K1270" s="1" t="n">
        <v>39</v>
      </c>
    </row>
    <row r="1271" customFormat="false" ht="15" hidden="false" customHeight="false" outlineLevel="0" collapsed="false">
      <c r="F1271" s="57"/>
      <c r="H1271" s="59"/>
      <c r="I1271" s="30"/>
      <c r="J1271" s="89" t="n">
        <f aca="false">ROUND(SUM(J1268:J1270),2)</f>
        <v>398.21</v>
      </c>
    </row>
    <row r="1272" customFormat="false" ht="15" hidden="false" customHeight="false" outlineLevel="0" collapsed="false">
      <c r="B1272" s="90" t="s">
        <v>308</v>
      </c>
    </row>
    <row r="1273" customFormat="false" ht="15" hidden="false" customHeight="false" outlineLevel="0" collapsed="false">
      <c r="B1273" s="1" t="s">
        <v>309</v>
      </c>
      <c r="F1273" s="57" t="s">
        <v>310</v>
      </c>
      <c r="H1273" s="59" t="n">
        <v>3</v>
      </c>
      <c r="I1273" s="30" t="n">
        <f aca="false">J1266</f>
        <v>44.28</v>
      </c>
      <c r="J1273" s="30" t="n">
        <f aca="false">H1273%*I1273</f>
        <v>1.3284</v>
      </c>
      <c r="K1273" s="1" t="n">
        <v>37</v>
      </c>
    </row>
    <row r="1274" customFormat="false" ht="15" hidden="false" customHeight="false" outlineLevel="0" collapsed="false">
      <c r="B1274" s="104" t="s">
        <v>721</v>
      </c>
      <c r="F1274" s="57" t="s">
        <v>337</v>
      </c>
      <c r="G1274" s="58" t="n">
        <v>1</v>
      </c>
      <c r="H1274" s="59" t="n">
        <f aca="false">G1274*8/$D$1259</f>
        <v>0.266666666666667</v>
      </c>
      <c r="I1274" s="30" t="n">
        <v>6.93</v>
      </c>
      <c r="J1274" s="30" t="n">
        <f aca="false">H1274*I1274</f>
        <v>1.848</v>
      </c>
      <c r="K1274" s="1" t="n">
        <v>49</v>
      </c>
    </row>
    <row r="1275" customFormat="false" ht="15" hidden="false" customHeight="false" outlineLevel="0" collapsed="false">
      <c r="A1275" s="62"/>
      <c r="B1275" s="62"/>
      <c r="C1275" s="62"/>
      <c r="D1275" s="62"/>
      <c r="E1275" s="62"/>
      <c r="F1275" s="62"/>
      <c r="G1275" s="62"/>
      <c r="H1275" s="62"/>
      <c r="I1275" s="62"/>
      <c r="J1275" s="91" t="n">
        <f aca="false">ROUND(SUM(J1273:J1274),2)</f>
        <v>3.18</v>
      </c>
    </row>
    <row r="1276" customFormat="false" ht="15" hidden="false" customHeight="false" outlineLevel="0" collapsed="false">
      <c r="J1276" s="89"/>
    </row>
    <row r="1277" customFormat="false" ht="15" hidden="false" customHeight="false" outlineLevel="0" collapsed="false">
      <c r="A1277" s="14" t="s">
        <v>276</v>
      </c>
      <c r="B1277" s="14" t="str">
        <f aca="false">ESTRUCTURA!A103</f>
        <v>02.04.04.05</v>
      </c>
      <c r="C1277" s="14" t="s">
        <v>604</v>
      </c>
      <c r="D1277" s="14"/>
      <c r="E1277" s="14"/>
      <c r="F1277" s="14"/>
      <c r="G1277" s="14"/>
      <c r="H1277" s="14"/>
      <c r="I1277" s="14"/>
    </row>
    <row r="1278" customFormat="false" ht="15" hidden="false" customHeight="false" outlineLevel="0" collapsed="false">
      <c r="A1278" s="14" t="s">
        <v>277</v>
      </c>
      <c r="B1278" s="14" t="s">
        <v>313</v>
      </c>
      <c r="C1278" s="38" t="s">
        <v>279</v>
      </c>
      <c r="D1278" s="54" t="n">
        <v>100</v>
      </c>
      <c r="E1278" s="38" t="s">
        <v>280</v>
      </c>
      <c r="F1278" s="54" t="n">
        <f aca="false">D1278</f>
        <v>100</v>
      </c>
      <c r="G1278" s="14" t="s">
        <v>281</v>
      </c>
      <c r="I1278" s="38" t="s">
        <v>143</v>
      </c>
      <c r="J1278" s="55" t="n">
        <f aca="false">J1283+J1287+J1290</f>
        <v>19.24</v>
      </c>
    </row>
    <row r="1279" customFormat="false" ht="15" hidden="false" customHeight="false" outlineLevel="0" collapsed="false">
      <c r="A1279" s="14" t="s">
        <v>282</v>
      </c>
      <c r="B1279" s="14" t="s">
        <v>283</v>
      </c>
      <c r="F1279" s="38" t="s">
        <v>121</v>
      </c>
      <c r="G1279" s="38" t="s">
        <v>284</v>
      </c>
      <c r="H1279" s="38" t="s">
        <v>285</v>
      </c>
      <c r="I1279" s="38" t="s">
        <v>286</v>
      </c>
      <c r="J1279" s="38" t="s">
        <v>287</v>
      </c>
    </row>
    <row r="1280" customFormat="false" ht="15" hidden="false" customHeight="false" outlineLevel="0" collapsed="false">
      <c r="B1280" s="56" t="s">
        <v>288</v>
      </c>
    </row>
    <row r="1281" customFormat="false" ht="15" hidden="false" customHeight="false" outlineLevel="0" collapsed="false">
      <c r="B1281" s="1" t="s">
        <v>649</v>
      </c>
      <c r="F1281" s="57" t="s">
        <v>290</v>
      </c>
      <c r="G1281" s="58" t="n">
        <v>1</v>
      </c>
      <c r="H1281" s="59" t="n">
        <f aca="false">G1281*8/$D$1278</f>
        <v>0.08</v>
      </c>
      <c r="I1281" s="30" t="n">
        <v>34.73</v>
      </c>
      <c r="J1281" s="30" t="n">
        <f aca="false">H1281*I1281</f>
        <v>2.7784</v>
      </c>
      <c r="K1281" s="1" t="n">
        <v>47</v>
      </c>
    </row>
    <row r="1282" customFormat="false" ht="15" hidden="false" customHeight="false" outlineLevel="0" collapsed="false">
      <c r="B1282" s="1" t="s">
        <v>289</v>
      </c>
      <c r="F1282" s="57" t="s">
        <v>290</v>
      </c>
      <c r="G1282" s="58" t="n">
        <v>0.2</v>
      </c>
      <c r="H1282" s="59" t="n">
        <f aca="false">G1282*8/$D$1278</f>
        <v>0.016</v>
      </c>
      <c r="I1282" s="30" t="n">
        <v>28.94</v>
      </c>
      <c r="J1282" s="30" t="n">
        <f aca="false">H1282*I1282</f>
        <v>0.46304</v>
      </c>
      <c r="K1282" s="1" t="n">
        <v>47</v>
      </c>
    </row>
    <row r="1283" customFormat="false" ht="15" hidden="false" customHeight="false" outlineLevel="0" collapsed="false">
      <c r="F1283" s="57"/>
      <c r="G1283" s="58"/>
      <c r="H1283" s="59"/>
      <c r="I1283" s="30"/>
      <c r="J1283" s="55" t="n">
        <f aca="false">ROUND(SUM(J1281:J1282),2)</f>
        <v>3.24</v>
      </c>
    </row>
    <row r="1284" customFormat="false" ht="15" hidden="false" customHeight="false" outlineLevel="0" collapsed="false">
      <c r="B1284" s="56" t="s">
        <v>293</v>
      </c>
      <c r="F1284" s="57"/>
    </row>
    <row r="1285" customFormat="false" ht="15" hidden="false" customHeight="false" outlineLevel="0" collapsed="false">
      <c r="B1285" s="1" t="s">
        <v>726</v>
      </c>
      <c r="F1285" s="57" t="s">
        <v>132</v>
      </c>
      <c r="H1285" s="59" t="n">
        <v>0.05</v>
      </c>
      <c r="I1285" s="30" t="n">
        <v>18</v>
      </c>
      <c r="J1285" s="30" t="n">
        <f aca="false">H1285*I1285</f>
        <v>0.9</v>
      </c>
      <c r="K1285" s="1" t="n">
        <v>60</v>
      </c>
    </row>
    <row r="1286" customFormat="false" ht="15" hidden="false" customHeight="false" outlineLevel="0" collapsed="false">
      <c r="B1286" s="1" t="s">
        <v>727</v>
      </c>
      <c r="F1286" s="57" t="s">
        <v>437</v>
      </c>
      <c r="H1286" s="59" t="n">
        <v>0.1</v>
      </c>
      <c r="I1286" s="30" t="n">
        <v>150</v>
      </c>
      <c r="J1286" s="30" t="n">
        <f aca="false">H1286*I1286</f>
        <v>15</v>
      </c>
      <c r="K1286" s="1" t="n">
        <v>30</v>
      </c>
    </row>
    <row r="1287" customFormat="false" ht="15" hidden="false" customHeight="false" outlineLevel="0" collapsed="false">
      <c r="J1287" s="55" t="n">
        <f aca="false">ROUND(SUM(J1285:J1286),2)</f>
        <v>15.9</v>
      </c>
    </row>
    <row r="1288" customFormat="false" ht="15" hidden="false" customHeight="false" outlineLevel="0" collapsed="false">
      <c r="B1288" s="56" t="s">
        <v>317</v>
      </c>
    </row>
    <row r="1289" customFormat="false" ht="15" hidden="false" customHeight="false" outlineLevel="0" collapsed="false">
      <c r="B1289" s="1" t="s">
        <v>309</v>
      </c>
      <c r="F1289" s="57" t="s">
        <v>310</v>
      </c>
      <c r="H1289" s="59" t="n">
        <v>3</v>
      </c>
      <c r="I1289" s="30" t="n">
        <f aca="false">J1283</f>
        <v>3.24</v>
      </c>
      <c r="J1289" s="30" t="n">
        <f aca="false">H1289%*I1289</f>
        <v>0.0972</v>
      </c>
      <c r="K1289" s="1" t="n">
        <v>37</v>
      </c>
    </row>
    <row r="1290" customFormat="false" ht="15" hidden="false" customHeight="false" outlineLevel="0" collapsed="false">
      <c r="A1290" s="62"/>
      <c r="B1290" s="62"/>
      <c r="C1290" s="62"/>
      <c r="D1290" s="62"/>
      <c r="E1290" s="62"/>
      <c r="F1290" s="62"/>
      <c r="G1290" s="62"/>
      <c r="H1290" s="62"/>
      <c r="I1290" s="62"/>
      <c r="J1290" s="63" t="n">
        <f aca="false">ROUND(SUM(J1289),2)</f>
        <v>0.1</v>
      </c>
    </row>
    <row r="1292" customFormat="false" ht="15" hidden="false" customHeight="false" outlineLevel="0" collapsed="false">
      <c r="A1292" s="14" t="s">
        <v>276</v>
      </c>
      <c r="B1292" s="14" t="str">
        <f aca="false">ESTRUCTURA!A105</f>
        <v>02.04.05.01</v>
      </c>
      <c r="C1292" s="14" t="s">
        <v>83</v>
      </c>
      <c r="D1292" s="14"/>
      <c r="E1292" s="14"/>
      <c r="F1292" s="14"/>
      <c r="G1292" s="14"/>
      <c r="H1292" s="14"/>
      <c r="I1292" s="14"/>
    </row>
    <row r="1293" customFormat="false" ht="15" hidden="false" customHeight="false" outlineLevel="0" collapsed="false">
      <c r="A1293" s="14" t="s">
        <v>277</v>
      </c>
      <c r="B1293" s="14" t="s">
        <v>325</v>
      </c>
      <c r="C1293" s="38" t="s">
        <v>279</v>
      </c>
      <c r="D1293" s="54" t="n">
        <v>1</v>
      </c>
      <c r="E1293" s="38" t="s">
        <v>280</v>
      </c>
      <c r="F1293" s="54" t="n">
        <f aca="false">D1293</f>
        <v>1</v>
      </c>
      <c r="G1293" s="14" t="s">
        <v>281</v>
      </c>
      <c r="I1293" s="38" t="s">
        <v>148</v>
      </c>
      <c r="J1293" s="55" t="n">
        <f aca="false">J1297</f>
        <v>69.41</v>
      </c>
    </row>
    <row r="1294" customFormat="false" ht="15" hidden="false" customHeight="false" outlineLevel="0" collapsed="false">
      <c r="A1294" s="14" t="s">
        <v>282</v>
      </c>
      <c r="B1294" s="14" t="s">
        <v>283</v>
      </c>
      <c r="F1294" s="38" t="s">
        <v>121</v>
      </c>
      <c r="G1294" s="38" t="s">
        <v>284</v>
      </c>
      <c r="H1294" s="38" t="s">
        <v>285</v>
      </c>
      <c r="I1294" s="38" t="s">
        <v>286</v>
      </c>
      <c r="J1294" s="38" t="s">
        <v>287</v>
      </c>
      <c r="R1294" s="105"/>
    </row>
    <row r="1295" customFormat="false" ht="15" hidden="false" customHeight="false" outlineLevel="0" collapsed="false">
      <c r="B1295" s="56" t="s">
        <v>293</v>
      </c>
    </row>
    <row r="1296" customFormat="false" ht="15" hidden="false" customHeight="false" outlineLevel="0" collapsed="false">
      <c r="B1296" s="1" t="s">
        <v>83</v>
      </c>
      <c r="F1296" s="57" t="s">
        <v>148</v>
      </c>
      <c r="G1296" s="58"/>
      <c r="H1296" s="59" t="n">
        <v>1</v>
      </c>
      <c r="I1296" s="1" t="n">
        <v>69.41</v>
      </c>
      <c r="J1296" s="30" t="n">
        <f aca="false">H1296*I1296</f>
        <v>69.41</v>
      </c>
      <c r="K1296" s="1" t="n">
        <v>39</v>
      </c>
    </row>
    <row r="1297" customFormat="false" ht="15" hidden="false" customHeight="false" outlineLevel="0" collapsed="false">
      <c r="A1297" s="62"/>
      <c r="B1297" s="62"/>
      <c r="C1297" s="62"/>
      <c r="D1297" s="62"/>
      <c r="E1297" s="62"/>
      <c r="F1297" s="62"/>
      <c r="G1297" s="62"/>
      <c r="H1297" s="62"/>
      <c r="I1297" s="62"/>
      <c r="J1297" s="63" t="n">
        <f aca="false">ROUND(SUM(J1296),2)</f>
        <v>69.41</v>
      </c>
    </row>
    <row r="1299" customFormat="false" ht="15" hidden="false" customHeight="false" outlineLevel="0" collapsed="false">
      <c r="A1299" s="14" t="s">
        <v>276</v>
      </c>
      <c r="B1299" s="14" t="str">
        <f aca="false">ESTRUCTURA!A107</f>
        <v>02.04.06.01</v>
      </c>
      <c r="C1299" s="14" t="s">
        <v>640</v>
      </c>
      <c r="D1299" s="14"/>
      <c r="R1299" s="85" t="s">
        <v>333</v>
      </c>
      <c r="S1299" s="105" t="n">
        <f aca="false">A1303</f>
        <v>100000000001</v>
      </c>
      <c r="T1299" s="85" t="s">
        <v>732</v>
      </c>
      <c r="U1299" s="85"/>
    </row>
    <row r="1300" customFormat="false" ht="15" hidden="false" customHeight="false" outlineLevel="0" collapsed="false">
      <c r="A1300" s="14" t="s">
        <v>277</v>
      </c>
      <c r="B1300" s="14" t="s">
        <v>415</v>
      </c>
      <c r="C1300" s="38" t="s">
        <v>279</v>
      </c>
      <c r="D1300" s="54" t="n">
        <v>187.5</v>
      </c>
      <c r="E1300" s="38" t="s">
        <v>280</v>
      </c>
      <c r="F1300" s="54" t="n">
        <f aca="false">D1300</f>
        <v>187.5</v>
      </c>
      <c r="G1300" s="14" t="s">
        <v>281</v>
      </c>
      <c r="I1300" s="38" t="s">
        <v>202</v>
      </c>
      <c r="J1300" s="55" t="n">
        <f aca="false">J1306</f>
        <v>1480.2</v>
      </c>
      <c r="R1300" s="85" t="s">
        <v>277</v>
      </c>
      <c r="S1300" s="85" t="s">
        <v>278</v>
      </c>
      <c r="T1300" s="87" t="s">
        <v>279</v>
      </c>
      <c r="U1300" s="88" t="n">
        <v>10</v>
      </c>
      <c r="V1300" s="87" t="s">
        <v>280</v>
      </c>
      <c r="W1300" s="88" t="n">
        <f aca="false">U1300</f>
        <v>10</v>
      </c>
      <c r="X1300" s="85" t="s">
        <v>281</v>
      </c>
      <c r="Z1300" s="87" t="s">
        <v>132</v>
      </c>
      <c r="AA1300" s="89" t="n">
        <f aca="false">AA1306+AA1311+AA1314</f>
        <v>75.42</v>
      </c>
    </row>
    <row r="1301" customFormat="false" ht="15" hidden="false" customHeight="false" outlineLevel="0" collapsed="false">
      <c r="A1301" s="14" t="s">
        <v>282</v>
      </c>
      <c r="B1301" s="14" t="s">
        <v>283</v>
      </c>
      <c r="F1301" s="38" t="s">
        <v>121</v>
      </c>
      <c r="G1301" s="38" t="s">
        <v>284</v>
      </c>
      <c r="H1301" s="38" t="s">
        <v>285</v>
      </c>
      <c r="I1301" s="38" t="s">
        <v>286</v>
      </c>
      <c r="J1301" s="38" t="s">
        <v>287</v>
      </c>
      <c r="R1301" s="85" t="s">
        <v>282</v>
      </c>
      <c r="S1301" s="85" t="s">
        <v>283</v>
      </c>
      <c r="W1301" s="87" t="s">
        <v>121</v>
      </c>
      <c r="X1301" s="87" t="s">
        <v>284</v>
      </c>
      <c r="Y1301" s="87" t="s">
        <v>285</v>
      </c>
      <c r="Z1301" s="87" t="s">
        <v>286</v>
      </c>
      <c r="AA1301" s="87" t="s">
        <v>287</v>
      </c>
    </row>
    <row r="1302" customFormat="false" ht="15" hidden="false" customHeight="false" outlineLevel="0" collapsed="false">
      <c r="B1302" s="56" t="s">
        <v>733</v>
      </c>
      <c r="S1302" s="90" t="s">
        <v>288</v>
      </c>
    </row>
    <row r="1303" customFormat="false" ht="15" hidden="false" customHeight="false" outlineLevel="0" collapsed="false">
      <c r="A1303" s="106" t="n">
        <v>100000000001</v>
      </c>
      <c r="B1303" s="1" t="s">
        <v>732</v>
      </c>
      <c r="F1303" s="57" t="s">
        <v>132</v>
      </c>
      <c r="H1303" s="59" t="n">
        <v>6.88</v>
      </c>
      <c r="I1303" s="30" t="n">
        <f aca="false">AA1300</f>
        <v>75.42</v>
      </c>
      <c r="J1303" s="30" t="n">
        <f aca="false">H1303*I1303</f>
        <v>518.8896</v>
      </c>
      <c r="S1303" s="1" t="s">
        <v>289</v>
      </c>
      <c r="W1303" s="57" t="s">
        <v>290</v>
      </c>
      <c r="X1303" s="58" t="n">
        <v>1</v>
      </c>
      <c r="Y1303" s="59" t="n">
        <f aca="false">X1303*8/$U$1300</f>
        <v>0.8</v>
      </c>
      <c r="Z1303" s="30" t="n">
        <v>28.94</v>
      </c>
      <c r="AA1303" s="30" t="n">
        <f aca="false">Y1303*Z1303</f>
        <v>23.152</v>
      </c>
      <c r="AB1303" s="1" t="n">
        <v>47</v>
      </c>
    </row>
    <row r="1304" customFormat="false" ht="15" hidden="false" customHeight="false" outlineLevel="0" collapsed="false">
      <c r="A1304" s="106" t="n">
        <v>100000000002</v>
      </c>
      <c r="B1304" s="1" t="s">
        <v>734</v>
      </c>
      <c r="F1304" s="57" t="s">
        <v>202</v>
      </c>
      <c r="G1304" s="58"/>
      <c r="H1304" s="59" t="n">
        <v>0.95</v>
      </c>
      <c r="I1304" s="30" t="n">
        <f aca="false">AA1317</f>
        <v>467.96</v>
      </c>
      <c r="J1304" s="30" t="n">
        <f aca="false">H1304*I1304</f>
        <v>444.562</v>
      </c>
      <c r="S1304" s="1" t="s">
        <v>291</v>
      </c>
      <c r="W1304" s="57" t="s">
        <v>290</v>
      </c>
      <c r="X1304" s="58" t="n">
        <v>1</v>
      </c>
      <c r="Y1304" s="59" t="n">
        <f aca="false">X1304*8/$U$1300</f>
        <v>0.8</v>
      </c>
      <c r="Z1304" s="30" t="n">
        <v>22.66</v>
      </c>
      <c r="AA1304" s="30" t="n">
        <f aca="false">Y1304*Z1304</f>
        <v>18.128</v>
      </c>
      <c r="AB1304" s="1" t="n">
        <v>47</v>
      </c>
    </row>
    <row r="1305" customFormat="false" ht="15" hidden="false" customHeight="false" outlineLevel="0" collapsed="false">
      <c r="A1305" s="106" t="n">
        <v>100000000003</v>
      </c>
      <c r="B1305" s="1" t="s">
        <v>735</v>
      </c>
      <c r="F1305" s="57" t="s">
        <v>295</v>
      </c>
      <c r="H1305" s="1" t="n">
        <v>79.5</v>
      </c>
      <c r="I1305" s="30" t="n">
        <v>6.5</v>
      </c>
      <c r="J1305" s="30" t="n">
        <f aca="false">H1305*I1305</f>
        <v>516.75</v>
      </c>
      <c r="S1305" s="1" t="s">
        <v>292</v>
      </c>
      <c r="W1305" s="57" t="s">
        <v>290</v>
      </c>
      <c r="X1305" s="58" t="n">
        <v>0.5</v>
      </c>
      <c r="Y1305" s="59" t="n">
        <f aca="false">X1305*8/$U$1300</f>
        <v>0.4</v>
      </c>
      <c r="Z1305" s="30" t="n">
        <v>20.51</v>
      </c>
      <c r="AA1305" s="30" t="n">
        <f aca="false">Y1305*Z1305</f>
        <v>8.204</v>
      </c>
      <c r="AB1305" s="1" t="n">
        <v>47</v>
      </c>
    </row>
    <row r="1306" customFormat="false" ht="15" hidden="false" customHeight="false" outlineLevel="0" collapsed="false">
      <c r="A1306" s="62"/>
      <c r="B1306" s="62"/>
      <c r="C1306" s="62"/>
      <c r="D1306" s="62"/>
      <c r="E1306" s="62"/>
      <c r="F1306" s="62"/>
      <c r="G1306" s="62"/>
      <c r="H1306" s="62"/>
      <c r="I1306" s="83"/>
      <c r="J1306" s="63" t="n">
        <f aca="false">ROUND(SUM(J1303:J1305),2)</f>
        <v>1480.2</v>
      </c>
      <c r="W1306" s="57"/>
      <c r="X1306" s="58"/>
      <c r="Y1306" s="59"/>
      <c r="AA1306" s="89" t="n">
        <f aca="false">ROUND(SUM(AA1303:AA1305),2)</f>
        <v>49.48</v>
      </c>
    </row>
    <row r="1307" customFormat="false" ht="15" hidden="false" customHeight="false" outlineLevel="0" collapsed="false">
      <c r="S1307" s="90" t="s">
        <v>652</v>
      </c>
      <c r="W1307" s="57"/>
      <c r="X1307" s="58"/>
      <c r="Y1307" s="59"/>
      <c r="AA1307" s="30"/>
    </row>
    <row r="1308" customFormat="false" ht="15" hidden="false" customHeight="false" outlineLevel="0" collapsed="false">
      <c r="A1308" s="14" t="s">
        <v>276</v>
      </c>
      <c r="B1308" s="14" t="str">
        <f aca="false">ESTRUCTURA!A108</f>
        <v>02.04.06.02</v>
      </c>
      <c r="C1308" s="14" t="s">
        <v>736</v>
      </c>
      <c r="D1308" s="14"/>
      <c r="S1308" s="1" t="s">
        <v>685</v>
      </c>
      <c r="W1308" s="57" t="s">
        <v>295</v>
      </c>
      <c r="Y1308" s="59" t="n">
        <v>0.1</v>
      </c>
      <c r="Z1308" s="30" t="n">
        <v>2.64</v>
      </c>
      <c r="AA1308" s="30" t="n">
        <f aca="false">Y1308*Z1308</f>
        <v>0.264</v>
      </c>
      <c r="AB1308" s="1" t="n">
        <v>2</v>
      </c>
    </row>
    <row r="1309" customFormat="false" ht="15" hidden="false" customHeight="false" outlineLevel="0" collapsed="false">
      <c r="A1309" s="14" t="s">
        <v>277</v>
      </c>
      <c r="B1309" s="14" t="s">
        <v>415</v>
      </c>
      <c r="C1309" s="38" t="s">
        <v>279</v>
      </c>
      <c r="D1309" s="54" t="n">
        <v>187.5</v>
      </c>
      <c r="E1309" s="38" t="s">
        <v>280</v>
      </c>
      <c r="F1309" s="54" t="n">
        <f aca="false">D1309</f>
        <v>187.5</v>
      </c>
      <c r="G1309" s="14" t="s">
        <v>281</v>
      </c>
      <c r="I1309" s="38" t="s">
        <v>202</v>
      </c>
      <c r="J1309" s="55" t="n">
        <f aca="false">J1315</f>
        <v>1568.99</v>
      </c>
      <c r="S1309" s="1" t="s">
        <v>300</v>
      </c>
      <c r="W1309" s="57" t="s">
        <v>295</v>
      </c>
      <c r="Y1309" s="59" t="n">
        <v>0.15</v>
      </c>
      <c r="Z1309" s="30" t="n">
        <v>5.51</v>
      </c>
      <c r="AA1309" s="30" t="n">
        <f aca="false">Y1309*Z1309</f>
        <v>0.8265</v>
      </c>
      <c r="AB1309" s="1" t="n">
        <v>2</v>
      </c>
    </row>
    <row r="1310" customFormat="false" ht="15" hidden="false" customHeight="false" outlineLevel="0" collapsed="false">
      <c r="A1310" s="14" t="s">
        <v>282</v>
      </c>
      <c r="B1310" s="14" t="s">
        <v>283</v>
      </c>
      <c r="F1310" s="38" t="s">
        <v>121</v>
      </c>
      <c r="G1310" s="38" t="s">
        <v>284</v>
      </c>
      <c r="H1310" s="38" t="s">
        <v>285</v>
      </c>
      <c r="I1310" s="38" t="s">
        <v>286</v>
      </c>
      <c r="J1310" s="38" t="s">
        <v>287</v>
      </c>
      <c r="S1310" s="1" t="s">
        <v>667</v>
      </c>
      <c r="W1310" s="57" t="s">
        <v>304</v>
      </c>
      <c r="Y1310" s="59" t="n">
        <v>4.03</v>
      </c>
      <c r="Z1310" s="30" t="n">
        <v>5.8</v>
      </c>
      <c r="AA1310" s="30" t="n">
        <f aca="false">Y1310*Z1310</f>
        <v>23.374</v>
      </c>
      <c r="AB1310" s="1" t="n">
        <v>43</v>
      </c>
    </row>
    <row r="1311" customFormat="false" ht="15" hidden="false" customHeight="false" outlineLevel="0" collapsed="false">
      <c r="B1311" s="56" t="s">
        <v>733</v>
      </c>
      <c r="W1311" s="57"/>
      <c r="Y1311" s="59"/>
      <c r="Z1311" s="30"/>
      <c r="AA1311" s="89" t="n">
        <f aca="false">ROUND(SUM(AA1308:AA1310),2)</f>
        <v>24.46</v>
      </c>
    </row>
    <row r="1312" customFormat="false" ht="15" hidden="false" customHeight="false" outlineLevel="0" collapsed="false">
      <c r="A1312" s="106" t="n">
        <v>100000000004</v>
      </c>
      <c r="B1312" s="1" t="s">
        <v>737</v>
      </c>
      <c r="F1312" s="57" t="s">
        <v>132</v>
      </c>
      <c r="H1312" s="1" t="n">
        <v>6.88</v>
      </c>
      <c r="I1312" s="30" t="n">
        <f aca="false">AA1351</f>
        <v>78.11</v>
      </c>
      <c r="J1312" s="30" t="n">
        <f aca="false">H1312*I1312</f>
        <v>537.3968</v>
      </c>
      <c r="S1312" s="90" t="s">
        <v>308</v>
      </c>
    </row>
    <row r="1313" customFormat="false" ht="15" hidden="false" customHeight="false" outlineLevel="0" collapsed="false">
      <c r="A1313" s="106" t="n">
        <v>100000000005</v>
      </c>
      <c r="B1313" s="1" t="s">
        <v>738</v>
      </c>
      <c r="F1313" s="57" t="s">
        <v>202</v>
      </c>
      <c r="G1313" s="58"/>
      <c r="H1313" s="1" t="n">
        <v>0.95</v>
      </c>
      <c r="I1313" s="30" t="n">
        <f aca="false">AA1368</f>
        <v>541.94</v>
      </c>
      <c r="J1313" s="30" t="n">
        <f aca="false">H1313*I1313</f>
        <v>514.843</v>
      </c>
      <c r="S1313" s="1" t="s">
        <v>309</v>
      </c>
      <c r="W1313" s="57" t="s">
        <v>310</v>
      </c>
      <c r="Y1313" s="59" t="n">
        <v>3</v>
      </c>
      <c r="Z1313" s="30" t="n">
        <f aca="false">AA1306</f>
        <v>49.48</v>
      </c>
      <c r="AA1313" s="30" t="n">
        <f aca="false">Y1313%*Z1313</f>
        <v>1.4844</v>
      </c>
      <c r="AB1313" s="1" t="n">
        <v>37</v>
      </c>
    </row>
    <row r="1314" customFormat="false" ht="15" hidden="false" customHeight="false" outlineLevel="0" collapsed="false">
      <c r="A1314" s="106" t="n">
        <v>100000000006</v>
      </c>
      <c r="B1314" s="1" t="s">
        <v>739</v>
      </c>
      <c r="F1314" s="57" t="s">
        <v>295</v>
      </c>
      <c r="H1314" s="1" t="n">
        <v>79.5</v>
      </c>
      <c r="I1314" s="30" t="n">
        <v>6.5</v>
      </c>
      <c r="J1314" s="30" t="n">
        <f aca="false">H1314*I1314</f>
        <v>516.75</v>
      </c>
      <c r="R1314" s="62"/>
      <c r="S1314" s="62"/>
      <c r="T1314" s="62"/>
      <c r="U1314" s="62"/>
      <c r="V1314" s="62"/>
      <c r="W1314" s="62"/>
      <c r="X1314" s="62"/>
      <c r="Y1314" s="62"/>
      <c r="Z1314" s="62"/>
      <c r="AA1314" s="91" t="n">
        <f aca="false">ROUND(SUM(AA1313),2)</f>
        <v>1.48</v>
      </c>
    </row>
    <row r="1315" customFormat="false" ht="15" hidden="false" customHeight="false" outlineLevel="0" collapsed="false">
      <c r="A1315" s="62"/>
      <c r="B1315" s="62"/>
      <c r="C1315" s="62"/>
      <c r="D1315" s="62"/>
      <c r="E1315" s="62"/>
      <c r="F1315" s="62"/>
      <c r="G1315" s="62"/>
      <c r="H1315" s="62"/>
      <c r="I1315" s="83"/>
      <c r="J1315" s="63" t="n">
        <f aca="false">ROUND(SUM(J1312:J1314),2)</f>
        <v>1568.99</v>
      </c>
    </row>
    <row r="1316" customFormat="false" ht="15" hidden="false" customHeight="false" outlineLevel="0" collapsed="false">
      <c r="R1316" s="85" t="s">
        <v>333</v>
      </c>
      <c r="S1316" s="105" t="n">
        <f aca="false">A1304</f>
        <v>100000000002</v>
      </c>
      <c r="T1316" s="85" t="s">
        <v>734</v>
      </c>
      <c r="U1316" s="85"/>
    </row>
    <row r="1317" customFormat="false" ht="15" hidden="false" customHeight="false" outlineLevel="0" collapsed="false">
      <c r="F1317" s="57"/>
      <c r="R1317" s="85" t="s">
        <v>277</v>
      </c>
      <c r="S1317" s="85" t="s">
        <v>415</v>
      </c>
      <c r="T1317" s="87" t="s">
        <v>279</v>
      </c>
      <c r="U1317" s="88" t="n">
        <v>20</v>
      </c>
      <c r="V1317" s="87" t="s">
        <v>280</v>
      </c>
      <c r="W1317" s="88" t="n">
        <f aca="false">U1317</f>
        <v>20</v>
      </c>
      <c r="X1317" s="85" t="s">
        <v>281</v>
      </c>
      <c r="Z1317" s="87" t="s">
        <v>202</v>
      </c>
      <c r="AA1317" s="89" t="n">
        <f aca="false">AA1323+AA1328+AA1332</f>
        <v>467.96</v>
      </c>
    </row>
    <row r="1318" customFormat="false" ht="15" hidden="false" customHeight="false" outlineLevel="0" collapsed="false">
      <c r="A1318" s="14" t="s">
        <v>276</v>
      </c>
      <c r="B1318" s="14" t="str">
        <f aca="false">ESTRUCTURA!A109</f>
        <v>02.04.06.03</v>
      </c>
      <c r="C1318" s="14" t="s">
        <v>644</v>
      </c>
      <c r="D1318" s="14"/>
      <c r="R1318" s="85" t="s">
        <v>282</v>
      </c>
      <c r="S1318" s="85" t="s">
        <v>283</v>
      </c>
      <c r="W1318" s="87" t="s">
        <v>121</v>
      </c>
      <c r="X1318" s="87" t="s">
        <v>284</v>
      </c>
      <c r="Y1318" s="87" t="s">
        <v>285</v>
      </c>
      <c r="Z1318" s="87" t="s">
        <v>286</v>
      </c>
      <c r="AA1318" s="87" t="s">
        <v>287</v>
      </c>
    </row>
    <row r="1319" customFormat="false" ht="15" hidden="false" customHeight="false" outlineLevel="0" collapsed="false">
      <c r="A1319" s="14" t="s">
        <v>277</v>
      </c>
      <c r="B1319" s="14" t="s">
        <v>415</v>
      </c>
      <c r="C1319" s="38" t="s">
        <v>279</v>
      </c>
      <c r="D1319" s="54" t="n">
        <v>187.5</v>
      </c>
      <c r="E1319" s="38" t="s">
        <v>280</v>
      </c>
      <c r="F1319" s="54" t="n">
        <f aca="false">D1319</f>
        <v>187.5</v>
      </c>
      <c r="G1319" s="14" t="s">
        <v>281</v>
      </c>
      <c r="I1319" s="38" t="s">
        <v>202</v>
      </c>
      <c r="J1319" s="55" t="n">
        <f aca="false">J1325</f>
        <v>107.38</v>
      </c>
      <c r="S1319" s="90" t="s">
        <v>288</v>
      </c>
    </row>
    <row r="1320" customFormat="false" ht="15" hidden="false" customHeight="false" outlineLevel="0" collapsed="false">
      <c r="A1320" s="14" t="s">
        <v>282</v>
      </c>
      <c r="B1320" s="14" t="s">
        <v>283</v>
      </c>
      <c r="F1320" s="38" t="s">
        <v>121</v>
      </c>
      <c r="G1320" s="38" t="s">
        <v>284</v>
      </c>
      <c r="H1320" s="38" t="s">
        <v>285</v>
      </c>
      <c r="I1320" s="38" t="s">
        <v>286</v>
      </c>
      <c r="J1320" s="38" t="s">
        <v>287</v>
      </c>
      <c r="S1320" s="1" t="s">
        <v>289</v>
      </c>
      <c r="W1320" s="57" t="s">
        <v>290</v>
      </c>
      <c r="X1320" s="58" t="n">
        <v>2</v>
      </c>
      <c r="Y1320" s="59" t="n">
        <f aca="false">X1320*8/$U$1317</f>
        <v>0.8</v>
      </c>
      <c r="Z1320" s="30" t="n">
        <v>28.94</v>
      </c>
      <c r="AA1320" s="30" t="n">
        <f aca="false">Y1320*Z1320</f>
        <v>23.152</v>
      </c>
      <c r="AB1320" s="1" t="n">
        <v>47</v>
      </c>
    </row>
    <row r="1321" customFormat="false" ht="15" hidden="false" customHeight="false" outlineLevel="0" collapsed="false">
      <c r="B1321" s="56" t="s">
        <v>733</v>
      </c>
      <c r="S1321" s="1" t="s">
        <v>291</v>
      </c>
      <c r="W1321" s="57" t="s">
        <v>290</v>
      </c>
      <c r="X1321" s="58" t="n">
        <v>1</v>
      </c>
      <c r="Y1321" s="59" t="n">
        <f aca="false">X1321*8/$U$1317</f>
        <v>0.4</v>
      </c>
      <c r="Z1321" s="30" t="n">
        <v>22.66</v>
      </c>
      <c r="AA1321" s="30" t="n">
        <f aca="false">Y1321*Z1321</f>
        <v>9.064</v>
      </c>
      <c r="AB1321" s="1" t="n">
        <v>47</v>
      </c>
    </row>
    <row r="1322" customFormat="false" ht="15" hidden="false" customHeight="false" outlineLevel="0" collapsed="false">
      <c r="A1322" s="106" t="n">
        <v>100000000007</v>
      </c>
      <c r="B1322" s="1" t="s">
        <v>740</v>
      </c>
      <c r="F1322" s="57" t="s">
        <v>132</v>
      </c>
      <c r="H1322" s="1" t="n">
        <v>0.4</v>
      </c>
      <c r="I1322" s="30" t="n">
        <f aca="false">AA1405</f>
        <v>78.24</v>
      </c>
      <c r="J1322" s="30" t="n">
        <f aca="false">H1322*I1322</f>
        <v>31.296</v>
      </c>
      <c r="S1322" s="1" t="s">
        <v>292</v>
      </c>
      <c r="W1322" s="57" t="s">
        <v>290</v>
      </c>
      <c r="X1322" s="58" t="n">
        <v>4</v>
      </c>
      <c r="Y1322" s="59" t="n">
        <f aca="false">X1322*8/$U$1317</f>
        <v>1.6</v>
      </c>
      <c r="Z1322" s="30" t="n">
        <v>20.51</v>
      </c>
      <c r="AA1322" s="30" t="n">
        <f aca="false">Y1322*Z1322</f>
        <v>32.816</v>
      </c>
      <c r="AB1322" s="1" t="n">
        <v>47</v>
      </c>
    </row>
    <row r="1323" customFormat="false" ht="15" hidden="false" customHeight="false" outlineLevel="0" collapsed="false">
      <c r="A1323" s="106" t="n">
        <v>100000000008</v>
      </c>
      <c r="B1323" s="1" t="s">
        <v>741</v>
      </c>
      <c r="F1323" s="57" t="s">
        <v>202</v>
      </c>
      <c r="H1323" s="1" t="n">
        <v>0.05</v>
      </c>
      <c r="I1323" s="30" t="n">
        <f aca="false">AA1421</f>
        <v>416.59</v>
      </c>
      <c r="J1323" s="30" t="n">
        <f aca="false">H1323*I1323</f>
        <v>20.8295</v>
      </c>
      <c r="W1323" s="57"/>
      <c r="X1323" s="58"/>
      <c r="Y1323" s="59"/>
      <c r="AA1323" s="89" t="n">
        <f aca="false">ROUND(SUM(AA1320:AA1322),2)</f>
        <v>65.03</v>
      </c>
    </row>
    <row r="1324" customFormat="false" ht="15" hidden="false" customHeight="false" outlineLevel="0" collapsed="false">
      <c r="A1324" s="106" t="n">
        <v>100000000009</v>
      </c>
      <c r="B1324" s="1" t="s">
        <v>742</v>
      </c>
      <c r="F1324" s="57" t="s">
        <v>295</v>
      </c>
      <c r="G1324" s="58"/>
      <c r="H1324" s="59" t="n">
        <v>8.5</v>
      </c>
      <c r="I1324" s="30" t="n">
        <v>6.5</v>
      </c>
      <c r="J1324" s="30" t="n">
        <f aca="false">H1324*I1324</f>
        <v>55.25</v>
      </c>
      <c r="S1324" s="90" t="s">
        <v>652</v>
      </c>
      <c r="W1324" s="57"/>
      <c r="X1324" s="58"/>
      <c r="Y1324" s="59"/>
      <c r="AA1324" s="30"/>
    </row>
    <row r="1325" customFormat="false" ht="15" hidden="false" customHeight="false" outlineLevel="0" collapsed="false">
      <c r="A1325" s="62"/>
      <c r="B1325" s="62"/>
      <c r="C1325" s="62"/>
      <c r="D1325" s="62"/>
      <c r="E1325" s="62"/>
      <c r="F1325" s="62"/>
      <c r="G1325" s="62"/>
      <c r="H1325" s="62"/>
      <c r="I1325" s="83"/>
      <c r="J1325" s="63" t="n">
        <f aca="false">ROUND(SUM(J1322:J1324),2)</f>
        <v>107.38</v>
      </c>
      <c r="S1325" s="104" t="s">
        <v>718</v>
      </c>
      <c r="W1325" s="57" t="s">
        <v>202</v>
      </c>
      <c r="Y1325" s="59" t="n">
        <v>0.1</v>
      </c>
      <c r="Z1325" s="30" t="n">
        <v>24.52</v>
      </c>
      <c r="AA1325" s="30" t="n">
        <f aca="false">Y1325*Z1325</f>
        <v>2.452</v>
      </c>
      <c r="AB1325" s="1" t="n">
        <v>21</v>
      </c>
    </row>
    <row r="1326" customFormat="false" ht="15" hidden="false" customHeight="false" outlineLevel="0" collapsed="false">
      <c r="S1326" s="104" t="s">
        <v>719</v>
      </c>
      <c r="W1326" s="57" t="s">
        <v>202</v>
      </c>
      <c r="Y1326" s="59" t="n">
        <v>1.02</v>
      </c>
      <c r="Z1326" s="30" t="n">
        <v>358</v>
      </c>
      <c r="AA1326" s="30" t="n">
        <f aca="false">Y1326*Z1326</f>
        <v>365.16</v>
      </c>
      <c r="AB1326" s="1" t="n">
        <v>80</v>
      </c>
    </row>
    <row r="1327" customFormat="false" ht="15" hidden="false" customHeight="false" outlineLevel="0" collapsed="false">
      <c r="S1327" s="104" t="s">
        <v>720</v>
      </c>
      <c r="W1327" s="57" t="s">
        <v>306</v>
      </c>
      <c r="Y1327" s="59" t="n">
        <v>1.02</v>
      </c>
      <c r="Z1327" s="30" t="n">
        <v>30</v>
      </c>
      <c r="AA1327" s="30" t="n">
        <f aca="false">Y1327*Z1327</f>
        <v>30.6</v>
      </c>
      <c r="AB1327" s="1" t="n">
        <v>39</v>
      </c>
    </row>
    <row r="1328" customFormat="false" ht="15" hidden="false" customHeight="false" outlineLevel="0" collapsed="false">
      <c r="F1328" s="57"/>
      <c r="W1328" s="57"/>
      <c r="Y1328" s="59"/>
      <c r="Z1328" s="30"/>
      <c r="AA1328" s="89" t="n">
        <f aca="false">ROUND(SUM(AA1325:AA1327),2)</f>
        <v>398.21</v>
      </c>
    </row>
    <row r="1329" customFormat="false" ht="15" hidden="false" customHeight="false" outlineLevel="0" collapsed="false">
      <c r="F1329" s="57"/>
      <c r="S1329" s="90" t="s">
        <v>308</v>
      </c>
    </row>
    <row r="1330" customFormat="false" ht="15" hidden="false" customHeight="false" outlineLevel="0" collapsed="false">
      <c r="F1330" s="57"/>
      <c r="G1330" s="58"/>
      <c r="H1330" s="59"/>
      <c r="I1330" s="30"/>
      <c r="J1330" s="30"/>
      <c r="S1330" s="1" t="s">
        <v>309</v>
      </c>
      <c r="W1330" s="57" t="s">
        <v>310</v>
      </c>
      <c r="Y1330" s="59" t="n">
        <v>3</v>
      </c>
      <c r="Z1330" s="30" t="n">
        <f aca="false">AA1323</f>
        <v>65.03</v>
      </c>
      <c r="AA1330" s="30" t="n">
        <f aca="false">Y1330%*Z1330</f>
        <v>1.9509</v>
      </c>
      <c r="AB1330" s="1" t="n">
        <v>37</v>
      </c>
    </row>
    <row r="1331" customFormat="false" ht="15" hidden="false" customHeight="false" outlineLevel="0" collapsed="false">
      <c r="S1331" s="104" t="s">
        <v>721</v>
      </c>
      <c r="W1331" s="57" t="s">
        <v>337</v>
      </c>
      <c r="X1331" s="58" t="n">
        <v>1</v>
      </c>
      <c r="Y1331" s="59" t="n">
        <f aca="false">X1331*8/$U$1317</f>
        <v>0.4</v>
      </c>
      <c r="Z1331" s="30" t="n">
        <v>6.93</v>
      </c>
      <c r="AA1331" s="30" t="n">
        <f aca="false">Y1331*Z1331</f>
        <v>2.772</v>
      </c>
      <c r="AB1331" s="1" t="n">
        <v>49</v>
      </c>
    </row>
    <row r="1332" customFormat="false" ht="15" hidden="false" customHeight="false" outlineLevel="0" collapsed="false">
      <c r="R1332" s="62"/>
      <c r="S1332" s="62"/>
      <c r="T1332" s="62"/>
      <c r="U1332" s="62"/>
      <c r="V1332" s="62"/>
      <c r="W1332" s="62"/>
      <c r="X1332" s="62"/>
      <c r="Y1332" s="62"/>
      <c r="Z1332" s="62"/>
      <c r="AA1332" s="91" t="n">
        <f aca="false">ROUND(SUM(AA1330:AA1331),2)</f>
        <v>4.72</v>
      </c>
    </row>
    <row r="1334" customFormat="false" ht="15" hidden="false" customHeight="false" outlineLevel="0" collapsed="false">
      <c r="R1334" s="85" t="s">
        <v>333</v>
      </c>
      <c r="S1334" s="105" t="n">
        <f aca="false">A1305</f>
        <v>100000000003</v>
      </c>
      <c r="T1334" s="85" t="s">
        <v>735</v>
      </c>
      <c r="U1334" s="85"/>
    </row>
    <row r="1335" customFormat="false" ht="15" hidden="false" customHeight="false" outlineLevel="0" collapsed="false">
      <c r="R1335" s="85" t="s">
        <v>277</v>
      </c>
      <c r="S1335" s="85" t="s">
        <v>278</v>
      </c>
      <c r="T1335" s="87" t="s">
        <v>279</v>
      </c>
      <c r="U1335" s="88" t="n">
        <v>250</v>
      </c>
      <c r="V1335" s="87" t="s">
        <v>280</v>
      </c>
      <c r="W1335" s="88" t="n">
        <f aca="false">U1335</f>
        <v>250</v>
      </c>
      <c r="X1335" s="85" t="s">
        <v>281</v>
      </c>
      <c r="Z1335" s="87" t="s">
        <v>132</v>
      </c>
      <c r="AA1335" s="89" t="n">
        <f aca="false">AA1340+AA1344+AA1348</f>
        <v>8.76</v>
      </c>
    </row>
    <row r="1336" customFormat="false" ht="15" hidden="false" customHeight="false" outlineLevel="0" collapsed="false">
      <c r="R1336" s="85" t="s">
        <v>282</v>
      </c>
      <c r="S1336" s="85" t="s">
        <v>283</v>
      </c>
      <c r="W1336" s="87" t="s">
        <v>121</v>
      </c>
      <c r="X1336" s="87" t="s">
        <v>284</v>
      </c>
      <c r="Y1336" s="87" t="s">
        <v>285</v>
      </c>
      <c r="Z1336" s="87" t="s">
        <v>286</v>
      </c>
      <c r="AA1336" s="87" t="s">
        <v>287</v>
      </c>
    </row>
    <row r="1337" customFormat="false" ht="15" hidden="false" customHeight="false" outlineLevel="0" collapsed="false">
      <c r="S1337" s="90" t="s">
        <v>288</v>
      </c>
    </row>
    <row r="1338" customFormat="false" ht="15" hidden="false" customHeight="false" outlineLevel="0" collapsed="false">
      <c r="S1338" s="1" t="s">
        <v>289</v>
      </c>
      <c r="W1338" s="57" t="s">
        <v>290</v>
      </c>
      <c r="X1338" s="58" t="n">
        <v>1</v>
      </c>
      <c r="Y1338" s="59" t="n">
        <f aca="false">X1338*8/$U$1335</f>
        <v>0.032</v>
      </c>
      <c r="Z1338" s="30" t="n">
        <v>28.94</v>
      </c>
      <c r="AA1338" s="30" t="n">
        <f aca="false">Y1338*Z1338</f>
        <v>0.92608</v>
      </c>
      <c r="AB1338" s="1" t="n">
        <v>47</v>
      </c>
    </row>
    <row r="1339" customFormat="false" ht="15" hidden="false" customHeight="false" outlineLevel="0" collapsed="false">
      <c r="S1339" s="1" t="s">
        <v>675</v>
      </c>
      <c r="W1339" s="57" t="s">
        <v>290</v>
      </c>
      <c r="X1339" s="58" t="n">
        <v>1</v>
      </c>
      <c r="Y1339" s="59" t="n">
        <f aca="false">X1339*8/$U$1335</f>
        <v>0.032</v>
      </c>
      <c r="Z1339" s="30" t="n">
        <v>22.66</v>
      </c>
      <c r="AA1339" s="30" t="n">
        <f aca="false">Y1339*Z1339</f>
        <v>0.72512</v>
      </c>
      <c r="AB1339" s="1" t="n">
        <v>47</v>
      </c>
    </row>
    <row r="1340" customFormat="false" ht="15" hidden="false" customHeight="false" outlineLevel="0" collapsed="false">
      <c r="W1340" s="57"/>
      <c r="X1340" s="58"/>
      <c r="AA1340" s="89" t="n">
        <f aca="false">ROUND(SUM(AA1338:AA1339),2)</f>
        <v>1.65</v>
      </c>
    </row>
    <row r="1341" customFormat="false" ht="15" hidden="false" customHeight="false" outlineLevel="0" collapsed="false">
      <c r="S1341" s="90" t="s">
        <v>293</v>
      </c>
      <c r="W1341" s="57"/>
      <c r="X1341" s="58"/>
      <c r="Y1341" s="101"/>
    </row>
    <row r="1342" customFormat="false" ht="15" hidden="false" customHeight="false" outlineLevel="0" collapsed="false">
      <c r="S1342" s="1" t="s">
        <v>294</v>
      </c>
      <c r="W1342" s="57" t="s">
        <v>295</v>
      </c>
      <c r="X1342" s="58"/>
      <c r="Y1342" s="101" t="n">
        <v>0.03</v>
      </c>
      <c r="Z1342" s="30" t="n">
        <v>2.64</v>
      </c>
      <c r="AA1342" s="30" t="n">
        <f aca="false">Y1342*Z1342</f>
        <v>0.0792</v>
      </c>
      <c r="AB1342" s="1" t="n">
        <v>2</v>
      </c>
    </row>
    <row r="1343" customFormat="false" ht="15" hidden="false" customHeight="false" outlineLevel="0" collapsed="false">
      <c r="S1343" s="1" t="s">
        <v>676</v>
      </c>
      <c r="W1343" s="57" t="s">
        <v>295</v>
      </c>
      <c r="X1343" s="58"/>
      <c r="Y1343" s="101" t="n">
        <v>1.05</v>
      </c>
      <c r="Z1343" s="30" t="n">
        <v>6.5</v>
      </c>
      <c r="AA1343" s="30" t="n">
        <f aca="false">Y1343*Z1343</f>
        <v>6.825</v>
      </c>
      <c r="AB1343" s="1" t="n">
        <v>3</v>
      </c>
    </row>
    <row r="1344" customFormat="false" ht="15" hidden="false" customHeight="false" outlineLevel="0" collapsed="false">
      <c r="W1344" s="57"/>
      <c r="X1344" s="58"/>
      <c r="AA1344" s="89" t="n">
        <f aca="false">ROUND(SUM(AA1342:AA1343),2)</f>
        <v>6.9</v>
      </c>
    </row>
    <row r="1345" customFormat="false" ht="15" hidden="false" customHeight="false" outlineLevel="0" collapsed="false">
      <c r="S1345" s="90" t="s">
        <v>317</v>
      </c>
      <c r="W1345" s="57"/>
      <c r="X1345" s="58"/>
    </row>
    <row r="1346" customFormat="false" ht="15" hidden="false" customHeight="false" outlineLevel="0" collapsed="false">
      <c r="S1346" s="1" t="s">
        <v>309</v>
      </c>
      <c r="W1346" s="57" t="s">
        <v>310</v>
      </c>
      <c r="Y1346" s="59" t="n">
        <v>3</v>
      </c>
      <c r="Z1346" s="30" t="n">
        <f aca="false">AA1340</f>
        <v>1.65</v>
      </c>
      <c r="AA1346" s="30" t="n">
        <f aca="false">Y1346%*Z1346</f>
        <v>0.0495</v>
      </c>
      <c r="AB1346" s="1" t="n">
        <v>37</v>
      </c>
    </row>
    <row r="1347" customFormat="false" ht="15" hidden="false" customHeight="false" outlineLevel="0" collapsed="false">
      <c r="S1347" s="1" t="s">
        <v>677</v>
      </c>
      <c r="W1347" s="57" t="s">
        <v>290</v>
      </c>
      <c r="X1347" s="58" t="n">
        <v>1</v>
      </c>
      <c r="Y1347" s="59" t="n">
        <f aca="false">X1347*8/$U$1335</f>
        <v>0.032</v>
      </c>
      <c r="Z1347" s="30" t="n">
        <v>5</v>
      </c>
      <c r="AA1347" s="30" t="n">
        <f aca="false">Y1347*Z1347</f>
        <v>0.16</v>
      </c>
      <c r="AB1347" s="1" t="n">
        <v>37</v>
      </c>
    </row>
    <row r="1348" customFormat="false" ht="15" hidden="false" customHeight="false" outlineLevel="0" collapsed="false">
      <c r="R1348" s="62"/>
      <c r="S1348" s="62"/>
      <c r="T1348" s="62"/>
      <c r="U1348" s="62"/>
      <c r="V1348" s="62"/>
      <c r="W1348" s="62"/>
      <c r="X1348" s="62"/>
      <c r="Y1348" s="62"/>
      <c r="Z1348" s="62"/>
      <c r="AA1348" s="91" t="n">
        <f aca="false">ROUND(SUM(AA1346:AA1347),2)</f>
        <v>0.21</v>
      </c>
    </row>
    <row r="1349" customFormat="false" ht="15" hidden="false" customHeight="false" outlineLevel="0" collapsed="false">
      <c r="W1349" s="57"/>
      <c r="Y1349" s="59"/>
      <c r="AA1349" s="30"/>
    </row>
    <row r="1350" customFormat="false" ht="15" hidden="false" customHeight="false" outlineLevel="0" collapsed="false">
      <c r="R1350" s="85" t="s">
        <v>333</v>
      </c>
      <c r="S1350" s="105" t="n">
        <f aca="false">A1312</f>
        <v>100000000004</v>
      </c>
      <c r="T1350" s="85" t="s">
        <v>743</v>
      </c>
      <c r="U1350" s="85"/>
    </row>
    <row r="1351" customFormat="false" ht="15" hidden="false" customHeight="false" outlineLevel="0" collapsed="false">
      <c r="R1351" s="85" t="s">
        <v>277</v>
      </c>
      <c r="S1351" s="85" t="s">
        <v>278</v>
      </c>
      <c r="T1351" s="87" t="s">
        <v>279</v>
      </c>
      <c r="U1351" s="88" t="n">
        <v>20</v>
      </c>
      <c r="V1351" s="87" t="s">
        <v>280</v>
      </c>
      <c r="W1351" s="88" t="n">
        <f aca="false">U1351</f>
        <v>20</v>
      </c>
      <c r="X1351" s="85" t="s">
        <v>281</v>
      </c>
      <c r="Z1351" s="87" t="s">
        <v>132</v>
      </c>
      <c r="AA1351" s="89" t="n">
        <f aca="false">AA1357+AA1362+AA1365</f>
        <v>78.11</v>
      </c>
    </row>
    <row r="1352" customFormat="false" ht="15" hidden="false" customHeight="false" outlineLevel="0" collapsed="false">
      <c r="R1352" s="85" t="s">
        <v>282</v>
      </c>
      <c r="S1352" s="85" t="s">
        <v>283</v>
      </c>
      <c r="W1352" s="87" t="s">
        <v>121</v>
      </c>
      <c r="X1352" s="87" t="s">
        <v>284</v>
      </c>
      <c r="Y1352" s="87" t="s">
        <v>285</v>
      </c>
      <c r="Z1352" s="87" t="s">
        <v>286</v>
      </c>
      <c r="AA1352" s="87" t="s">
        <v>287</v>
      </c>
    </row>
    <row r="1353" customFormat="false" ht="15" hidden="false" customHeight="false" outlineLevel="0" collapsed="false">
      <c r="S1353" s="90" t="s">
        <v>288</v>
      </c>
    </row>
    <row r="1354" customFormat="false" ht="15" hidden="false" customHeight="false" outlineLevel="0" collapsed="false">
      <c r="S1354" s="1" t="s">
        <v>289</v>
      </c>
      <c r="W1354" s="57" t="s">
        <v>290</v>
      </c>
      <c r="X1354" s="58" t="n">
        <v>2</v>
      </c>
      <c r="Y1354" s="59" t="n">
        <f aca="false">X1354*8/$U$1351</f>
        <v>0.8</v>
      </c>
      <c r="Z1354" s="30" t="n">
        <v>28.94</v>
      </c>
      <c r="AA1354" s="30" t="n">
        <f aca="false">Y1354*Z1354</f>
        <v>23.152</v>
      </c>
      <c r="AB1354" s="1" t="n">
        <v>47</v>
      </c>
    </row>
    <row r="1355" customFormat="false" ht="15" hidden="false" customHeight="false" outlineLevel="0" collapsed="false">
      <c r="S1355" s="1" t="s">
        <v>291</v>
      </c>
      <c r="W1355" s="57" t="s">
        <v>290</v>
      </c>
      <c r="X1355" s="58" t="n">
        <v>2</v>
      </c>
      <c r="Y1355" s="59" t="n">
        <f aca="false">X1355*8/$U$1351</f>
        <v>0.8</v>
      </c>
      <c r="Z1355" s="30" t="n">
        <v>22.66</v>
      </c>
      <c r="AA1355" s="30" t="n">
        <f aca="false">Y1355*Z1355</f>
        <v>18.128</v>
      </c>
      <c r="AB1355" s="1" t="n">
        <v>47</v>
      </c>
    </row>
    <row r="1356" customFormat="false" ht="15" hidden="false" customHeight="false" outlineLevel="0" collapsed="false">
      <c r="S1356" s="1" t="s">
        <v>292</v>
      </c>
      <c r="W1356" s="57" t="s">
        <v>290</v>
      </c>
      <c r="X1356" s="58" t="n">
        <v>1</v>
      </c>
      <c r="Y1356" s="59" t="n">
        <f aca="false">X1356*8/$U$1351</f>
        <v>0.4</v>
      </c>
      <c r="Z1356" s="30" t="n">
        <v>20.51</v>
      </c>
      <c r="AA1356" s="30" t="n">
        <f aca="false">Y1356*Z1356</f>
        <v>8.204</v>
      </c>
      <c r="AB1356" s="1" t="n">
        <v>47</v>
      </c>
    </row>
    <row r="1357" customFormat="false" ht="15" hidden="false" customHeight="false" outlineLevel="0" collapsed="false">
      <c r="W1357" s="57"/>
      <c r="X1357" s="58"/>
      <c r="Y1357" s="59"/>
      <c r="AA1357" s="89" t="n">
        <f aca="false">ROUND(SUM(AA1354:AA1356),2)</f>
        <v>49.48</v>
      </c>
    </row>
    <row r="1358" customFormat="false" ht="15" hidden="false" customHeight="false" outlineLevel="0" collapsed="false">
      <c r="S1358" s="90" t="s">
        <v>652</v>
      </c>
      <c r="W1358" s="57"/>
      <c r="X1358" s="58"/>
      <c r="Y1358" s="59"/>
      <c r="AA1358" s="30"/>
    </row>
    <row r="1359" customFormat="false" ht="15" hidden="false" customHeight="false" outlineLevel="0" collapsed="false">
      <c r="S1359" s="1" t="s">
        <v>685</v>
      </c>
      <c r="W1359" s="57" t="s">
        <v>295</v>
      </c>
      <c r="Y1359" s="59" t="n">
        <v>0.3</v>
      </c>
      <c r="Z1359" s="30" t="n">
        <v>2.64</v>
      </c>
      <c r="AA1359" s="30" t="n">
        <f aca="false">Y1359*Z1359</f>
        <v>0.792</v>
      </c>
      <c r="AB1359" s="1" t="n">
        <v>2</v>
      </c>
    </row>
    <row r="1360" customFormat="false" ht="15" hidden="false" customHeight="false" outlineLevel="0" collapsed="false">
      <c r="S1360" s="1" t="s">
        <v>300</v>
      </c>
      <c r="W1360" s="57" t="s">
        <v>295</v>
      </c>
      <c r="Y1360" s="59" t="n">
        <v>0.31</v>
      </c>
      <c r="Z1360" s="30" t="n">
        <v>5.51</v>
      </c>
      <c r="AA1360" s="30" t="n">
        <f aca="false">Y1360*Z1360</f>
        <v>1.7081</v>
      </c>
      <c r="AB1360" s="1" t="n">
        <v>2</v>
      </c>
    </row>
    <row r="1361" customFormat="false" ht="15" hidden="false" customHeight="false" outlineLevel="0" collapsed="false">
      <c r="S1361" s="1" t="s">
        <v>667</v>
      </c>
      <c r="W1361" s="57" t="s">
        <v>304</v>
      </c>
      <c r="Y1361" s="59" t="n">
        <v>4.25</v>
      </c>
      <c r="Z1361" s="30" t="n">
        <v>5.8</v>
      </c>
      <c r="AA1361" s="30" t="n">
        <f aca="false">Y1361*Z1361</f>
        <v>24.65</v>
      </c>
      <c r="AB1361" s="1" t="n">
        <v>43</v>
      </c>
    </row>
    <row r="1362" customFormat="false" ht="15" hidden="false" customHeight="false" outlineLevel="0" collapsed="false">
      <c r="W1362" s="57"/>
      <c r="Y1362" s="59"/>
      <c r="Z1362" s="30"/>
      <c r="AA1362" s="89" t="n">
        <f aca="false">ROUND(SUM(AA1359:AA1361),2)</f>
        <v>27.15</v>
      </c>
    </row>
    <row r="1363" customFormat="false" ht="15" hidden="false" customHeight="false" outlineLevel="0" collapsed="false">
      <c r="S1363" s="90" t="s">
        <v>308</v>
      </c>
    </row>
    <row r="1364" customFormat="false" ht="15" hidden="false" customHeight="false" outlineLevel="0" collapsed="false">
      <c r="S1364" s="1" t="s">
        <v>309</v>
      </c>
      <c r="W1364" s="57" t="s">
        <v>310</v>
      </c>
      <c r="Y1364" s="59" t="n">
        <v>3</v>
      </c>
      <c r="Z1364" s="30" t="n">
        <f aca="false">AA1357</f>
        <v>49.48</v>
      </c>
      <c r="AA1364" s="30" t="n">
        <f aca="false">Y1364%*Z1364</f>
        <v>1.4844</v>
      </c>
      <c r="AB1364" s="1" t="n">
        <v>37</v>
      </c>
    </row>
    <row r="1365" customFormat="false" ht="15" hidden="false" customHeight="false" outlineLevel="0" collapsed="false">
      <c r="R1365" s="62"/>
      <c r="S1365" s="62"/>
      <c r="T1365" s="62"/>
      <c r="U1365" s="62"/>
      <c r="V1365" s="62"/>
      <c r="W1365" s="62"/>
      <c r="X1365" s="62"/>
      <c r="Y1365" s="62"/>
      <c r="Z1365" s="62"/>
      <c r="AA1365" s="91" t="n">
        <f aca="false">ROUND(SUM(AA1364),2)</f>
        <v>1.48</v>
      </c>
    </row>
    <row r="1366" customFormat="false" ht="15" hidden="false" customHeight="false" outlineLevel="0" collapsed="false">
      <c r="W1366" s="57"/>
      <c r="Y1366" s="59"/>
      <c r="AA1366" s="30"/>
    </row>
    <row r="1367" customFormat="false" ht="15" hidden="false" customHeight="false" outlineLevel="0" collapsed="false">
      <c r="R1367" s="85" t="s">
        <v>333</v>
      </c>
      <c r="S1367" s="105" t="n">
        <f aca="false">A1313</f>
        <v>100000000005</v>
      </c>
      <c r="T1367" s="85" t="s">
        <v>744</v>
      </c>
      <c r="U1367" s="85"/>
    </row>
    <row r="1368" customFormat="false" ht="15" hidden="false" customHeight="false" outlineLevel="0" collapsed="false">
      <c r="R1368" s="85" t="s">
        <v>277</v>
      </c>
      <c r="S1368" s="85" t="s">
        <v>415</v>
      </c>
      <c r="T1368" s="87" t="s">
        <v>279</v>
      </c>
      <c r="U1368" s="88" t="n">
        <v>10</v>
      </c>
      <c r="V1368" s="87" t="s">
        <v>280</v>
      </c>
      <c r="W1368" s="88" t="n">
        <f aca="false">U1368</f>
        <v>10</v>
      </c>
      <c r="X1368" s="85" t="s">
        <v>281</v>
      </c>
      <c r="Z1368" s="87" t="s">
        <v>202</v>
      </c>
      <c r="AA1368" s="89" t="n">
        <f aca="false">AA1374+AA1381+AA1386</f>
        <v>541.94</v>
      </c>
    </row>
    <row r="1369" customFormat="false" ht="15" hidden="false" customHeight="false" outlineLevel="0" collapsed="false">
      <c r="R1369" s="85" t="s">
        <v>282</v>
      </c>
      <c r="S1369" s="85" t="s">
        <v>283</v>
      </c>
      <c r="W1369" s="87" t="s">
        <v>121</v>
      </c>
      <c r="X1369" s="87" t="s">
        <v>284</v>
      </c>
      <c r="Y1369" s="87" t="s">
        <v>285</v>
      </c>
      <c r="Z1369" s="87" t="s">
        <v>286</v>
      </c>
      <c r="AA1369" s="87" t="s">
        <v>287</v>
      </c>
    </row>
    <row r="1370" customFormat="false" ht="15" hidden="false" customHeight="false" outlineLevel="0" collapsed="false">
      <c r="S1370" s="90" t="s">
        <v>288</v>
      </c>
    </row>
    <row r="1371" customFormat="false" ht="15" hidden="false" customHeight="false" outlineLevel="0" collapsed="false">
      <c r="S1371" s="1" t="s">
        <v>289</v>
      </c>
      <c r="W1371" s="57" t="s">
        <v>290</v>
      </c>
      <c r="X1371" s="58" t="n">
        <v>2</v>
      </c>
      <c r="Y1371" s="59" t="n">
        <f aca="false">X1371*8/$U$1368</f>
        <v>1.6</v>
      </c>
      <c r="Z1371" s="30" t="n">
        <v>28.94</v>
      </c>
      <c r="AA1371" s="30" t="n">
        <f aca="false">Y1371*Z1371</f>
        <v>46.304</v>
      </c>
      <c r="AB1371" s="1" t="n">
        <v>47</v>
      </c>
    </row>
    <row r="1372" customFormat="false" ht="15" hidden="false" customHeight="false" outlineLevel="0" collapsed="false">
      <c r="S1372" s="1" t="s">
        <v>291</v>
      </c>
      <c r="W1372" s="57" t="s">
        <v>290</v>
      </c>
      <c r="X1372" s="58" t="n">
        <v>2</v>
      </c>
      <c r="Y1372" s="59" t="n">
        <f aca="false">X1372*8/$U$1368</f>
        <v>1.6</v>
      </c>
      <c r="Z1372" s="30" t="n">
        <v>22.66</v>
      </c>
      <c r="AA1372" s="30" t="n">
        <f aca="false">Y1372*Z1372</f>
        <v>36.256</v>
      </c>
      <c r="AB1372" s="1" t="n">
        <v>47</v>
      </c>
    </row>
    <row r="1373" customFormat="false" ht="15" hidden="false" customHeight="false" outlineLevel="0" collapsed="false">
      <c r="S1373" s="1" t="s">
        <v>292</v>
      </c>
      <c r="W1373" s="57" t="s">
        <v>290</v>
      </c>
      <c r="X1373" s="58" t="n">
        <v>8</v>
      </c>
      <c r="Y1373" s="59" t="n">
        <f aca="false">X1373*8/$U$1368</f>
        <v>6.4</v>
      </c>
      <c r="Z1373" s="30" t="n">
        <v>20.51</v>
      </c>
      <c r="AA1373" s="30" t="n">
        <f aca="false">Y1373*Z1373</f>
        <v>131.264</v>
      </c>
      <c r="AB1373" s="1" t="n">
        <v>47</v>
      </c>
    </row>
    <row r="1374" customFormat="false" ht="15" hidden="false" customHeight="false" outlineLevel="0" collapsed="false">
      <c r="W1374" s="57"/>
      <c r="X1374" s="58"/>
      <c r="Y1374" s="59"/>
      <c r="AA1374" s="89" t="n">
        <f aca="false">ROUND(SUM(AA1371:AA1373),2)</f>
        <v>213.82</v>
      </c>
    </row>
    <row r="1375" customFormat="false" ht="15" hidden="false" customHeight="false" outlineLevel="0" collapsed="false">
      <c r="S1375" s="90" t="s">
        <v>652</v>
      </c>
      <c r="W1375" s="57"/>
      <c r="X1375" s="58"/>
      <c r="Y1375" s="59"/>
      <c r="AA1375" s="30"/>
    </row>
    <row r="1376" customFormat="false" ht="15" hidden="false" customHeight="false" outlineLevel="0" collapsed="false">
      <c r="S1376" s="1" t="s">
        <v>670</v>
      </c>
      <c r="W1376" s="57" t="s">
        <v>202</v>
      </c>
      <c r="Y1376" s="59" t="n">
        <v>0.53</v>
      </c>
      <c r="Z1376" s="30" t="n">
        <v>55.08</v>
      </c>
      <c r="AA1376" s="30" t="n">
        <f aca="false">Y1376*Z1376</f>
        <v>29.1924</v>
      </c>
      <c r="AB1376" s="1" t="n">
        <v>5</v>
      </c>
    </row>
    <row r="1377" customFormat="false" ht="15" hidden="false" customHeight="false" outlineLevel="0" collapsed="false">
      <c r="S1377" s="1" t="s">
        <v>671</v>
      </c>
      <c r="W1377" s="57" t="s">
        <v>202</v>
      </c>
      <c r="Y1377" s="59" t="n">
        <v>0.52</v>
      </c>
      <c r="Z1377" s="30" t="n">
        <v>47</v>
      </c>
      <c r="AA1377" s="30" t="n">
        <f aca="false">Y1377*Z1377</f>
        <v>24.44</v>
      </c>
      <c r="AB1377" s="1" t="n">
        <v>4</v>
      </c>
    </row>
    <row r="1378" customFormat="false" ht="15" hidden="false" customHeight="false" outlineLevel="0" collapsed="false">
      <c r="S1378" s="1" t="s">
        <v>305</v>
      </c>
      <c r="W1378" s="57" t="s">
        <v>306</v>
      </c>
      <c r="Y1378" s="59" t="n">
        <v>9.73</v>
      </c>
      <c r="Z1378" s="30" t="n">
        <v>24.52</v>
      </c>
      <c r="AA1378" s="30" t="n">
        <f aca="false">Y1378*Z1378</f>
        <v>238.5796</v>
      </c>
      <c r="AB1378" s="1" t="n">
        <v>21</v>
      </c>
    </row>
    <row r="1379" customFormat="false" ht="15" hidden="false" customHeight="false" outlineLevel="0" collapsed="false">
      <c r="S1379" s="1" t="s">
        <v>654</v>
      </c>
      <c r="W1379" s="57" t="s">
        <v>202</v>
      </c>
      <c r="Y1379" s="59" t="n">
        <v>0.186</v>
      </c>
      <c r="Z1379" s="1" t="n">
        <v>6.14</v>
      </c>
      <c r="AA1379" s="30" t="n">
        <f aca="false">Y1379*Z1379</f>
        <v>1.14204</v>
      </c>
      <c r="AB1379" s="1" t="n">
        <v>30</v>
      </c>
    </row>
    <row r="1380" customFormat="false" ht="15" hidden="false" customHeight="false" outlineLevel="0" collapsed="false">
      <c r="S1380" s="1" t="s">
        <v>663</v>
      </c>
      <c r="W1380" s="57" t="s">
        <v>437</v>
      </c>
      <c r="Y1380" s="59" t="n">
        <v>0.36</v>
      </c>
      <c r="Z1380" s="1" t="n">
        <v>13.93</v>
      </c>
      <c r="AA1380" s="30" t="n">
        <f aca="false">Y1380*Z1380</f>
        <v>5.0148</v>
      </c>
      <c r="AB1380" s="1" t="n">
        <v>34</v>
      </c>
    </row>
    <row r="1381" customFormat="false" ht="15" hidden="false" customHeight="false" outlineLevel="0" collapsed="false">
      <c r="W1381" s="57"/>
      <c r="Y1381" s="59"/>
      <c r="Z1381" s="30"/>
      <c r="AA1381" s="89" t="n">
        <f aca="false">ROUND(SUM(AA1376:AA1380),2)</f>
        <v>298.37</v>
      </c>
    </row>
    <row r="1382" customFormat="false" ht="15" hidden="false" customHeight="false" outlineLevel="0" collapsed="false">
      <c r="S1382" s="90" t="s">
        <v>308</v>
      </c>
    </row>
    <row r="1383" customFormat="false" ht="15" hidden="false" customHeight="false" outlineLevel="0" collapsed="false">
      <c r="S1383" s="1" t="s">
        <v>309</v>
      </c>
      <c r="W1383" s="57" t="s">
        <v>310</v>
      </c>
      <c r="Y1383" s="59" t="n">
        <v>3</v>
      </c>
      <c r="Z1383" s="30" t="n">
        <f aca="false">AA1374</f>
        <v>213.82</v>
      </c>
      <c r="AA1383" s="30" t="n">
        <f aca="false">Y1383%*Z1383</f>
        <v>6.4146</v>
      </c>
      <c r="AB1383" s="1" t="n">
        <v>37</v>
      </c>
    </row>
    <row r="1384" customFormat="false" ht="15" hidden="false" customHeight="false" outlineLevel="0" collapsed="false">
      <c r="S1384" s="1" t="s">
        <v>665</v>
      </c>
      <c r="W1384" s="57" t="s">
        <v>337</v>
      </c>
      <c r="X1384" s="58" t="n">
        <v>1</v>
      </c>
      <c r="Y1384" s="59" t="n">
        <f aca="false">X1384*8/$U$1368</f>
        <v>0.8</v>
      </c>
      <c r="Z1384" s="30" t="n">
        <v>25.63</v>
      </c>
      <c r="AA1384" s="30" t="n">
        <f aca="false">Y1384*Z1384</f>
        <v>20.504</v>
      </c>
      <c r="AB1384" s="1" t="n">
        <v>48</v>
      </c>
    </row>
    <row r="1385" customFormat="false" ht="15" hidden="false" customHeight="false" outlineLevel="0" collapsed="false">
      <c r="S1385" s="1" t="s">
        <v>673</v>
      </c>
      <c r="W1385" s="57" t="s">
        <v>337</v>
      </c>
      <c r="X1385" s="58" t="n">
        <v>0.5</v>
      </c>
      <c r="Y1385" s="59" t="n">
        <f aca="false">X1385*8/$U$1368</f>
        <v>0.4</v>
      </c>
      <c r="Z1385" s="30" t="n">
        <v>7.07</v>
      </c>
      <c r="AA1385" s="30" t="n">
        <f aca="false">Y1385*Z1385</f>
        <v>2.828</v>
      </c>
      <c r="AB1385" s="1" t="n">
        <v>49</v>
      </c>
    </row>
    <row r="1386" customFormat="false" ht="15" hidden="false" customHeight="false" outlineLevel="0" collapsed="false">
      <c r="R1386" s="62"/>
      <c r="S1386" s="62"/>
      <c r="T1386" s="62"/>
      <c r="U1386" s="62"/>
      <c r="V1386" s="62"/>
      <c r="W1386" s="62"/>
      <c r="X1386" s="62"/>
      <c r="Y1386" s="62"/>
      <c r="Z1386" s="62"/>
      <c r="AA1386" s="91" t="n">
        <f aca="false">ROUND(SUM(AA1383:AA1385),2)</f>
        <v>29.75</v>
      </c>
    </row>
    <row r="1387" customFormat="false" ht="15" hidden="false" customHeight="false" outlineLevel="0" collapsed="false">
      <c r="W1387" s="57"/>
      <c r="Y1387" s="59"/>
      <c r="AA1387" s="30"/>
    </row>
    <row r="1388" customFormat="false" ht="15" hidden="false" customHeight="false" outlineLevel="0" collapsed="false">
      <c r="R1388" s="85" t="s">
        <v>333</v>
      </c>
      <c r="S1388" s="105" t="n">
        <f aca="false">A1314</f>
        <v>100000000006</v>
      </c>
      <c r="T1388" s="85" t="s">
        <v>745</v>
      </c>
      <c r="U1388" s="85"/>
    </row>
    <row r="1389" customFormat="false" ht="15" hidden="false" customHeight="false" outlineLevel="0" collapsed="false">
      <c r="R1389" s="85" t="s">
        <v>277</v>
      </c>
      <c r="S1389" s="85" t="s">
        <v>278</v>
      </c>
      <c r="T1389" s="87" t="s">
        <v>279</v>
      </c>
      <c r="U1389" s="88" t="n">
        <v>250</v>
      </c>
      <c r="V1389" s="87" t="s">
        <v>280</v>
      </c>
      <c r="W1389" s="88" t="n">
        <f aca="false">U1389</f>
        <v>250</v>
      </c>
      <c r="X1389" s="85" t="s">
        <v>281</v>
      </c>
      <c r="Z1389" s="87" t="s">
        <v>132</v>
      </c>
      <c r="AA1389" s="89" t="n">
        <f aca="false">AA1394+AA1398+AA1402</f>
        <v>8.76</v>
      </c>
    </row>
    <row r="1390" customFormat="false" ht="15" hidden="false" customHeight="false" outlineLevel="0" collapsed="false">
      <c r="R1390" s="85" t="s">
        <v>282</v>
      </c>
      <c r="S1390" s="85" t="s">
        <v>283</v>
      </c>
      <c r="W1390" s="87" t="s">
        <v>121</v>
      </c>
      <c r="X1390" s="87" t="s">
        <v>284</v>
      </c>
      <c r="Y1390" s="87" t="s">
        <v>285</v>
      </c>
      <c r="Z1390" s="87" t="s">
        <v>286</v>
      </c>
      <c r="AA1390" s="87" t="s">
        <v>287</v>
      </c>
    </row>
    <row r="1391" customFormat="false" ht="15" hidden="false" customHeight="false" outlineLevel="0" collapsed="false">
      <c r="S1391" s="90" t="s">
        <v>288</v>
      </c>
    </row>
    <row r="1392" customFormat="false" ht="15" hidden="false" customHeight="false" outlineLevel="0" collapsed="false">
      <c r="S1392" s="1" t="s">
        <v>289</v>
      </c>
      <c r="W1392" s="57" t="s">
        <v>290</v>
      </c>
      <c r="X1392" s="58" t="n">
        <v>1</v>
      </c>
      <c r="Y1392" s="59" t="n">
        <f aca="false">X1392*8/$U$1389</f>
        <v>0.032</v>
      </c>
      <c r="Z1392" s="30" t="n">
        <v>28.94</v>
      </c>
      <c r="AA1392" s="30" t="n">
        <f aca="false">Y1392*Z1392</f>
        <v>0.92608</v>
      </c>
      <c r="AB1392" s="1" t="n">
        <v>47</v>
      </c>
    </row>
    <row r="1393" customFormat="false" ht="15" hidden="false" customHeight="false" outlineLevel="0" collapsed="false">
      <c r="S1393" s="1" t="s">
        <v>675</v>
      </c>
      <c r="W1393" s="57" t="s">
        <v>290</v>
      </c>
      <c r="X1393" s="58" t="n">
        <v>1</v>
      </c>
      <c r="Y1393" s="59" t="n">
        <f aca="false">X1393*8/$U$1389</f>
        <v>0.032</v>
      </c>
      <c r="Z1393" s="30" t="n">
        <v>22.66</v>
      </c>
      <c r="AA1393" s="30" t="n">
        <f aca="false">Y1393*Z1393</f>
        <v>0.72512</v>
      </c>
      <c r="AB1393" s="1" t="n">
        <v>47</v>
      </c>
    </row>
    <row r="1394" customFormat="false" ht="15" hidden="false" customHeight="false" outlineLevel="0" collapsed="false">
      <c r="W1394" s="57"/>
      <c r="X1394" s="58"/>
      <c r="AA1394" s="89" t="n">
        <f aca="false">ROUND(SUM(AA1392:AA1393),2)</f>
        <v>1.65</v>
      </c>
    </row>
    <row r="1395" customFormat="false" ht="15" hidden="false" customHeight="false" outlineLevel="0" collapsed="false">
      <c r="S1395" s="90" t="s">
        <v>293</v>
      </c>
      <c r="W1395" s="57"/>
      <c r="X1395" s="58"/>
      <c r="Y1395" s="101"/>
    </row>
    <row r="1396" customFormat="false" ht="15" hidden="false" customHeight="false" outlineLevel="0" collapsed="false">
      <c r="S1396" s="1" t="s">
        <v>294</v>
      </c>
      <c r="W1396" s="57" t="s">
        <v>295</v>
      </c>
      <c r="X1396" s="58"/>
      <c r="Y1396" s="101" t="n">
        <v>0.03</v>
      </c>
      <c r="Z1396" s="30" t="n">
        <v>2.64</v>
      </c>
      <c r="AA1396" s="30" t="n">
        <f aca="false">Y1396*Z1396</f>
        <v>0.0792</v>
      </c>
      <c r="AB1396" s="1" t="n">
        <v>2</v>
      </c>
    </row>
    <row r="1397" customFormat="false" ht="15" hidden="false" customHeight="false" outlineLevel="0" collapsed="false">
      <c r="S1397" s="1" t="s">
        <v>676</v>
      </c>
      <c r="W1397" s="57" t="s">
        <v>295</v>
      </c>
      <c r="X1397" s="58"/>
      <c r="Y1397" s="101" t="n">
        <v>1.05</v>
      </c>
      <c r="Z1397" s="30" t="n">
        <v>6.5</v>
      </c>
      <c r="AA1397" s="30" t="n">
        <f aca="false">Y1397*Z1397</f>
        <v>6.825</v>
      </c>
      <c r="AB1397" s="1" t="n">
        <v>3</v>
      </c>
    </row>
    <row r="1398" customFormat="false" ht="15" hidden="false" customHeight="false" outlineLevel="0" collapsed="false">
      <c r="W1398" s="57"/>
      <c r="X1398" s="58"/>
      <c r="AA1398" s="89" t="n">
        <f aca="false">ROUND(SUM(AA1396:AA1397),2)</f>
        <v>6.9</v>
      </c>
    </row>
    <row r="1399" customFormat="false" ht="15" hidden="false" customHeight="false" outlineLevel="0" collapsed="false">
      <c r="S1399" s="90" t="s">
        <v>317</v>
      </c>
      <c r="W1399" s="57"/>
      <c r="X1399" s="58"/>
    </row>
    <row r="1400" customFormat="false" ht="15" hidden="false" customHeight="false" outlineLevel="0" collapsed="false">
      <c r="S1400" s="1" t="s">
        <v>309</v>
      </c>
      <c r="W1400" s="57" t="s">
        <v>310</v>
      </c>
      <c r="Y1400" s="59" t="n">
        <v>3</v>
      </c>
      <c r="Z1400" s="30" t="n">
        <f aca="false">AA1394</f>
        <v>1.65</v>
      </c>
      <c r="AA1400" s="30" t="n">
        <f aca="false">Y1400%*Z1400</f>
        <v>0.0495</v>
      </c>
      <c r="AB1400" s="1" t="n">
        <v>37</v>
      </c>
    </row>
    <row r="1401" customFormat="false" ht="15" hidden="false" customHeight="false" outlineLevel="0" collapsed="false">
      <c r="S1401" s="1" t="s">
        <v>677</v>
      </c>
      <c r="W1401" s="57" t="s">
        <v>290</v>
      </c>
      <c r="X1401" s="58" t="n">
        <v>1</v>
      </c>
      <c r="Y1401" s="59" t="n">
        <f aca="false">X1401*8/$U$1389</f>
        <v>0.032</v>
      </c>
      <c r="Z1401" s="30" t="n">
        <v>5</v>
      </c>
      <c r="AA1401" s="30" t="n">
        <f aca="false">Y1401*Z1401</f>
        <v>0.16</v>
      </c>
      <c r="AB1401" s="1" t="n">
        <v>37</v>
      </c>
    </row>
    <row r="1402" customFormat="false" ht="15" hidden="false" customHeight="false" outlineLevel="0" collapsed="false">
      <c r="R1402" s="62"/>
      <c r="S1402" s="62"/>
      <c r="T1402" s="62"/>
      <c r="U1402" s="62"/>
      <c r="V1402" s="62"/>
      <c r="W1402" s="62"/>
      <c r="X1402" s="62"/>
      <c r="Y1402" s="62"/>
      <c r="Z1402" s="62"/>
      <c r="AA1402" s="91" t="n">
        <f aca="false">ROUND(SUM(AA1400:AA1401),2)</f>
        <v>0.21</v>
      </c>
    </row>
    <row r="1403" customFormat="false" ht="15" hidden="false" customHeight="false" outlineLevel="0" collapsed="false">
      <c r="AA1403" s="89"/>
    </row>
    <row r="1404" customFormat="false" ht="15" hidden="false" customHeight="false" outlineLevel="0" collapsed="false">
      <c r="R1404" s="85" t="s">
        <v>333</v>
      </c>
      <c r="S1404" s="105" t="n">
        <f aca="false">A1322</f>
        <v>100000000007</v>
      </c>
      <c r="T1404" s="85" t="s">
        <v>746</v>
      </c>
      <c r="U1404" s="85"/>
    </row>
    <row r="1405" customFormat="false" ht="15" hidden="false" customHeight="false" outlineLevel="0" collapsed="false">
      <c r="R1405" s="85" t="s">
        <v>277</v>
      </c>
      <c r="S1405" s="85" t="s">
        <v>278</v>
      </c>
      <c r="T1405" s="87" t="s">
        <v>279</v>
      </c>
      <c r="U1405" s="88" t="n">
        <v>18</v>
      </c>
      <c r="V1405" s="87" t="s">
        <v>280</v>
      </c>
      <c r="W1405" s="88" t="n">
        <f aca="false">U1405</f>
        <v>18</v>
      </c>
      <c r="X1405" s="85" t="s">
        <v>281</v>
      </c>
      <c r="Z1405" s="87" t="s">
        <v>132</v>
      </c>
      <c r="AA1405" s="89" t="n">
        <f aca="false">AA1410+AA1415+AA1418</f>
        <v>78.24</v>
      </c>
    </row>
    <row r="1406" customFormat="false" ht="15" hidden="false" customHeight="false" outlineLevel="0" collapsed="false">
      <c r="R1406" s="85" t="s">
        <v>282</v>
      </c>
      <c r="S1406" s="85" t="s">
        <v>283</v>
      </c>
      <c r="W1406" s="87" t="s">
        <v>121</v>
      </c>
      <c r="X1406" s="87" t="s">
        <v>284</v>
      </c>
      <c r="Y1406" s="87" t="s">
        <v>285</v>
      </c>
      <c r="Z1406" s="87" t="s">
        <v>286</v>
      </c>
      <c r="AA1406" s="87" t="s">
        <v>287</v>
      </c>
    </row>
    <row r="1407" customFormat="false" ht="15" hidden="false" customHeight="false" outlineLevel="0" collapsed="false">
      <c r="S1407" s="90" t="s">
        <v>288</v>
      </c>
    </row>
    <row r="1408" customFormat="false" ht="15" hidden="false" customHeight="false" outlineLevel="0" collapsed="false">
      <c r="S1408" s="1" t="s">
        <v>289</v>
      </c>
      <c r="W1408" s="57" t="s">
        <v>290</v>
      </c>
      <c r="X1408" s="58" t="n">
        <v>2</v>
      </c>
      <c r="Y1408" s="59" t="n">
        <f aca="false">X1408*8/$U$1405</f>
        <v>0.888888888888889</v>
      </c>
      <c r="Z1408" s="30" t="n">
        <v>28.94</v>
      </c>
      <c r="AA1408" s="30" t="n">
        <f aca="false">Y1408*Z1408</f>
        <v>25.7244444444444</v>
      </c>
      <c r="AB1408" s="1" t="n">
        <v>47</v>
      </c>
    </row>
    <row r="1409" customFormat="false" ht="15" hidden="false" customHeight="false" outlineLevel="0" collapsed="false">
      <c r="S1409" s="1" t="s">
        <v>292</v>
      </c>
      <c r="W1409" s="57" t="s">
        <v>290</v>
      </c>
      <c r="X1409" s="58" t="n">
        <v>2</v>
      </c>
      <c r="Y1409" s="59" t="n">
        <f aca="false">X1409*8/$U$1405</f>
        <v>0.888888888888889</v>
      </c>
      <c r="Z1409" s="30" t="n">
        <v>20.51</v>
      </c>
      <c r="AA1409" s="30" t="n">
        <f aca="false">Y1409*Z1409</f>
        <v>18.2311111111111</v>
      </c>
      <c r="AB1409" s="1" t="n">
        <v>47</v>
      </c>
    </row>
    <row r="1410" customFormat="false" ht="15" hidden="false" customHeight="false" outlineLevel="0" collapsed="false">
      <c r="W1410" s="57"/>
      <c r="X1410" s="58"/>
      <c r="Y1410" s="59"/>
      <c r="Z1410" s="30"/>
      <c r="AA1410" s="89" t="n">
        <f aca="false">ROUND(SUM(AA1408:AA1409),2)</f>
        <v>43.96</v>
      </c>
    </row>
    <row r="1411" customFormat="false" ht="15" hidden="false" customHeight="false" outlineLevel="0" collapsed="false">
      <c r="S1411" s="90" t="s">
        <v>652</v>
      </c>
      <c r="W1411" s="57"/>
      <c r="X1411" s="58"/>
      <c r="Y1411" s="59"/>
      <c r="AA1411" s="30"/>
    </row>
    <row r="1412" customFormat="false" ht="15" hidden="false" customHeight="false" outlineLevel="0" collapsed="false">
      <c r="S1412" s="1" t="s">
        <v>685</v>
      </c>
      <c r="W1412" s="57" t="s">
        <v>295</v>
      </c>
      <c r="Y1412" s="59" t="n">
        <v>0.1</v>
      </c>
      <c r="Z1412" s="30" t="n">
        <v>2.64</v>
      </c>
      <c r="AA1412" s="30" t="n">
        <f aca="false">Y1412*Z1412</f>
        <v>0.264</v>
      </c>
      <c r="AB1412" s="1" t="n">
        <v>2</v>
      </c>
    </row>
    <row r="1413" customFormat="false" ht="15" hidden="false" customHeight="false" outlineLevel="0" collapsed="false">
      <c r="S1413" s="1" t="s">
        <v>300</v>
      </c>
      <c r="W1413" s="57" t="s">
        <v>295</v>
      </c>
      <c r="Y1413" s="59" t="n">
        <v>0.24</v>
      </c>
      <c r="Z1413" s="30" t="n">
        <v>5.51</v>
      </c>
      <c r="AA1413" s="30" t="n">
        <f aca="false">Y1413*Z1413</f>
        <v>1.3224</v>
      </c>
      <c r="AB1413" s="1" t="n">
        <v>2</v>
      </c>
    </row>
    <row r="1414" customFormat="false" ht="15" hidden="false" customHeight="false" outlineLevel="0" collapsed="false">
      <c r="S1414" s="1" t="s">
        <v>667</v>
      </c>
      <c r="W1414" s="57" t="s">
        <v>304</v>
      </c>
      <c r="Y1414" s="59" t="n">
        <v>5.41</v>
      </c>
      <c r="Z1414" s="30" t="n">
        <v>5.8</v>
      </c>
      <c r="AA1414" s="30" t="n">
        <f aca="false">Y1414*Z1414</f>
        <v>31.378</v>
      </c>
      <c r="AB1414" s="1" t="n">
        <v>43</v>
      </c>
    </row>
    <row r="1415" customFormat="false" ht="15" hidden="false" customHeight="false" outlineLevel="0" collapsed="false">
      <c r="W1415" s="57"/>
      <c r="Y1415" s="59"/>
      <c r="Z1415" s="30"/>
      <c r="AA1415" s="89" t="n">
        <f aca="false">ROUND(SUM(AA1412:AA1414),2)</f>
        <v>32.96</v>
      </c>
    </row>
    <row r="1416" customFormat="false" ht="15" hidden="false" customHeight="false" outlineLevel="0" collapsed="false">
      <c r="S1416" s="90" t="s">
        <v>308</v>
      </c>
    </row>
    <row r="1417" customFormat="false" ht="15" hidden="false" customHeight="false" outlineLevel="0" collapsed="false">
      <c r="S1417" s="1" t="s">
        <v>309</v>
      </c>
      <c r="W1417" s="57" t="s">
        <v>310</v>
      </c>
      <c r="Y1417" s="59" t="n">
        <v>3</v>
      </c>
      <c r="Z1417" s="30" t="n">
        <f aca="false">AA1410</f>
        <v>43.96</v>
      </c>
      <c r="AA1417" s="30" t="n">
        <f aca="false">Y1417%*Z1417</f>
        <v>1.3188</v>
      </c>
      <c r="AB1417" s="1" t="n">
        <v>37</v>
      </c>
    </row>
    <row r="1418" customFormat="false" ht="15" hidden="false" customHeight="false" outlineLevel="0" collapsed="false">
      <c r="R1418" s="62"/>
      <c r="S1418" s="62"/>
      <c r="T1418" s="62"/>
      <c r="U1418" s="62"/>
      <c r="V1418" s="62"/>
      <c r="W1418" s="62"/>
      <c r="X1418" s="62"/>
      <c r="Y1418" s="62"/>
      <c r="Z1418" s="62"/>
      <c r="AA1418" s="91" t="n">
        <f aca="false">ROUND(SUM(AA1417),2)</f>
        <v>1.32</v>
      </c>
    </row>
    <row r="1419" customFormat="false" ht="15" hidden="false" customHeight="false" outlineLevel="0" collapsed="false">
      <c r="AA1419" s="89"/>
    </row>
    <row r="1420" customFormat="false" ht="15" hidden="false" customHeight="false" outlineLevel="0" collapsed="false">
      <c r="R1420" s="85" t="s">
        <v>333</v>
      </c>
      <c r="S1420" s="105" t="n">
        <f aca="false">A1323</f>
        <v>100000000008</v>
      </c>
      <c r="T1420" s="85" t="s">
        <v>747</v>
      </c>
      <c r="U1420" s="85"/>
    </row>
    <row r="1421" customFormat="false" ht="15" hidden="false" customHeight="false" outlineLevel="0" collapsed="false">
      <c r="R1421" s="85" t="s">
        <v>277</v>
      </c>
      <c r="S1421" s="85" t="s">
        <v>415</v>
      </c>
      <c r="T1421" s="87" t="s">
        <v>279</v>
      </c>
      <c r="U1421" s="88" t="n">
        <v>20</v>
      </c>
      <c r="V1421" s="87" t="s">
        <v>280</v>
      </c>
      <c r="W1421" s="88" t="n">
        <f aca="false">U1421</f>
        <v>20</v>
      </c>
      <c r="X1421" s="85" t="s">
        <v>281</v>
      </c>
      <c r="Z1421" s="87" t="s">
        <v>202</v>
      </c>
      <c r="AA1421" s="89" t="n">
        <f aca="false">AA1427+AA1434+AA1440</f>
        <v>416.59</v>
      </c>
    </row>
    <row r="1422" customFormat="false" ht="15" hidden="false" customHeight="false" outlineLevel="0" collapsed="false">
      <c r="R1422" s="85" t="s">
        <v>282</v>
      </c>
      <c r="S1422" s="85" t="s">
        <v>283</v>
      </c>
      <c r="W1422" s="87" t="s">
        <v>121</v>
      </c>
      <c r="X1422" s="87" t="s">
        <v>284</v>
      </c>
      <c r="Y1422" s="87" t="s">
        <v>285</v>
      </c>
      <c r="Z1422" s="87" t="s">
        <v>286</v>
      </c>
      <c r="AA1422" s="87" t="s">
        <v>287</v>
      </c>
    </row>
    <row r="1423" customFormat="false" ht="15" hidden="false" customHeight="false" outlineLevel="0" collapsed="false">
      <c r="S1423" s="90" t="s">
        <v>288</v>
      </c>
    </row>
    <row r="1424" customFormat="false" ht="15" hidden="false" customHeight="false" outlineLevel="0" collapsed="false">
      <c r="S1424" s="1" t="s">
        <v>289</v>
      </c>
      <c r="W1424" s="57" t="s">
        <v>290</v>
      </c>
      <c r="X1424" s="58" t="n">
        <v>2</v>
      </c>
      <c r="Y1424" s="59" t="n">
        <f aca="false">X1424*8/$U$1421</f>
        <v>0.8</v>
      </c>
      <c r="Z1424" s="30" t="n">
        <v>28.94</v>
      </c>
      <c r="AA1424" s="30" t="n">
        <f aca="false">Y1424*Z1424</f>
        <v>23.152</v>
      </c>
      <c r="AB1424" s="1" t="n">
        <v>47</v>
      </c>
    </row>
    <row r="1425" customFormat="false" ht="15" hidden="false" customHeight="false" outlineLevel="0" collapsed="false">
      <c r="S1425" s="1" t="s">
        <v>291</v>
      </c>
      <c r="W1425" s="57" t="s">
        <v>290</v>
      </c>
      <c r="X1425" s="58" t="n">
        <v>1</v>
      </c>
      <c r="Y1425" s="59" t="n">
        <f aca="false">X1425*8/$U$1421</f>
        <v>0.4</v>
      </c>
      <c r="Z1425" s="30" t="n">
        <v>22.66</v>
      </c>
      <c r="AA1425" s="30" t="n">
        <f aca="false">Y1425*Z1425</f>
        <v>9.064</v>
      </c>
      <c r="AB1425" s="1" t="n">
        <v>47</v>
      </c>
    </row>
    <row r="1426" customFormat="false" ht="15" hidden="false" customHeight="false" outlineLevel="0" collapsed="false">
      <c r="S1426" s="1" t="s">
        <v>292</v>
      </c>
      <c r="W1426" s="57" t="s">
        <v>290</v>
      </c>
      <c r="X1426" s="58" t="n">
        <v>8</v>
      </c>
      <c r="Y1426" s="59" t="n">
        <f aca="false">X1426*8/$U$1421</f>
        <v>3.2</v>
      </c>
      <c r="Z1426" s="30" t="n">
        <v>20.51</v>
      </c>
      <c r="AA1426" s="30" t="n">
        <f aca="false">Y1426*Z1426</f>
        <v>65.632</v>
      </c>
      <c r="AB1426" s="1" t="n">
        <v>47</v>
      </c>
    </row>
    <row r="1427" customFormat="false" ht="15" hidden="false" customHeight="false" outlineLevel="0" collapsed="false">
      <c r="W1427" s="57"/>
      <c r="X1427" s="58"/>
      <c r="Y1427" s="59"/>
      <c r="AA1427" s="89" t="n">
        <f aca="false">ROUND(SUM(AA1424:AA1426),2)</f>
        <v>97.85</v>
      </c>
    </row>
    <row r="1428" customFormat="false" ht="15" hidden="false" customHeight="false" outlineLevel="0" collapsed="false">
      <c r="S1428" s="90" t="s">
        <v>652</v>
      </c>
      <c r="W1428" s="57"/>
      <c r="X1428" s="58"/>
      <c r="Y1428" s="59"/>
      <c r="AA1428" s="30"/>
    </row>
    <row r="1429" customFormat="false" ht="15" hidden="false" customHeight="false" outlineLevel="0" collapsed="false">
      <c r="S1429" s="1" t="s">
        <v>670</v>
      </c>
      <c r="W1429" s="57" t="s">
        <v>202</v>
      </c>
      <c r="Y1429" s="59" t="n">
        <v>0.53</v>
      </c>
      <c r="Z1429" s="30" t="n">
        <v>55.08</v>
      </c>
      <c r="AA1429" s="30" t="n">
        <f aca="false">Y1429*Z1429</f>
        <v>29.1924</v>
      </c>
      <c r="AB1429" s="1" t="n">
        <v>5</v>
      </c>
    </row>
    <row r="1430" customFormat="false" ht="15" hidden="false" customHeight="false" outlineLevel="0" collapsed="false">
      <c r="S1430" s="1" t="s">
        <v>671</v>
      </c>
      <c r="W1430" s="57" t="s">
        <v>202</v>
      </c>
      <c r="Y1430" s="59" t="n">
        <v>0.52</v>
      </c>
      <c r="Z1430" s="30" t="n">
        <v>47</v>
      </c>
      <c r="AA1430" s="30" t="n">
        <f aca="false">Y1430*Z1430</f>
        <v>24.44</v>
      </c>
      <c r="AB1430" s="1" t="n">
        <v>4</v>
      </c>
    </row>
    <row r="1431" customFormat="false" ht="15" hidden="false" customHeight="false" outlineLevel="0" collapsed="false">
      <c r="S1431" s="1" t="s">
        <v>305</v>
      </c>
      <c r="W1431" s="57" t="s">
        <v>306</v>
      </c>
      <c r="Y1431" s="59" t="n">
        <v>9.73</v>
      </c>
      <c r="Z1431" s="30" t="n">
        <v>24.52</v>
      </c>
      <c r="AA1431" s="30" t="n">
        <f aca="false">Y1431*Z1431</f>
        <v>238.5796</v>
      </c>
      <c r="AB1431" s="1" t="n">
        <v>21</v>
      </c>
    </row>
    <row r="1432" customFormat="false" ht="15" hidden="false" customHeight="false" outlineLevel="0" collapsed="false">
      <c r="S1432" s="1" t="s">
        <v>654</v>
      </c>
      <c r="W1432" s="57" t="s">
        <v>202</v>
      </c>
      <c r="Y1432" s="59" t="n">
        <v>0.186</v>
      </c>
      <c r="Z1432" s="1" t="n">
        <v>6.14</v>
      </c>
      <c r="AA1432" s="30" t="n">
        <f aca="false">Y1432*Z1432</f>
        <v>1.14204</v>
      </c>
      <c r="AB1432" s="1" t="n">
        <v>30</v>
      </c>
    </row>
    <row r="1433" customFormat="false" ht="15" hidden="false" customHeight="false" outlineLevel="0" collapsed="false">
      <c r="S1433" s="1" t="s">
        <v>663</v>
      </c>
      <c r="W1433" s="57" t="s">
        <v>437</v>
      </c>
      <c r="Y1433" s="59" t="n">
        <v>0.2</v>
      </c>
      <c r="Z1433" s="1" t="n">
        <v>13.93</v>
      </c>
      <c r="AA1433" s="30" t="n">
        <f aca="false">Y1433*Z1433</f>
        <v>2.786</v>
      </c>
      <c r="AB1433" s="1" t="n">
        <v>34</v>
      </c>
    </row>
    <row r="1434" customFormat="false" ht="15" hidden="false" customHeight="false" outlineLevel="0" collapsed="false">
      <c r="W1434" s="57"/>
      <c r="Y1434" s="59"/>
      <c r="Z1434" s="30"/>
      <c r="AA1434" s="89" t="n">
        <f aca="false">ROUND(SUM(AA1429:AA1433),2)</f>
        <v>296.14</v>
      </c>
    </row>
    <row r="1435" customFormat="false" ht="15" hidden="false" customHeight="false" outlineLevel="0" collapsed="false">
      <c r="S1435" s="90" t="s">
        <v>308</v>
      </c>
    </row>
    <row r="1436" customFormat="false" ht="15" hidden="false" customHeight="false" outlineLevel="0" collapsed="false">
      <c r="S1436" s="1" t="s">
        <v>309</v>
      </c>
      <c r="W1436" s="57" t="s">
        <v>310</v>
      </c>
      <c r="Y1436" s="59" t="n">
        <v>3</v>
      </c>
      <c r="Z1436" s="30" t="n">
        <f aca="false">AA1427</f>
        <v>97.85</v>
      </c>
      <c r="AA1436" s="30" t="n">
        <f aca="false">Y1436%*Z1436</f>
        <v>2.9355</v>
      </c>
      <c r="AB1436" s="1" t="n">
        <v>37</v>
      </c>
    </row>
    <row r="1437" customFormat="false" ht="15" hidden="false" customHeight="false" outlineLevel="0" collapsed="false">
      <c r="S1437" s="1" t="s">
        <v>665</v>
      </c>
      <c r="W1437" s="57" t="s">
        <v>337</v>
      </c>
      <c r="X1437" s="58" t="n">
        <v>1</v>
      </c>
      <c r="Y1437" s="59" t="n">
        <f aca="false">X1437*8/$U$1421</f>
        <v>0.4</v>
      </c>
      <c r="Z1437" s="30" t="n">
        <v>25.63</v>
      </c>
      <c r="AA1437" s="30" t="n">
        <f aca="false">Y1437*Z1437</f>
        <v>10.252</v>
      </c>
      <c r="AB1437" s="1" t="n">
        <v>48</v>
      </c>
    </row>
    <row r="1438" customFormat="false" ht="15" hidden="false" customHeight="false" outlineLevel="0" collapsed="false">
      <c r="S1438" s="1" t="s">
        <v>687</v>
      </c>
      <c r="W1438" s="57" t="s">
        <v>337</v>
      </c>
      <c r="X1438" s="58" t="n">
        <v>1</v>
      </c>
      <c r="Y1438" s="59" t="n">
        <f aca="false">X1438*8/$U$1421</f>
        <v>0.4</v>
      </c>
      <c r="Z1438" s="30" t="n">
        <v>20</v>
      </c>
      <c r="AA1438" s="30" t="n">
        <f aca="false">Y1438*Z1438</f>
        <v>8</v>
      </c>
      <c r="AB1438" s="1" t="n">
        <v>49</v>
      </c>
    </row>
    <row r="1439" customFormat="false" ht="15" hidden="false" customHeight="false" outlineLevel="0" collapsed="false">
      <c r="S1439" s="1" t="s">
        <v>673</v>
      </c>
      <c r="W1439" s="57" t="s">
        <v>337</v>
      </c>
      <c r="X1439" s="58" t="n">
        <v>0.5</v>
      </c>
      <c r="Y1439" s="59" t="n">
        <f aca="false">X1439*8/$U$1421</f>
        <v>0.2</v>
      </c>
      <c r="Z1439" s="1" t="n">
        <v>7.07</v>
      </c>
      <c r="AA1439" s="30" t="n">
        <f aca="false">Y1439*Z1439</f>
        <v>1.414</v>
      </c>
      <c r="AB1439" s="1" t="n">
        <v>49</v>
      </c>
    </row>
    <row r="1440" customFormat="false" ht="15" hidden="false" customHeight="false" outlineLevel="0" collapsed="false">
      <c r="R1440" s="62"/>
      <c r="S1440" s="62"/>
      <c r="T1440" s="62"/>
      <c r="U1440" s="62"/>
      <c r="V1440" s="62"/>
      <c r="W1440" s="62"/>
      <c r="X1440" s="62"/>
      <c r="Y1440" s="62"/>
      <c r="Z1440" s="62"/>
      <c r="AA1440" s="91" t="n">
        <f aca="false">ROUND(SUM(AA1436:AA1439),2)</f>
        <v>22.6</v>
      </c>
    </row>
    <row r="1441" customFormat="false" ht="15" hidden="false" customHeight="false" outlineLevel="0" collapsed="false">
      <c r="W1441" s="57"/>
      <c r="Y1441" s="59"/>
      <c r="AA1441" s="30"/>
    </row>
    <row r="1442" customFormat="false" ht="15" hidden="false" customHeight="false" outlineLevel="0" collapsed="false">
      <c r="R1442" s="85" t="s">
        <v>333</v>
      </c>
      <c r="S1442" s="105" t="n">
        <f aca="false">A1324</f>
        <v>100000000009</v>
      </c>
      <c r="T1442" s="85" t="s">
        <v>748</v>
      </c>
      <c r="U1442" s="85"/>
    </row>
    <row r="1443" customFormat="false" ht="15" hidden="false" customHeight="false" outlineLevel="0" collapsed="false">
      <c r="R1443" s="85" t="s">
        <v>277</v>
      </c>
      <c r="S1443" s="85" t="s">
        <v>674</v>
      </c>
      <c r="T1443" s="87" t="s">
        <v>279</v>
      </c>
      <c r="U1443" s="88" t="n">
        <v>250</v>
      </c>
      <c r="V1443" s="87" t="s">
        <v>280</v>
      </c>
      <c r="W1443" s="88" t="n">
        <f aca="false">U1443</f>
        <v>250</v>
      </c>
      <c r="X1443" s="85" t="s">
        <v>281</v>
      </c>
      <c r="Z1443" s="87" t="s">
        <v>295</v>
      </c>
      <c r="AA1443" s="89" t="n">
        <f aca="false">AA1448+AA1452+AA1456</f>
        <v>8.76</v>
      </c>
    </row>
    <row r="1444" customFormat="false" ht="15" hidden="false" customHeight="false" outlineLevel="0" collapsed="false">
      <c r="R1444" s="85" t="s">
        <v>282</v>
      </c>
      <c r="S1444" s="85" t="s">
        <v>283</v>
      </c>
      <c r="W1444" s="87" t="s">
        <v>121</v>
      </c>
      <c r="X1444" s="87" t="s">
        <v>284</v>
      </c>
      <c r="Y1444" s="87" t="s">
        <v>285</v>
      </c>
      <c r="Z1444" s="87" t="s">
        <v>286</v>
      </c>
      <c r="AA1444" s="87" t="s">
        <v>287</v>
      </c>
    </row>
    <row r="1445" customFormat="false" ht="15" hidden="false" customHeight="false" outlineLevel="0" collapsed="false">
      <c r="S1445" s="90" t="s">
        <v>288</v>
      </c>
    </row>
    <row r="1446" customFormat="false" ht="15" hidden="false" customHeight="false" outlineLevel="0" collapsed="false">
      <c r="S1446" s="1" t="s">
        <v>289</v>
      </c>
      <c r="W1446" s="57" t="s">
        <v>290</v>
      </c>
      <c r="X1446" s="58" t="n">
        <v>1</v>
      </c>
      <c r="Y1446" s="59" t="n">
        <f aca="false">X1446*8/$U$1443</f>
        <v>0.032</v>
      </c>
      <c r="Z1446" s="30" t="n">
        <v>28.94</v>
      </c>
      <c r="AA1446" s="30" t="n">
        <f aca="false">Y1446*Z1446</f>
        <v>0.92608</v>
      </c>
      <c r="AB1446" s="1" t="n">
        <v>47</v>
      </c>
    </row>
    <row r="1447" customFormat="false" ht="15" hidden="false" customHeight="false" outlineLevel="0" collapsed="false">
      <c r="S1447" s="1" t="s">
        <v>675</v>
      </c>
      <c r="W1447" s="57" t="s">
        <v>290</v>
      </c>
      <c r="X1447" s="58" t="n">
        <v>1</v>
      </c>
      <c r="Y1447" s="59" t="n">
        <f aca="false">X1447*8/$U$1443</f>
        <v>0.032</v>
      </c>
      <c r="Z1447" s="30" t="n">
        <v>22.66</v>
      </c>
      <c r="AA1447" s="30" t="n">
        <f aca="false">Y1447*Z1447</f>
        <v>0.72512</v>
      </c>
      <c r="AB1447" s="1" t="n">
        <v>47</v>
      </c>
    </row>
    <row r="1448" customFormat="false" ht="15" hidden="false" customHeight="false" outlineLevel="0" collapsed="false">
      <c r="W1448" s="57"/>
      <c r="X1448" s="58"/>
      <c r="AA1448" s="89" t="n">
        <f aca="false">ROUND(SUM(AA1446:AA1447),2)</f>
        <v>1.65</v>
      </c>
    </row>
    <row r="1449" customFormat="false" ht="15" hidden="false" customHeight="false" outlineLevel="0" collapsed="false">
      <c r="S1449" s="90" t="s">
        <v>293</v>
      </c>
      <c r="W1449" s="57"/>
      <c r="X1449" s="58"/>
      <c r="Y1449" s="101"/>
    </row>
    <row r="1450" customFormat="false" ht="15" hidden="false" customHeight="false" outlineLevel="0" collapsed="false">
      <c r="S1450" s="1" t="s">
        <v>294</v>
      </c>
      <c r="W1450" s="57" t="s">
        <v>295</v>
      </c>
      <c r="X1450" s="58"/>
      <c r="Y1450" s="101" t="n">
        <v>0.03</v>
      </c>
      <c r="Z1450" s="30" t="n">
        <v>2.64</v>
      </c>
      <c r="AA1450" s="30" t="n">
        <f aca="false">Y1450*Z1450</f>
        <v>0.0792</v>
      </c>
      <c r="AB1450" s="1" t="n">
        <v>2</v>
      </c>
    </row>
    <row r="1451" customFormat="false" ht="15" hidden="false" customHeight="false" outlineLevel="0" collapsed="false">
      <c r="S1451" s="1" t="s">
        <v>676</v>
      </c>
      <c r="W1451" s="57" t="s">
        <v>295</v>
      </c>
      <c r="X1451" s="58"/>
      <c r="Y1451" s="101" t="n">
        <v>1.05</v>
      </c>
      <c r="Z1451" s="30" t="n">
        <v>6.5</v>
      </c>
      <c r="AA1451" s="30" t="n">
        <f aca="false">Y1451*Z1451</f>
        <v>6.825</v>
      </c>
      <c r="AB1451" s="1" t="n">
        <v>3</v>
      </c>
    </row>
    <row r="1452" customFormat="false" ht="15" hidden="false" customHeight="false" outlineLevel="0" collapsed="false">
      <c r="W1452" s="57"/>
      <c r="X1452" s="58"/>
      <c r="AA1452" s="89" t="n">
        <f aca="false">ROUND(SUM(AA1450:AA1451),2)</f>
        <v>6.9</v>
      </c>
    </row>
    <row r="1453" customFormat="false" ht="15" hidden="false" customHeight="false" outlineLevel="0" collapsed="false">
      <c r="S1453" s="90" t="s">
        <v>317</v>
      </c>
      <c r="W1453" s="57"/>
      <c r="X1453" s="58"/>
    </row>
    <row r="1454" customFormat="false" ht="15" hidden="false" customHeight="false" outlineLevel="0" collapsed="false">
      <c r="S1454" s="1" t="s">
        <v>309</v>
      </c>
      <c r="W1454" s="57" t="s">
        <v>310</v>
      </c>
      <c r="Y1454" s="59" t="n">
        <v>3</v>
      </c>
      <c r="Z1454" s="30" t="n">
        <f aca="false">AA1448</f>
        <v>1.65</v>
      </c>
      <c r="AA1454" s="30" t="n">
        <f aca="false">Y1454%*Z1454</f>
        <v>0.0495</v>
      </c>
      <c r="AB1454" s="1" t="n">
        <v>37</v>
      </c>
    </row>
    <row r="1455" customFormat="false" ht="15" hidden="false" customHeight="false" outlineLevel="0" collapsed="false">
      <c r="A1455" s="14" t="s">
        <v>276</v>
      </c>
      <c r="B1455" s="14" t="str">
        <f aca="false">ESTRUCTURA!A110</f>
        <v>02.04.06.04</v>
      </c>
      <c r="C1455" s="14" t="s">
        <v>646</v>
      </c>
      <c r="D1455" s="14"/>
      <c r="E1455" s="14"/>
      <c r="F1455" s="14"/>
      <c r="G1455" s="14"/>
      <c r="H1455" s="14"/>
      <c r="I1455" s="14"/>
      <c r="S1455" s="1" t="s">
        <v>677</v>
      </c>
      <c r="W1455" s="57" t="s">
        <v>290</v>
      </c>
      <c r="X1455" s="58" t="n">
        <v>1</v>
      </c>
      <c r="Y1455" s="59" t="n">
        <f aca="false">X1455*8/$U$1443</f>
        <v>0.032</v>
      </c>
      <c r="Z1455" s="30" t="n">
        <v>5</v>
      </c>
      <c r="AA1455" s="30" t="n">
        <f aca="false">Y1455*Z1455</f>
        <v>0.16</v>
      </c>
      <c r="AB1455" s="1" t="n">
        <v>37</v>
      </c>
    </row>
    <row r="1456" customFormat="false" ht="15" hidden="false" customHeight="false" outlineLevel="0" collapsed="false">
      <c r="A1456" s="14" t="s">
        <v>277</v>
      </c>
      <c r="B1456" s="14" t="s">
        <v>313</v>
      </c>
      <c r="C1456" s="38" t="s">
        <v>279</v>
      </c>
      <c r="D1456" s="54" t="n">
        <v>100</v>
      </c>
      <c r="E1456" s="38" t="s">
        <v>280</v>
      </c>
      <c r="F1456" s="54" t="n">
        <f aca="false">D1456</f>
        <v>100</v>
      </c>
      <c r="G1456" s="14" t="s">
        <v>281</v>
      </c>
      <c r="I1456" s="38" t="s">
        <v>143</v>
      </c>
      <c r="J1456" s="55" t="n">
        <f aca="false">J1461+J1465+J1468</f>
        <v>18.86</v>
      </c>
      <c r="R1456" s="62"/>
      <c r="S1456" s="62"/>
      <c r="T1456" s="62"/>
      <c r="U1456" s="62"/>
      <c r="V1456" s="62"/>
      <c r="W1456" s="62"/>
      <c r="X1456" s="62"/>
      <c r="Y1456" s="62"/>
      <c r="Z1456" s="62"/>
      <c r="AA1456" s="91" t="n">
        <f aca="false">ROUND(SUM(AA1454:AA1455),2)</f>
        <v>0.21</v>
      </c>
    </row>
    <row r="1457" customFormat="false" ht="15" hidden="false" customHeight="false" outlineLevel="0" collapsed="false">
      <c r="A1457" s="14" t="s">
        <v>282</v>
      </c>
      <c r="B1457" s="14" t="s">
        <v>283</v>
      </c>
      <c r="F1457" s="38" t="s">
        <v>121</v>
      </c>
      <c r="G1457" s="38" t="s">
        <v>284</v>
      </c>
      <c r="H1457" s="38" t="s">
        <v>285</v>
      </c>
      <c r="I1457" s="38" t="s">
        <v>286</v>
      </c>
      <c r="J1457" s="38" t="s">
        <v>287</v>
      </c>
    </row>
    <row r="1458" customFormat="false" ht="15" hidden="false" customHeight="false" outlineLevel="0" collapsed="false">
      <c r="B1458" s="56" t="s">
        <v>288</v>
      </c>
    </row>
    <row r="1459" customFormat="false" ht="15" hidden="false" customHeight="false" outlineLevel="0" collapsed="false">
      <c r="B1459" s="1" t="s">
        <v>649</v>
      </c>
      <c r="F1459" s="57" t="s">
        <v>290</v>
      </c>
      <c r="G1459" s="58" t="n">
        <v>0.2</v>
      </c>
      <c r="H1459" s="59" t="n">
        <f aca="false">G1459*8/$D$1456</f>
        <v>0.016</v>
      </c>
      <c r="I1459" s="30" t="n">
        <v>34.73</v>
      </c>
      <c r="J1459" s="30" t="n">
        <f aca="false">H1459*I1459</f>
        <v>0.55568</v>
      </c>
      <c r="K1459" s="1" t="n">
        <v>47</v>
      </c>
    </row>
    <row r="1460" customFormat="false" ht="15" hidden="false" customHeight="false" outlineLevel="0" collapsed="false">
      <c r="B1460" s="1" t="s">
        <v>289</v>
      </c>
      <c r="F1460" s="57" t="s">
        <v>290</v>
      </c>
      <c r="G1460" s="58" t="n">
        <v>1</v>
      </c>
      <c r="H1460" s="59" t="n">
        <f aca="false">G1460*8/$D$1456</f>
        <v>0.08</v>
      </c>
      <c r="I1460" s="30" t="n">
        <v>28.94</v>
      </c>
      <c r="J1460" s="30" t="n">
        <f aca="false">H1460*I1460</f>
        <v>2.3152</v>
      </c>
      <c r="K1460" s="1" t="n">
        <v>47</v>
      </c>
    </row>
    <row r="1461" customFormat="false" ht="15" hidden="false" customHeight="false" outlineLevel="0" collapsed="false">
      <c r="F1461" s="57"/>
      <c r="G1461" s="58"/>
      <c r="H1461" s="59"/>
      <c r="I1461" s="30"/>
      <c r="J1461" s="55" t="n">
        <f aca="false">ROUND(SUM(J1459:J1460),2)</f>
        <v>2.87</v>
      </c>
    </row>
    <row r="1462" customFormat="false" ht="15" hidden="false" customHeight="false" outlineLevel="0" collapsed="false">
      <c r="B1462" s="56" t="s">
        <v>293</v>
      </c>
      <c r="F1462" s="57"/>
    </row>
    <row r="1463" customFormat="false" ht="15" hidden="false" customHeight="false" outlineLevel="0" collapsed="false">
      <c r="B1463" s="1" t="s">
        <v>726</v>
      </c>
      <c r="F1463" s="57" t="s">
        <v>132</v>
      </c>
      <c r="H1463" s="59" t="n">
        <v>0.05</v>
      </c>
      <c r="I1463" s="30" t="n">
        <v>18</v>
      </c>
      <c r="J1463" s="30" t="n">
        <f aca="false">H1463*I1463</f>
        <v>0.9</v>
      </c>
      <c r="K1463" s="1" t="n">
        <v>60</v>
      </c>
    </row>
    <row r="1464" customFormat="false" ht="15" hidden="false" customHeight="false" outlineLevel="0" collapsed="false">
      <c r="B1464" s="1" t="s">
        <v>727</v>
      </c>
      <c r="F1464" s="57" t="s">
        <v>437</v>
      </c>
      <c r="H1464" s="59" t="n">
        <v>0.1</v>
      </c>
      <c r="I1464" s="30" t="n">
        <v>150</v>
      </c>
      <c r="J1464" s="30" t="n">
        <f aca="false">H1464*I1464</f>
        <v>15</v>
      </c>
      <c r="K1464" s="1" t="n">
        <v>30</v>
      </c>
    </row>
    <row r="1465" customFormat="false" ht="15" hidden="false" customHeight="false" outlineLevel="0" collapsed="false">
      <c r="J1465" s="55" t="n">
        <f aca="false">ROUND(SUM(J1463:J1464),2)</f>
        <v>15.9</v>
      </c>
    </row>
    <row r="1466" customFormat="false" ht="15" hidden="false" customHeight="false" outlineLevel="0" collapsed="false">
      <c r="B1466" s="56" t="s">
        <v>317</v>
      </c>
    </row>
    <row r="1467" customFormat="false" ht="15" hidden="false" customHeight="false" outlineLevel="0" collapsed="false">
      <c r="B1467" s="1" t="s">
        <v>309</v>
      </c>
      <c r="F1467" s="57" t="s">
        <v>310</v>
      </c>
      <c r="H1467" s="59" t="n">
        <v>3</v>
      </c>
      <c r="I1467" s="30" t="n">
        <f aca="false">J1461</f>
        <v>2.87</v>
      </c>
      <c r="J1467" s="30" t="n">
        <f aca="false">H1467%*I1467</f>
        <v>0.0861</v>
      </c>
      <c r="K1467" s="1" t="n">
        <v>37</v>
      </c>
    </row>
    <row r="1468" customFormat="false" ht="15" hidden="false" customHeight="false" outlineLevel="0" collapsed="false">
      <c r="A1468" s="62"/>
      <c r="B1468" s="62"/>
      <c r="C1468" s="62"/>
      <c r="D1468" s="62"/>
      <c r="E1468" s="62"/>
      <c r="F1468" s="62"/>
      <c r="G1468" s="62"/>
      <c r="H1468" s="62"/>
      <c r="I1468" s="62"/>
      <c r="J1468" s="91" t="n">
        <f aca="false">ROUND(SUM(J1467),2)</f>
        <v>0.09</v>
      </c>
    </row>
    <row r="1470" customFormat="false" ht="15" hidden="false" customHeight="false" outlineLevel="0" collapsed="false">
      <c r="T1470" s="14"/>
      <c r="U1470" s="14"/>
      <c r="V1470" s="14"/>
      <c r="W1470" s="14"/>
      <c r="X1470" s="14"/>
      <c r="Y1470" s="14"/>
      <c r="Z1470" s="14"/>
      <c r="AA1470" s="14"/>
      <c r="AB1470" s="14"/>
    </row>
    <row r="1471" customFormat="false" ht="15" hidden="false" customHeight="false" outlineLevel="0" collapsed="false">
      <c r="A1471" s="14" t="s">
        <v>276</v>
      </c>
      <c r="B1471" s="14" t="str">
        <f aca="false">ESTRUCTURA!A112</f>
        <v>02.04.07.01</v>
      </c>
      <c r="C1471" s="14" t="s">
        <v>749</v>
      </c>
      <c r="D1471" s="14"/>
      <c r="E1471" s="14"/>
      <c r="F1471" s="14"/>
      <c r="G1471" s="14"/>
      <c r="H1471" s="14"/>
      <c r="I1471" s="14"/>
      <c r="T1471" s="14"/>
      <c r="U1471" s="14"/>
      <c r="V1471" s="38"/>
      <c r="W1471" s="54"/>
      <c r="X1471" s="38"/>
      <c r="Y1471" s="54"/>
      <c r="Z1471" s="14"/>
      <c r="AB1471" s="38"/>
      <c r="AC1471" s="55"/>
    </row>
    <row r="1472" customFormat="false" ht="15" hidden="false" customHeight="false" outlineLevel="0" collapsed="false">
      <c r="A1472" s="14" t="s">
        <v>277</v>
      </c>
      <c r="B1472" s="14" t="s">
        <v>331</v>
      </c>
      <c r="C1472" s="38" t="s">
        <v>279</v>
      </c>
      <c r="D1472" s="54" t="n">
        <v>1</v>
      </c>
      <c r="E1472" s="38" t="s">
        <v>280</v>
      </c>
      <c r="F1472" s="54" t="n">
        <f aca="false">D1472</f>
        <v>1</v>
      </c>
      <c r="G1472" s="14" t="s">
        <v>281</v>
      </c>
      <c r="I1472" s="38" t="s">
        <v>153</v>
      </c>
      <c r="J1472" s="55" t="n">
        <f aca="false">J1476</f>
        <v>29580.59</v>
      </c>
      <c r="T1472" s="14"/>
      <c r="U1472" s="14"/>
      <c r="Y1472" s="38"/>
      <c r="Z1472" s="38"/>
      <c r="AA1472" s="38"/>
      <c r="AB1472" s="38"/>
      <c r="AC1472" s="38"/>
    </row>
    <row r="1473" customFormat="false" ht="15" hidden="false" customHeight="false" outlineLevel="0" collapsed="false">
      <c r="A1473" s="14" t="s">
        <v>282</v>
      </c>
      <c r="B1473" s="14" t="s">
        <v>283</v>
      </c>
      <c r="F1473" s="38" t="s">
        <v>121</v>
      </c>
      <c r="G1473" s="38" t="s">
        <v>284</v>
      </c>
      <c r="H1473" s="38" t="s">
        <v>285</v>
      </c>
      <c r="I1473" s="38" t="s">
        <v>286</v>
      </c>
      <c r="J1473" s="38" t="s">
        <v>287</v>
      </c>
      <c r="U1473" s="56"/>
    </row>
    <row r="1474" customFormat="false" ht="15" hidden="false" customHeight="false" outlineLevel="0" collapsed="false">
      <c r="B1474" s="56" t="s">
        <v>293</v>
      </c>
      <c r="Y1474" s="57"/>
      <c r="Z1474" s="58"/>
      <c r="AA1474" s="59"/>
      <c r="AB1474" s="30"/>
      <c r="AC1474" s="30"/>
    </row>
    <row r="1475" customFormat="false" ht="15" hidden="false" customHeight="false" outlineLevel="0" collapsed="false">
      <c r="B1475" s="1" t="s">
        <v>749</v>
      </c>
      <c r="F1475" s="57" t="s">
        <v>153</v>
      </c>
      <c r="G1475" s="58"/>
      <c r="H1475" s="59" t="n">
        <v>1</v>
      </c>
      <c r="I1475" s="30" t="n">
        <v>29580.5881071662</v>
      </c>
      <c r="J1475" s="30" t="n">
        <f aca="false">H1475*I1475</f>
        <v>29580.5881071662</v>
      </c>
      <c r="K1475" s="1" t="n">
        <v>39</v>
      </c>
      <c r="Y1475" s="57"/>
      <c r="Z1475" s="58"/>
      <c r="AA1475" s="59"/>
      <c r="AB1475" s="30"/>
      <c r="AC1475" s="55"/>
    </row>
    <row r="1476" customFormat="false" ht="15" hidden="false" customHeight="false" outlineLevel="0" collapsed="false">
      <c r="A1476" s="62"/>
      <c r="B1476" s="62"/>
      <c r="C1476" s="62"/>
      <c r="D1476" s="62"/>
      <c r="E1476" s="62"/>
      <c r="F1476" s="62"/>
      <c r="G1476" s="62"/>
      <c r="H1476" s="62"/>
      <c r="I1476" s="62"/>
      <c r="J1476" s="63" t="n">
        <f aca="false">ROUND(SUM(J1475),2)</f>
        <v>29580.59</v>
      </c>
      <c r="U1476" s="56"/>
    </row>
    <row r="1477" customFormat="false" ht="15" hidden="false" customHeight="false" outlineLevel="0" collapsed="false">
      <c r="Y1477" s="57"/>
      <c r="AA1477" s="59"/>
      <c r="AB1477" s="30"/>
      <c r="AC1477" s="30"/>
    </row>
    <row r="1478" customFormat="false" ht="15" hidden="false" customHeight="false" outlineLevel="0" collapsed="false">
      <c r="AC1478" s="55"/>
    </row>
    <row r="1479" customFormat="false" ht="15" hidden="false" customHeight="false" outlineLevel="0" collapsed="false">
      <c r="U1479" s="56"/>
    </row>
    <row r="1480" customFormat="false" ht="15" hidden="false" customHeight="false" outlineLevel="0" collapsed="false">
      <c r="Y1480" s="57"/>
      <c r="AA1480" s="59"/>
      <c r="AB1480" s="30"/>
      <c r="AC1480" s="30"/>
    </row>
    <row r="1481" customFormat="false" ht="15" hidden="false" customHeight="false" outlineLevel="0" collapsed="false"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AE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3.3"/>
    <col collapsed="false" customWidth="true" hidden="false" outlineLevel="0" max="8" min="8" style="1" width="13"/>
    <col collapsed="false" customWidth="true" hidden="false" outlineLevel="0" max="10" min="10" style="1" width="16.14"/>
    <col collapsed="false" customWidth="true" hidden="false" outlineLevel="0" max="11" min="11" style="1" width="15.28"/>
  </cols>
  <sheetData>
    <row r="2" customFormat="false" ht="15" hidden="false" customHeight="false" outlineLevel="0" collapsed="false">
      <c r="G2" s="38" t="s">
        <v>121</v>
      </c>
      <c r="H2" s="38" t="s">
        <v>122</v>
      </c>
      <c r="I2" s="38" t="s">
        <v>123</v>
      </c>
      <c r="J2" s="38" t="s">
        <v>124</v>
      </c>
      <c r="K2" s="38" t="s">
        <v>125</v>
      </c>
    </row>
    <row r="3" customFormat="false" ht="15" hidden="false" customHeight="false" outlineLevel="0" collapsed="false">
      <c r="A3" s="14" t="n">
        <v>3</v>
      </c>
      <c r="B3" s="72" t="s">
        <v>750</v>
      </c>
      <c r="H3" s="6"/>
      <c r="I3" s="6"/>
      <c r="J3" s="6"/>
      <c r="K3" s="40" t="n">
        <f aca="false">J4+J10+J19+J26+J33+J39+J43</f>
        <v>102883.921</v>
      </c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customFormat="false" ht="15" hidden="false" customHeight="false" outlineLevel="0" collapsed="false">
      <c r="A4" s="14" t="n">
        <v>3.01</v>
      </c>
      <c r="B4" s="13" t="s">
        <v>751</v>
      </c>
      <c r="F4" s="59"/>
      <c r="J4" s="42" t="n">
        <f aca="false">SUM(J5:J9)</f>
        <v>14021.949</v>
      </c>
      <c r="K4" s="15"/>
      <c r="M4" s="14"/>
      <c r="N4" s="14"/>
      <c r="T4" s="15"/>
    </row>
    <row r="5" customFormat="false" ht="16.4" hidden="false" customHeight="false" outlineLevel="0" collapsed="false">
      <c r="A5" s="1" t="s">
        <v>752</v>
      </c>
      <c r="B5" s="1" t="s">
        <v>753</v>
      </c>
      <c r="F5" s="59"/>
      <c r="G5" s="107" t="s">
        <v>132</v>
      </c>
      <c r="H5" s="30" t="n">
        <f aca="false">ROUND(SUM(BIBLIOTECA:INGRESO!G6:G6),2)</f>
        <v>41.63</v>
      </c>
      <c r="I5" s="30" t="n">
        <f aca="false">ROUND('APUS ARQUITECTURA'!J5,2)</f>
        <v>140.28</v>
      </c>
      <c r="J5" s="9" t="n">
        <f aca="false">H5*I5</f>
        <v>5839.8564</v>
      </c>
      <c r="N5" s="14"/>
    </row>
    <row r="6" customFormat="false" ht="16.4" hidden="false" customHeight="false" outlineLevel="0" collapsed="false">
      <c r="A6" s="1" t="s">
        <v>754</v>
      </c>
      <c r="B6" s="1" t="s">
        <v>755</v>
      </c>
      <c r="F6" s="59"/>
      <c r="G6" s="107" t="s">
        <v>132</v>
      </c>
      <c r="H6" s="30" t="n">
        <f aca="false">ROUND(SUM(BIBLIOTECA:INGRESO!G7:G7),2)</f>
        <v>36.55</v>
      </c>
      <c r="I6" s="30" t="n">
        <f aca="false">ROUND('APUS ARQUITECTURA'!J32,2)</f>
        <v>166.45</v>
      </c>
      <c r="J6" s="9" t="n">
        <f aca="false">H6*I6</f>
        <v>6083.7475</v>
      </c>
      <c r="N6" s="14"/>
      <c r="O6" s="45"/>
      <c r="R6" s="30"/>
    </row>
    <row r="7" customFormat="false" ht="16.4" hidden="false" customHeight="false" outlineLevel="0" collapsed="false">
      <c r="A7" s="1" t="s">
        <v>756</v>
      </c>
      <c r="B7" s="1" t="s">
        <v>757</v>
      </c>
      <c r="F7" s="59"/>
      <c r="G7" s="107" t="s">
        <v>132</v>
      </c>
      <c r="H7" s="30" t="n">
        <f aca="false">ROUND(SUM(BIBLIOTECA:INGRESO!G8:G8),2)</f>
        <v>8</v>
      </c>
      <c r="I7" s="30" t="n">
        <f aca="false">ROUND('APUS ARQUITECTURA'!J50,2)</f>
        <v>141.07</v>
      </c>
      <c r="J7" s="9" t="n">
        <f aca="false">H7*I7</f>
        <v>1128.56</v>
      </c>
      <c r="O7" s="45"/>
    </row>
    <row r="8" customFormat="false" ht="16.4" hidden="false" customHeight="false" outlineLevel="0" collapsed="false">
      <c r="A8" s="1" t="s">
        <v>758</v>
      </c>
      <c r="B8" s="1" t="s">
        <v>759</v>
      </c>
      <c r="G8" s="107" t="s">
        <v>132</v>
      </c>
      <c r="H8" s="30" t="n">
        <f aca="false">ROUND(SUM(BIBLIOTECA:INGRESO!G9:G9),2)</f>
        <v>2.74</v>
      </c>
      <c r="I8" s="30" t="n">
        <f aca="false">ROUND('APUS ARQUITECTURA'!J74,2)</f>
        <v>204.42</v>
      </c>
      <c r="J8" s="9" t="n">
        <f aca="false">H8*I8</f>
        <v>560.1108</v>
      </c>
      <c r="O8" s="45"/>
    </row>
    <row r="9" customFormat="false" ht="16.4" hidden="false" customHeight="false" outlineLevel="0" collapsed="false">
      <c r="A9" s="1" t="s">
        <v>760</v>
      </c>
      <c r="B9" s="1" t="s">
        <v>761</v>
      </c>
      <c r="G9" s="107" t="s">
        <v>132</v>
      </c>
      <c r="H9" s="30" t="n">
        <f aca="false">ROUND(SUM(BIBLIOTECA:INGRESO!G10:G10),2)</f>
        <v>0.87</v>
      </c>
      <c r="I9" s="30" t="n">
        <f aca="false">ROUND('APUS ARQUITECTURA'!J92,2)</f>
        <v>470.89</v>
      </c>
      <c r="J9" s="9" t="n">
        <f aca="false">H9*I9</f>
        <v>409.6743</v>
      </c>
    </row>
    <row r="10" customFormat="false" ht="15" hidden="false" customHeight="false" outlineLevel="0" collapsed="false">
      <c r="A10" s="14" t="n">
        <v>3.02</v>
      </c>
      <c r="B10" s="13" t="s">
        <v>762</v>
      </c>
      <c r="F10" s="108"/>
      <c r="G10" s="6"/>
      <c r="H10" s="30"/>
      <c r="I10" s="30"/>
      <c r="J10" s="42" t="n">
        <f aca="false">J11+J14+J16</f>
        <v>28793.6793</v>
      </c>
      <c r="T10" s="109"/>
    </row>
    <row r="11" customFormat="false" ht="15" hidden="false" customHeight="false" outlineLevel="0" collapsed="false">
      <c r="A11" s="14" t="s">
        <v>763</v>
      </c>
      <c r="B11" s="43" t="s">
        <v>764</v>
      </c>
      <c r="G11" s="6"/>
      <c r="H11" s="30"/>
      <c r="I11" s="30"/>
      <c r="J11" s="45" t="n">
        <f aca="false">SUM(J12:J13)</f>
        <v>4478.0499</v>
      </c>
      <c r="K11" s="15"/>
      <c r="T11" s="15"/>
    </row>
    <row r="12" customFormat="false" ht="15" hidden="false" customHeight="false" outlineLevel="0" collapsed="false">
      <c r="A12" s="1" t="s">
        <v>765</v>
      </c>
      <c r="B12" s="1" t="s">
        <v>766</v>
      </c>
      <c r="F12" s="30"/>
      <c r="G12" s="6" t="s">
        <v>132</v>
      </c>
      <c r="H12" s="30" t="n">
        <f aca="false">ROUND(SUM(BIBLIOTECA:INGRESO!G13:G13),2)</f>
        <v>99</v>
      </c>
      <c r="I12" s="30" t="n">
        <f aca="false">ROUND('APUS ARQUITECTURA'!J127,2)</f>
        <v>27.33</v>
      </c>
      <c r="J12" s="9" t="n">
        <f aca="false">H12*I12</f>
        <v>2705.67</v>
      </c>
      <c r="N12" s="14"/>
    </row>
    <row r="13" customFormat="false" ht="15" hidden="false" customHeight="false" outlineLevel="0" collapsed="false">
      <c r="A13" s="1" t="s">
        <v>767</v>
      </c>
      <c r="B13" s="1" t="s">
        <v>768</v>
      </c>
      <c r="F13" s="30"/>
      <c r="G13" s="6" t="s">
        <v>132</v>
      </c>
      <c r="H13" s="30" t="n">
        <f aca="false">ROUND(SUM(BIBLIOTECA:INGRESO!G14:G14),2)</f>
        <v>49.11</v>
      </c>
      <c r="I13" s="30" t="n">
        <f aca="false">ROUND('APUS ARQUITECTURA'!J148,2)</f>
        <v>36.09</v>
      </c>
      <c r="J13" s="9" t="n">
        <f aca="false">H13*I13</f>
        <v>1772.3799</v>
      </c>
    </row>
    <row r="14" customFormat="false" ht="15" hidden="false" customHeight="false" outlineLevel="0" collapsed="false">
      <c r="A14" s="14" t="s">
        <v>769</v>
      </c>
      <c r="B14" s="43" t="s">
        <v>770</v>
      </c>
      <c r="F14" s="30"/>
      <c r="G14" s="6"/>
      <c r="H14" s="30"/>
      <c r="I14" s="30"/>
      <c r="J14" s="45" t="n">
        <f aca="false">SUM(J15)</f>
        <v>2377.9294</v>
      </c>
      <c r="T14" s="27"/>
    </row>
    <row r="15" customFormat="false" ht="15" hidden="false" customHeight="false" outlineLevel="0" collapsed="false">
      <c r="A15" s="1" t="s">
        <v>771</v>
      </c>
      <c r="B15" s="1" t="s">
        <v>772</v>
      </c>
      <c r="F15" s="30"/>
      <c r="G15" s="6" t="s">
        <v>132</v>
      </c>
      <c r="H15" s="30" t="n">
        <f aca="false">ROUND(SUM(BIBLIOTECA:INGRESO!G16:G16),2)</f>
        <v>26.18</v>
      </c>
      <c r="I15" s="30" t="n">
        <f aca="false">ROUND('APUS ARQUITECTURA'!J168,2)</f>
        <v>90.83</v>
      </c>
      <c r="J15" s="9" t="n">
        <f aca="false">H15*I15</f>
        <v>2377.9294</v>
      </c>
    </row>
    <row r="16" customFormat="false" ht="15" hidden="false" customHeight="false" outlineLevel="0" collapsed="false">
      <c r="A16" s="14" t="s">
        <v>773</v>
      </c>
      <c r="B16" s="43" t="s">
        <v>774</v>
      </c>
      <c r="E16" s="59"/>
      <c r="G16" s="110"/>
      <c r="H16" s="30"/>
      <c r="J16" s="45" t="n">
        <f aca="false">SUM(J17:J18)</f>
        <v>21937.7</v>
      </c>
      <c r="K16" s="15"/>
      <c r="T16" s="27"/>
    </row>
    <row r="17" customFormat="false" ht="15" hidden="false" customHeight="false" outlineLevel="0" collapsed="false">
      <c r="A17" s="1" t="s">
        <v>775</v>
      </c>
      <c r="B17" s="1" t="s">
        <v>776</v>
      </c>
      <c r="F17" s="59"/>
      <c r="G17" s="6" t="s">
        <v>202</v>
      </c>
      <c r="H17" s="30" t="n">
        <f aca="false">ROUND(SUM(BIBLIOTECA:INGRESO!G18:G18),2)</f>
        <v>100</v>
      </c>
      <c r="I17" s="30" t="n">
        <f aca="false">ROUND('APUS ARQUITECTURA'!J188,2)</f>
        <v>213.2</v>
      </c>
      <c r="J17" s="9" t="n">
        <f aca="false">H17*I17</f>
        <v>21320</v>
      </c>
    </row>
    <row r="18" customFormat="false" ht="15" hidden="false" customHeight="false" outlineLevel="0" collapsed="false">
      <c r="A18" s="1" t="s">
        <v>777</v>
      </c>
      <c r="B18" s="1" t="s">
        <v>778</v>
      </c>
      <c r="G18" s="6" t="s">
        <v>202</v>
      </c>
      <c r="H18" s="30" t="n">
        <f aca="false">ROUND(SUM(BIBLIOTECA:INGRESO!G19:G19),2)</f>
        <v>10</v>
      </c>
      <c r="I18" s="30" t="n">
        <f aca="false">ROUND('APUS ARQUITECTURA'!J212,2)</f>
        <v>61.77</v>
      </c>
      <c r="J18" s="9" t="n">
        <f aca="false">H18*I18</f>
        <v>617.7</v>
      </c>
    </row>
    <row r="19" customFormat="false" ht="15" hidden="false" customHeight="false" outlineLevel="0" collapsed="false">
      <c r="A19" s="14" t="n">
        <v>3.03</v>
      </c>
      <c r="B19" s="13" t="s">
        <v>779</v>
      </c>
      <c r="F19" s="59"/>
      <c r="G19" s="6"/>
      <c r="H19" s="30"/>
      <c r="J19" s="42" t="n">
        <f aca="false">SUM(J20:J25)</f>
        <v>27170.6</v>
      </c>
      <c r="K19" s="15"/>
      <c r="T19" s="15"/>
    </row>
    <row r="20" customFormat="false" ht="15" hidden="false" customHeight="false" outlineLevel="0" collapsed="false">
      <c r="A20" s="1" t="s">
        <v>780</v>
      </c>
      <c r="B20" s="1" t="s">
        <v>781</v>
      </c>
      <c r="G20" s="6" t="s">
        <v>132</v>
      </c>
      <c r="H20" s="30" t="n">
        <f aca="false">ROUND(SUM(BIBLIOTECA:INGRESO!G21:G21),2)</f>
        <v>110</v>
      </c>
      <c r="I20" s="30" t="n">
        <f aca="false">ROUND('APUS ARQUITECTURA'!J232,2)</f>
        <v>49.7</v>
      </c>
      <c r="J20" s="9" t="n">
        <f aca="false">H20*I20</f>
        <v>5467</v>
      </c>
    </row>
    <row r="21" customFormat="false" ht="15" hidden="false" customHeight="false" outlineLevel="0" collapsed="false">
      <c r="A21" s="1" t="s">
        <v>782</v>
      </c>
      <c r="B21" s="1" t="s">
        <v>783</v>
      </c>
      <c r="G21" s="6" t="s">
        <v>132</v>
      </c>
      <c r="H21" s="30" t="n">
        <f aca="false">ROUND(SUM(BIBLIOTECA:INGRESO!G22:G22),2)</f>
        <v>100</v>
      </c>
      <c r="I21" s="30" t="n">
        <f aca="false">ROUND('APUS ARQUITECTURA'!J252,2)</f>
        <v>206.77</v>
      </c>
      <c r="J21" s="9" t="n">
        <f aca="false">H21*I21</f>
        <v>20677</v>
      </c>
      <c r="N21" s="14"/>
    </row>
    <row r="22" customFormat="false" ht="15" hidden="false" customHeight="false" outlineLevel="0" collapsed="false">
      <c r="A22" s="1" t="s">
        <v>784</v>
      </c>
      <c r="B22" s="1" t="s">
        <v>785</v>
      </c>
      <c r="G22" s="6" t="s">
        <v>132</v>
      </c>
      <c r="H22" s="30" t="n">
        <f aca="false">ROUND(SUM(BIBLIOTECA:INGRESO!G23:G23),2)</f>
        <v>10</v>
      </c>
      <c r="I22" s="30" t="n">
        <f aca="false">ROUND('APUS ARQUITECTURA'!J272,2)</f>
        <v>102.66</v>
      </c>
      <c r="J22" s="9" t="n">
        <f aca="false">H22*I22</f>
        <v>1026.6</v>
      </c>
    </row>
    <row r="23" customFormat="false" ht="15" hidden="false" customHeight="false" outlineLevel="0" collapsed="false">
      <c r="A23" s="1" t="s">
        <v>786</v>
      </c>
      <c r="B23" s="1" t="s">
        <v>787</v>
      </c>
      <c r="G23" s="6" t="s">
        <v>132</v>
      </c>
      <c r="H23" s="30" t="n">
        <f aca="false">ROUND(SUM(BIBLIOTECA:INGRESO!G24:G24),2)</f>
        <v>0</v>
      </c>
      <c r="I23" s="30" t="n">
        <f aca="false">ROUND('APUS ARQUITECTURA'!J292,2)</f>
        <v>47.44</v>
      </c>
      <c r="J23" s="9" t="n">
        <f aca="false">H23*I23</f>
        <v>0</v>
      </c>
    </row>
    <row r="24" customFormat="false" ht="15" hidden="false" customHeight="false" outlineLevel="0" collapsed="false">
      <c r="A24" s="1" t="s">
        <v>788</v>
      </c>
      <c r="B24" s="1" t="s">
        <v>789</v>
      </c>
      <c r="G24" s="6" t="s">
        <v>132</v>
      </c>
      <c r="H24" s="30" t="n">
        <f aca="false">ROUND(SUM(BIBLIOTECA:INGRESO!G25:G25),2)</f>
        <v>0</v>
      </c>
      <c r="I24" s="30" t="n">
        <f aca="false">ROUND('APUS ARQUITECTURA'!J318,2)</f>
        <v>51.99</v>
      </c>
      <c r="J24" s="9" t="n">
        <f aca="false">H24*I24</f>
        <v>0</v>
      </c>
      <c r="O24" s="6"/>
    </row>
    <row r="25" customFormat="false" ht="15" hidden="false" customHeight="false" outlineLevel="0" collapsed="false">
      <c r="A25" s="1" t="s">
        <v>790</v>
      </c>
      <c r="B25" s="1" t="s">
        <v>791</v>
      </c>
      <c r="G25" s="6" t="s">
        <v>132</v>
      </c>
      <c r="H25" s="30" t="n">
        <f aca="false">ROUND(SUM(BIBLIOTECA:INGRESO!G26:G26),2)</f>
        <v>0</v>
      </c>
      <c r="I25" s="30" t="n">
        <f aca="false">ROUND('APUS ARQUITECTURA'!J340,2)</f>
        <v>201.23</v>
      </c>
      <c r="J25" s="9" t="n">
        <f aca="false">H25*I25</f>
        <v>0</v>
      </c>
      <c r="O25" s="6"/>
    </row>
    <row r="26" customFormat="false" ht="15" hidden="false" customHeight="false" outlineLevel="0" collapsed="false">
      <c r="A26" s="14" t="n">
        <v>3.04</v>
      </c>
      <c r="B26" s="13" t="s">
        <v>792</v>
      </c>
      <c r="G26" s="6"/>
      <c r="H26" s="30"/>
      <c r="J26" s="42" t="n">
        <f aca="false">SUM(J27:J32)</f>
        <v>3044.1675</v>
      </c>
      <c r="O26" s="6"/>
      <c r="T26" s="15"/>
    </row>
    <row r="27" customFormat="false" ht="15" hidden="false" customHeight="false" outlineLevel="0" collapsed="false">
      <c r="A27" s="1" t="s">
        <v>793</v>
      </c>
      <c r="B27" s="1" t="s">
        <v>794</v>
      </c>
      <c r="G27" s="6" t="s">
        <v>143</v>
      </c>
      <c r="H27" s="30" t="n">
        <f aca="false">ROUND(SUM(BIBLIOTECA:INGRESO!G28:G28),2)</f>
        <v>4</v>
      </c>
      <c r="I27" s="30" t="n">
        <f aca="false">ROUND('APUS ARQUITECTURA'!J347,2)</f>
        <v>20.57</v>
      </c>
      <c r="J27" s="9" t="n">
        <f aca="false">H27*I27</f>
        <v>82.28</v>
      </c>
      <c r="O27" s="6"/>
    </row>
    <row r="28" customFormat="false" ht="15" hidden="false" customHeight="false" outlineLevel="0" collapsed="false">
      <c r="A28" s="1" t="s">
        <v>795</v>
      </c>
      <c r="B28" s="1" t="s">
        <v>796</v>
      </c>
      <c r="G28" s="6" t="s">
        <v>143</v>
      </c>
      <c r="H28" s="30" t="n">
        <f aca="false">ROUND(SUM(BIBLIOTECA:INGRESO!G29:G29),2)</f>
        <v>45.1</v>
      </c>
      <c r="I28" s="30" t="n">
        <f aca="false">ROUND('APUS ARQUITECTURA'!J364,2)</f>
        <v>26.69</v>
      </c>
      <c r="J28" s="9" t="n">
        <f aca="false">H28*I28</f>
        <v>1203.719</v>
      </c>
      <c r="N28" s="14"/>
      <c r="O28" s="6"/>
    </row>
    <row r="29" customFormat="false" ht="15" hidden="false" customHeight="false" outlineLevel="0" collapsed="false">
      <c r="A29" s="1" t="s">
        <v>797</v>
      </c>
      <c r="B29" s="1" t="s">
        <v>798</v>
      </c>
      <c r="G29" s="6" t="s">
        <v>143</v>
      </c>
      <c r="H29" s="30" t="n">
        <f aca="false">ROUND(SUM(BIBLIOTECA:INGRESO!G30:G30),2)</f>
        <v>39</v>
      </c>
      <c r="I29" s="30" t="n">
        <f aca="false">ROUND('APUS ARQUITECTURA'!J383,2)</f>
        <v>36.53</v>
      </c>
      <c r="J29" s="9" t="n">
        <f aca="false">H29*I29</f>
        <v>1424.67</v>
      </c>
      <c r="O29" s="6"/>
    </row>
    <row r="30" customFormat="false" ht="15" hidden="false" customHeight="false" outlineLevel="0" collapsed="false">
      <c r="A30" s="1" t="s">
        <v>799</v>
      </c>
      <c r="B30" s="1" t="s">
        <v>800</v>
      </c>
      <c r="G30" s="6" t="s">
        <v>143</v>
      </c>
      <c r="H30" s="30" t="n">
        <f aca="false">ROUND(SUM(BIBLIOTECA:INGRESO!G31:G31),2)</f>
        <v>0</v>
      </c>
      <c r="I30" s="30" t="n">
        <f aca="false">ROUND('APUS ARQUITECTURA'!J403,2)</f>
        <v>25</v>
      </c>
      <c r="J30" s="9" t="n">
        <f aca="false">H30*I30</f>
        <v>0</v>
      </c>
      <c r="O30" s="6"/>
    </row>
    <row r="31" customFormat="false" ht="15" hidden="false" customHeight="false" outlineLevel="0" collapsed="false">
      <c r="A31" s="1" t="s">
        <v>801</v>
      </c>
      <c r="B31" s="1" t="s">
        <v>802</v>
      </c>
      <c r="G31" s="6" t="s">
        <v>143</v>
      </c>
      <c r="H31" s="30" t="n">
        <f aca="false">ROUND(SUM(BIBLIOTECA:INGRESO!G32:G32),2)</f>
        <v>0</v>
      </c>
      <c r="I31" s="30" t="n">
        <f aca="false">ROUND('APUS ARQUITECTURA'!J410,2)</f>
        <v>44.19</v>
      </c>
      <c r="J31" s="9" t="n">
        <f aca="false">H31*I31</f>
        <v>0</v>
      </c>
      <c r="O31" s="6"/>
    </row>
    <row r="32" customFormat="false" ht="15" hidden="false" customHeight="false" outlineLevel="0" collapsed="false">
      <c r="A32" s="1" t="s">
        <v>803</v>
      </c>
      <c r="B32" s="1" t="s">
        <v>804</v>
      </c>
      <c r="G32" s="6" t="s">
        <v>143</v>
      </c>
      <c r="H32" s="30" t="n">
        <f aca="false">ROUND(SUM(BIBLIOTECA:INGRESO!G33:G33),2)</f>
        <v>3.95</v>
      </c>
      <c r="I32" s="30" t="n">
        <f aca="false">ROUND('APUS ARQUITECTURA'!J430,2)</f>
        <v>84.43</v>
      </c>
      <c r="J32" s="9" t="n">
        <f aca="false">H32*I32</f>
        <v>333.4985</v>
      </c>
      <c r="O32" s="6"/>
    </row>
    <row r="33" customFormat="false" ht="15" hidden="false" customHeight="false" outlineLevel="0" collapsed="false">
      <c r="A33" s="14" t="n">
        <v>3.05</v>
      </c>
      <c r="B33" s="13" t="s">
        <v>805</v>
      </c>
      <c r="G33" s="6"/>
      <c r="H33" s="30"/>
      <c r="I33" s="30"/>
      <c r="J33" s="42" t="n">
        <f aca="false">SUM(J34:J38)</f>
        <v>17910.0396</v>
      </c>
      <c r="O33" s="6"/>
      <c r="T33" s="15"/>
    </row>
    <row r="34" customFormat="false" ht="15" hidden="false" customHeight="false" outlineLevel="0" collapsed="false">
      <c r="A34" s="1" t="s">
        <v>806</v>
      </c>
      <c r="B34" s="1" t="s">
        <v>807</v>
      </c>
      <c r="G34" s="6" t="s">
        <v>132</v>
      </c>
      <c r="H34" s="30" t="n">
        <f aca="false">ROUND(SUM(BIBLIOTECA:INGRESO!G35:G35),2)</f>
        <v>7.39</v>
      </c>
      <c r="I34" s="30" t="n">
        <f aca="false">ROUND('APUS ARQUITECTURA'!J449,2)</f>
        <v>560.62</v>
      </c>
      <c r="J34" s="9" t="n">
        <f aca="false">H34*I34</f>
        <v>4142.9818</v>
      </c>
      <c r="O34" s="6"/>
    </row>
    <row r="35" customFormat="false" ht="15" hidden="false" customHeight="false" outlineLevel="0" collapsed="false">
      <c r="A35" s="1" t="s">
        <v>808</v>
      </c>
      <c r="B35" s="1" t="s">
        <v>809</v>
      </c>
      <c r="G35" s="6" t="s">
        <v>132</v>
      </c>
      <c r="H35" s="30" t="n">
        <f aca="false">ROUND(SUM(BIBLIOTECA:INGRESO!G36:G36),2)</f>
        <v>13.24</v>
      </c>
      <c r="I35" s="30" t="n">
        <f aca="false">ROUND('APUS ARQUITECTURA'!J456,2)</f>
        <v>367.87</v>
      </c>
      <c r="J35" s="9" t="n">
        <f aca="false">H35*I35</f>
        <v>4870.5988</v>
      </c>
      <c r="N35" s="14"/>
      <c r="O35" s="6"/>
    </row>
    <row r="36" customFormat="false" ht="15" hidden="false" customHeight="false" outlineLevel="0" collapsed="false">
      <c r="A36" s="1" t="s">
        <v>810</v>
      </c>
      <c r="B36" s="1" t="s">
        <v>811</v>
      </c>
      <c r="G36" s="6" t="s">
        <v>132</v>
      </c>
      <c r="H36" s="30" t="n">
        <f aca="false">ROUND(SUM(BIBLIOTECA:INGRESO!G37:G37),2)</f>
        <v>0</v>
      </c>
      <c r="I36" s="30" t="n">
        <f aca="false">ROUND('APUS ARQUITECTURA'!J463,2)</f>
        <v>514.54</v>
      </c>
      <c r="J36" s="9" t="n">
        <f aca="false">H36*I36</f>
        <v>0</v>
      </c>
      <c r="O36" s="6"/>
    </row>
    <row r="37" customFormat="false" ht="15" hidden="false" customHeight="false" outlineLevel="0" collapsed="false">
      <c r="A37" s="1" t="s">
        <v>812</v>
      </c>
      <c r="B37" s="1" t="s">
        <v>813</v>
      </c>
      <c r="G37" s="6" t="s">
        <v>143</v>
      </c>
      <c r="H37" s="30" t="n">
        <f aca="false">ROUND(SUM(BIBLIOTECA:INGRESO!G38:G38),2)</f>
        <v>14.3</v>
      </c>
      <c r="I37" s="30" t="n">
        <f aca="false">ROUND('APUS ARQUITECTURA'!J470,2)</f>
        <v>622.13</v>
      </c>
      <c r="J37" s="9" t="n">
        <f aca="false">H37*I37</f>
        <v>8896.459</v>
      </c>
      <c r="O37" s="6"/>
    </row>
    <row r="38" customFormat="false" ht="15" hidden="false" customHeight="false" outlineLevel="0" collapsed="false">
      <c r="A38" s="1" t="s">
        <v>814</v>
      </c>
      <c r="B38" s="1" t="s">
        <v>815</v>
      </c>
      <c r="G38" s="6" t="s">
        <v>132</v>
      </c>
      <c r="H38" s="30" t="n">
        <f aca="false">ROUND(SUM(BIBLIOTECA:INGRESO!G39:G39),2)</f>
        <v>0</v>
      </c>
      <c r="I38" s="30" t="n">
        <f aca="false">ROUND('APUS ARQUITECTURA'!J477,2)</f>
        <v>54.78</v>
      </c>
      <c r="J38" s="9" t="n">
        <f aca="false">H38*I38</f>
        <v>0</v>
      </c>
      <c r="O38" s="6"/>
    </row>
    <row r="39" customFormat="false" ht="15" hidden="false" customHeight="false" outlineLevel="0" collapsed="false">
      <c r="A39" s="14" t="n">
        <v>3.06</v>
      </c>
      <c r="B39" s="13" t="s">
        <v>816</v>
      </c>
      <c r="G39" s="6"/>
      <c r="H39" s="30"/>
      <c r="J39" s="42" t="n">
        <f aca="false">SUM(J40:J41)</f>
        <v>3459.2356</v>
      </c>
      <c r="O39" s="6"/>
      <c r="T39" s="15"/>
    </row>
    <row r="40" customFormat="false" ht="15" hidden="false" customHeight="false" outlineLevel="0" collapsed="false">
      <c r="A40" s="1" t="s">
        <v>817</v>
      </c>
      <c r="B40" s="1" t="s">
        <v>818</v>
      </c>
      <c r="G40" s="6" t="s">
        <v>132</v>
      </c>
      <c r="H40" s="30" t="n">
        <f aca="false">ROUND(SUM(BIBLIOTECA:INGRESO!G41:G41),2)</f>
        <v>158</v>
      </c>
      <c r="I40" s="30" t="n">
        <f aca="false">ROUND('APUS ARQUITECTURA'!J484,2)</f>
        <v>15.62</v>
      </c>
      <c r="J40" s="9" t="n">
        <f aca="false">H40*I40</f>
        <v>2467.96</v>
      </c>
      <c r="O40" s="6"/>
    </row>
    <row r="41" customFormat="false" ht="15" hidden="false" customHeight="false" outlineLevel="0" collapsed="false">
      <c r="A41" s="1" t="s">
        <v>819</v>
      </c>
      <c r="B41" s="1" t="s">
        <v>820</v>
      </c>
      <c r="C41" s="111"/>
      <c r="D41" s="111"/>
      <c r="E41" s="111"/>
      <c r="G41" s="112" t="s">
        <v>132</v>
      </c>
      <c r="H41" s="30" t="n">
        <f aca="false">ROUND(SUM(BIBLIOTECA:INGRESO!G42:G42),2)</f>
        <v>62.11</v>
      </c>
      <c r="I41" s="30" t="n">
        <f aca="false">ROUND('APUS ARQUITECTURA'!J504,2)</f>
        <v>15.96</v>
      </c>
      <c r="J41" s="9" t="n">
        <f aca="false">H41*I41</f>
        <v>991.2756</v>
      </c>
      <c r="N41" s="14"/>
      <c r="O41" s="6"/>
      <c r="U41" s="111"/>
    </row>
    <row r="42" customFormat="false" ht="15" hidden="false" customHeight="false" outlineLevel="0" collapsed="false">
      <c r="C42" s="111"/>
      <c r="D42" s="111"/>
      <c r="E42" s="111"/>
      <c r="G42" s="112"/>
      <c r="H42" s="30"/>
      <c r="I42" s="30"/>
      <c r="J42" s="9"/>
      <c r="O42" s="6"/>
    </row>
    <row r="43" customFormat="false" ht="15" hidden="false" customHeight="false" outlineLevel="0" collapsed="false">
      <c r="A43" s="14" t="n">
        <v>3.07</v>
      </c>
      <c r="B43" s="13" t="s">
        <v>589</v>
      </c>
      <c r="G43" s="6"/>
      <c r="H43" s="30"/>
      <c r="J43" s="42" t="n">
        <f aca="false">J44+J48+J50+J52+J54+J56+J58+J63+J65</f>
        <v>8484.25</v>
      </c>
      <c r="O43" s="6"/>
    </row>
    <row r="44" customFormat="false" ht="15" hidden="false" customHeight="false" outlineLevel="0" collapsed="false">
      <c r="A44" s="14" t="s">
        <v>821</v>
      </c>
      <c r="B44" s="43" t="s">
        <v>74</v>
      </c>
      <c r="G44" s="6"/>
      <c r="H44" s="30"/>
      <c r="I44" s="30"/>
      <c r="J44" s="45" t="n">
        <f aca="false">SUM(J45:J47)</f>
        <v>7496.25</v>
      </c>
      <c r="K44" s="113"/>
      <c r="N44" s="14"/>
      <c r="O44" s="6"/>
    </row>
    <row r="45" customFormat="false" ht="15" hidden="false" customHeight="false" outlineLevel="0" collapsed="false">
      <c r="A45" s="1" t="s">
        <v>822</v>
      </c>
      <c r="B45" s="1" t="s">
        <v>823</v>
      </c>
      <c r="G45" s="6" t="s">
        <v>132</v>
      </c>
      <c r="H45" s="30" t="n">
        <f aca="false">ROUND('Obras exteriores '!D5,2)</f>
        <v>150</v>
      </c>
      <c r="I45" s="30" t="n">
        <f aca="false">ROUND('APUS ARQUITECTURA'!J525,2)</f>
        <v>13.48</v>
      </c>
      <c r="J45" s="9" t="n">
        <f aca="false">H45*I45</f>
        <v>2022</v>
      </c>
      <c r="O45" s="6"/>
    </row>
    <row r="46" customFormat="false" ht="15" hidden="false" customHeight="false" outlineLevel="0" collapsed="false">
      <c r="A46" s="1" t="s">
        <v>824</v>
      </c>
      <c r="B46" s="1" t="s">
        <v>825</v>
      </c>
      <c r="G46" s="6" t="s">
        <v>148</v>
      </c>
      <c r="H46" s="30" t="n">
        <f aca="false">ROUND('Obras exteriores '!D6,2)</f>
        <v>50</v>
      </c>
      <c r="I46" s="30" t="n">
        <f aca="false">ROUND('APUS ARQUITECTURA'!J541,2)</f>
        <v>73.86</v>
      </c>
      <c r="J46" s="9" t="n">
        <f aca="false">H46*I46</f>
        <v>3693</v>
      </c>
      <c r="O46" s="6"/>
    </row>
    <row r="47" customFormat="false" ht="15" hidden="false" customHeight="false" outlineLevel="0" collapsed="false">
      <c r="A47" s="1" t="s">
        <v>826</v>
      </c>
      <c r="B47" s="1" t="s">
        <v>827</v>
      </c>
      <c r="G47" s="6" t="s">
        <v>148</v>
      </c>
      <c r="H47" s="30" t="n">
        <f aca="false">ROUND('Obras exteriores '!D7,2)</f>
        <v>15</v>
      </c>
      <c r="I47" s="30" t="n">
        <f aca="false">ROUND('APUS ARQUITECTURA'!J558,2)</f>
        <v>118.75</v>
      </c>
      <c r="J47" s="9" t="n">
        <f aca="false">H47*I47</f>
        <v>1781.25</v>
      </c>
      <c r="O47" s="6"/>
    </row>
    <row r="48" customFormat="false" ht="15" hidden="false" customHeight="false" outlineLevel="0" collapsed="false">
      <c r="A48" s="14" t="s">
        <v>828</v>
      </c>
      <c r="B48" s="43" t="s">
        <v>75</v>
      </c>
      <c r="G48" s="6"/>
      <c r="H48" s="30"/>
      <c r="I48" s="30"/>
      <c r="J48" s="45" t="n">
        <f aca="false">SUM(J49)</f>
        <v>0</v>
      </c>
      <c r="K48" s="113"/>
      <c r="O48" s="6"/>
      <c r="R48" s="57"/>
    </row>
    <row r="49" customFormat="false" ht="15" hidden="false" customHeight="false" outlineLevel="0" collapsed="false">
      <c r="A49" s="1" t="s">
        <v>829</v>
      </c>
      <c r="B49" s="1" t="s">
        <v>830</v>
      </c>
      <c r="G49" s="6" t="s">
        <v>143</v>
      </c>
      <c r="H49" s="30" t="n">
        <f aca="false">ROUND('Obras exteriores '!D21,2)</f>
        <v>0</v>
      </c>
      <c r="I49" s="30" t="n">
        <f aca="false">ROUND('APUS ARQUITECTURA'!J575,2)</f>
        <v>51.05</v>
      </c>
      <c r="J49" s="9" t="n">
        <f aca="false">H49*I49</f>
        <v>0</v>
      </c>
      <c r="O49" s="6"/>
      <c r="R49" s="57"/>
    </row>
    <row r="50" customFormat="false" ht="15" hidden="false" customHeight="false" outlineLevel="0" collapsed="false">
      <c r="A50" s="14" t="s">
        <v>831</v>
      </c>
      <c r="B50" s="43" t="s">
        <v>832</v>
      </c>
      <c r="G50" s="6"/>
      <c r="H50" s="30"/>
      <c r="I50" s="30"/>
      <c r="J50" s="45" t="n">
        <f aca="false">SUM(J51)</f>
        <v>0</v>
      </c>
      <c r="K50" s="113"/>
      <c r="O50" s="6"/>
    </row>
    <row r="51" customFormat="false" ht="15" hidden="false" customHeight="false" outlineLevel="0" collapsed="false">
      <c r="A51" s="1" t="s">
        <v>833</v>
      </c>
      <c r="B51" s="1" t="s">
        <v>834</v>
      </c>
      <c r="G51" s="6" t="s">
        <v>143</v>
      </c>
      <c r="H51" s="30" t="n">
        <f aca="false">ROUND('Obras exteriores '!D37,2)</f>
        <v>0</v>
      </c>
      <c r="I51" s="30" t="n">
        <f aca="false">ROUND('APUS ARQUITECTURA'!J591,2)</f>
        <v>51.05</v>
      </c>
      <c r="J51" s="9" t="n">
        <f aca="false">H51*I51</f>
        <v>0</v>
      </c>
      <c r="O51" s="6"/>
      <c r="Q51" s="59"/>
      <c r="R51" s="57"/>
    </row>
    <row r="52" customFormat="false" ht="15" hidden="false" customHeight="false" outlineLevel="0" collapsed="false">
      <c r="A52" s="14" t="s">
        <v>835</v>
      </c>
      <c r="B52" s="43" t="s">
        <v>80</v>
      </c>
      <c r="G52" s="6"/>
      <c r="H52" s="30"/>
      <c r="I52" s="30"/>
      <c r="J52" s="45" t="n">
        <f aca="false">SUM(J53)</f>
        <v>988</v>
      </c>
      <c r="K52" s="113"/>
      <c r="O52" s="6"/>
      <c r="Q52" s="59"/>
      <c r="R52" s="57"/>
    </row>
    <row r="53" customFormat="false" ht="15" hidden="false" customHeight="false" outlineLevel="0" collapsed="false">
      <c r="A53" s="1" t="s">
        <v>836</v>
      </c>
      <c r="B53" s="1" t="s">
        <v>837</v>
      </c>
      <c r="G53" s="6" t="s">
        <v>132</v>
      </c>
      <c r="H53" s="30" t="n">
        <f aca="false">ROUND('Obras exteriores '!D51,2)</f>
        <v>100</v>
      </c>
      <c r="I53" s="30" t="n">
        <f aca="false">ROUND('APUS ARQUITECTURA'!J607,2)</f>
        <v>9.88</v>
      </c>
      <c r="J53" s="9" t="n">
        <f aca="false">H53*I53</f>
        <v>988</v>
      </c>
      <c r="O53" s="6"/>
      <c r="Q53" s="59"/>
      <c r="R53" s="57"/>
    </row>
    <row r="54" customFormat="false" ht="15" hidden="false" customHeight="false" outlineLevel="0" collapsed="false">
      <c r="A54" s="14" t="s">
        <v>838</v>
      </c>
      <c r="B54" s="43" t="s">
        <v>81</v>
      </c>
      <c r="G54" s="6"/>
      <c r="H54" s="30"/>
      <c r="J54" s="45" t="n">
        <f aca="false">SUM(J55)</f>
        <v>0</v>
      </c>
      <c r="K54" s="113"/>
      <c r="O54" s="6"/>
      <c r="Q54" s="59"/>
      <c r="R54" s="57"/>
    </row>
    <row r="55" customFormat="false" ht="15" hidden="false" customHeight="false" outlineLevel="0" collapsed="false">
      <c r="A55" s="1" t="s">
        <v>839</v>
      </c>
      <c r="B55" s="1" t="s">
        <v>840</v>
      </c>
      <c r="G55" s="6" t="s">
        <v>153</v>
      </c>
      <c r="H55" s="30" t="n">
        <f aca="false">ROUND('Obras exteriores '!D60,2)</f>
        <v>0</v>
      </c>
      <c r="I55" s="30" t="n">
        <f aca="false">ROUND('APUS ARQUITECTURA'!J618,2)</f>
        <v>22</v>
      </c>
      <c r="J55" s="9" t="n">
        <f aca="false">H55*I55</f>
        <v>0</v>
      </c>
      <c r="O55" s="6"/>
      <c r="Q55" s="59"/>
      <c r="R55" s="57"/>
    </row>
    <row r="56" customFormat="false" ht="15" hidden="false" customHeight="false" outlineLevel="0" collapsed="false">
      <c r="A56" s="14" t="s">
        <v>841</v>
      </c>
      <c r="B56" s="43" t="s">
        <v>82</v>
      </c>
      <c r="G56" s="6"/>
      <c r="H56" s="30"/>
      <c r="J56" s="45" t="n">
        <f aca="false">SUM(J57)</f>
        <v>0</v>
      </c>
      <c r="K56" s="113"/>
      <c r="O56" s="6"/>
      <c r="Q56" s="59"/>
      <c r="R56" s="57"/>
    </row>
    <row r="57" customFormat="false" ht="15" hidden="false" customHeight="false" outlineLevel="0" collapsed="false">
      <c r="A57" s="1" t="s">
        <v>842</v>
      </c>
      <c r="B57" s="1" t="s">
        <v>82</v>
      </c>
      <c r="G57" s="6" t="s">
        <v>132</v>
      </c>
      <c r="H57" s="30" t="n">
        <f aca="false">ROUND('Obras exteriores '!D66,2)</f>
        <v>0</v>
      </c>
      <c r="I57" s="30" t="n">
        <f aca="false">ROUND('APUS ARQUITECTURA'!J625,2)</f>
        <v>75.46</v>
      </c>
      <c r="J57" s="9" t="n">
        <f aca="false">H57*I57</f>
        <v>0</v>
      </c>
      <c r="O57" s="6"/>
      <c r="Q57" s="59"/>
      <c r="R57" s="57"/>
    </row>
    <row r="58" customFormat="false" ht="15" hidden="false" customHeight="false" outlineLevel="0" collapsed="false">
      <c r="A58" s="14" t="s">
        <v>843</v>
      </c>
      <c r="B58" s="43" t="s">
        <v>638</v>
      </c>
      <c r="G58" s="6"/>
      <c r="H58" s="30"/>
      <c r="J58" s="45" t="n">
        <f aca="false">SUM(J59)</f>
        <v>0</v>
      </c>
      <c r="K58" s="113"/>
      <c r="O58" s="6"/>
      <c r="Q58" s="59"/>
      <c r="R58" s="57"/>
    </row>
    <row r="59" customFormat="false" ht="15" hidden="false" customHeight="false" outlineLevel="0" collapsed="false">
      <c r="A59" s="1" t="s">
        <v>844</v>
      </c>
      <c r="B59" s="1" t="s">
        <v>845</v>
      </c>
      <c r="G59" s="6" t="s">
        <v>143</v>
      </c>
      <c r="H59" s="30" t="n">
        <f aca="false">ROUND('Obras exteriores '!D86,2)</f>
        <v>0</v>
      </c>
      <c r="I59" s="30" t="n">
        <f aca="false">ROUND('APUS ARQUITECTURA'!J632,2)</f>
        <v>110.42</v>
      </c>
      <c r="J59" s="9" t="n">
        <f aca="false">H59*I59</f>
        <v>0</v>
      </c>
      <c r="O59" s="6"/>
      <c r="Q59" s="59"/>
      <c r="R59" s="57"/>
    </row>
    <row r="60" customFormat="false" ht="15" hidden="false" customHeight="false" outlineLevel="0" collapsed="false">
      <c r="A60" s="1" t="s">
        <v>846</v>
      </c>
      <c r="B60" s="1" t="s">
        <v>847</v>
      </c>
      <c r="G60" s="6" t="s">
        <v>132</v>
      </c>
      <c r="H60" s="30" t="n">
        <f aca="false">ROUND('Obras exteriores '!D88,2)</f>
        <v>0</v>
      </c>
      <c r="I60" s="30" t="n">
        <f aca="false">ROUND('APUS ARQUITECTURA'!J639,2)</f>
        <v>68.01</v>
      </c>
      <c r="J60" s="9" t="n">
        <f aca="false">H60*I60</f>
        <v>0</v>
      </c>
      <c r="Q60" s="59"/>
      <c r="R60" s="57"/>
    </row>
    <row r="61" customFormat="false" ht="15" hidden="false" customHeight="false" outlineLevel="0" collapsed="false">
      <c r="A61" s="1" t="s">
        <v>848</v>
      </c>
      <c r="B61" s="1" t="s">
        <v>849</v>
      </c>
      <c r="G61" s="6" t="s">
        <v>132</v>
      </c>
      <c r="H61" s="30" t="n">
        <f aca="false">ROUND('Obras exteriores '!D89,2)</f>
        <v>0</v>
      </c>
      <c r="I61" s="30" t="n">
        <f aca="false">ROUND('APUS ARQUITECTURA'!J659,2)</f>
        <v>39.51</v>
      </c>
      <c r="J61" s="9" t="n">
        <f aca="false">H61*I61</f>
        <v>0</v>
      </c>
      <c r="Q61" s="59"/>
      <c r="R61" s="57"/>
    </row>
    <row r="62" customFormat="false" ht="15" hidden="false" customHeight="false" outlineLevel="0" collapsed="false">
      <c r="A62" s="1" t="s">
        <v>850</v>
      </c>
      <c r="B62" s="1" t="s">
        <v>851</v>
      </c>
      <c r="G62" s="6" t="s">
        <v>132</v>
      </c>
      <c r="H62" s="30" t="n">
        <f aca="false">ROUND('Obras exteriores '!D90,2)</f>
        <v>0</v>
      </c>
      <c r="I62" s="30" t="n">
        <f aca="false">ROUND('APUS ARQUITECTURA'!J666,2)</f>
        <v>17.38</v>
      </c>
      <c r="J62" s="9" t="n">
        <f aca="false">H62*I62</f>
        <v>0</v>
      </c>
      <c r="Q62" s="59"/>
      <c r="R62" s="57"/>
    </row>
    <row r="63" customFormat="false" ht="15" hidden="false" customHeight="false" outlineLevel="0" collapsed="false">
      <c r="A63" s="14" t="s">
        <v>852</v>
      </c>
      <c r="B63" s="43" t="s">
        <v>79</v>
      </c>
      <c r="G63" s="6"/>
      <c r="H63" s="30"/>
      <c r="J63" s="45" t="n">
        <f aca="false">SUM(J64)</f>
        <v>0</v>
      </c>
      <c r="K63" s="113"/>
      <c r="Q63" s="59"/>
      <c r="R63" s="57"/>
    </row>
    <row r="64" customFormat="false" ht="15" hidden="false" customHeight="false" outlineLevel="0" collapsed="false">
      <c r="A64" s="1" t="s">
        <v>853</v>
      </c>
      <c r="B64" s="1" t="s">
        <v>79</v>
      </c>
      <c r="G64" s="6" t="s">
        <v>148</v>
      </c>
      <c r="H64" s="30" t="n">
        <f aca="false">ROUND('Obras exteriores '!D40,2)</f>
        <v>0</v>
      </c>
      <c r="I64" s="30" t="n">
        <f aca="false">ROUND('APUS ARQUITECTURA'!J673,2)</f>
        <v>2112.86</v>
      </c>
      <c r="J64" s="9" t="n">
        <f aca="false">H64*I64</f>
        <v>0</v>
      </c>
      <c r="Q64" s="59"/>
      <c r="R64" s="57"/>
    </row>
    <row r="65" customFormat="false" ht="15" hidden="false" customHeight="false" outlineLevel="0" collapsed="false">
      <c r="A65" s="14" t="s">
        <v>854</v>
      </c>
      <c r="B65" s="43" t="s">
        <v>855</v>
      </c>
      <c r="G65" s="6"/>
      <c r="H65" s="30"/>
      <c r="J65" s="45" t="n">
        <f aca="false">SUM(J66:J67)</f>
        <v>0</v>
      </c>
      <c r="K65" s="113"/>
      <c r="R65" s="57"/>
    </row>
    <row r="66" customFormat="false" ht="15" hidden="false" customHeight="false" outlineLevel="0" collapsed="false">
      <c r="A66" s="1" t="s">
        <v>856</v>
      </c>
      <c r="B66" s="1" t="s">
        <v>857</v>
      </c>
      <c r="G66" s="6" t="s">
        <v>132</v>
      </c>
      <c r="H66" s="30" t="n">
        <f aca="false">ROUND('Obras exteriores '!D22,2)</f>
        <v>0</v>
      </c>
      <c r="I66" s="30" t="n">
        <f aca="false">ROUND('APUS ARQUITECTURA'!J705,2)</f>
        <v>169.49</v>
      </c>
      <c r="J66" s="9" t="n">
        <f aca="false">H66*I66</f>
        <v>0</v>
      </c>
    </row>
    <row r="67" customFormat="false" ht="15" hidden="false" customHeight="false" outlineLevel="0" collapsed="false">
      <c r="A67" s="1" t="s">
        <v>858</v>
      </c>
      <c r="B67" s="1" t="s">
        <v>859</v>
      </c>
      <c r="C67" s="82"/>
      <c r="G67" s="6" t="s">
        <v>132</v>
      </c>
      <c r="H67" s="30" t="n">
        <f aca="false">ROUND('Obras exteriores '!D38,2)</f>
        <v>0</v>
      </c>
      <c r="I67" s="30" t="n">
        <f aca="false">ROUND('APUS ARQUITECTURA'!J712,2)</f>
        <v>169.49</v>
      </c>
      <c r="J67" s="9" t="n">
        <f aca="false">H67*I67</f>
        <v>0</v>
      </c>
    </row>
    <row r="68" customFormat="false" ht="15" hidden="false" customHeight="false" outlineLevel="0" collapsed="false">
      <c r="C68" s="82"/>
      <c r="G68" s="6"/>
      <c r="H68" s="30"/>
    </row>
    <row r="69" customFormat="false" ht="15" hidden="false" customHeight="false" outlineLevel="0" collapsed="false">
      <c r="C69" s="82"/>
      <c r="H69" s="30"/>
      <c r="Q69" s="59"/>
      <c r="R69" s="57"/>
    </row>
    <row r="70" customFormat="false" ht="15" hidden="false" customHeight="false" outlineLevel="0" collapsed="false">
      <c r="C70" s="82"/>
      <c r="H70" s="30"/>
      <c r="Q70" s="59"/>
      <c r="R70" s="57"/>
    </row>
    <row r="71" customFormat="false" ht="15" hidden="false" customHeight="false" outlineLevel="0" collapsed="false">
      <c r="C71" s="82"/>
      <c r="H71" s="30"/>
      <c r="Q71" s="59"/>
      <c r="R71" s="57"/>
    </row>
    <row r="72" customFormat="false" ht="15" hidden="false" customHeight="false" outlineLevel="0" collapsed="false">
      <c r="C72" s="82"/>
      <c r="H72" s="30"/>
      <c r="Q72" s="59"/>
      <c r="R72" s="57"/>
    </row>
    <row r="73" customFormat="false" ht="15" hidden="false" customHeight="false" outlineLevel="0" collapsed="false">
      <c r="B73" s="113"/>
      <c r="H73" s="30"/>
      <c r="Q73" s="59"/>
      <c r="R73" s="57"/>
    </row>
    <row r="74" customFormat="false" ht="15" hidden="false" customHeight="false" outlineLevel="0" collapsed="false">
      <c r="H74" s="30"/>
      <c r="Q74" s="59"/>
      <c r="R74" s="57"/>
    </row>
    <row r="75" customFormat="false" ht="15" hidden="false" customHeight="false" outlineLevel="0" collapsed="false">
      <c r="H75" s="30"/>
      <c r="Q75" s="59"/>
      <c r="R75" s="57"/>
    </row>
    <row r="76" customFormat="false" ht="15" hidden="false" customHeight="false" outlineLevel="0" collapsed="false">
      <c r="H76" s="30"/>
      <c r="Q76" s="59"/>
      <c r="R76" s="57"/>
    </row>
    <row r="77" customFormat="false" ht="15" hidden="false" customHeight="false" outlineLevel="0" collapsed="false">
      <c r="H77" s="30"/>
      <c r="Q77" s="59"/>
      <c r="R77" s="57"/>
    </row>
    <row r="78" customFormat="false" ht="15" hidden="false" customHeight="false" outlineLevel="0" collapsed="false">
      <c r="Q78" s="59"/>
      <c r="R78" s="57"/>
    </row>
    <row r="79" customFormat="false" ht="15" hidden="false" customHeight="false" outlineLevel="0" collapsed="false">
      <c r="B79" s="113"/>
      <c r="Q79" s="59"/>
      <c r="R79" s="57"/>
    </row>
    <row r="80" customFormat="false" ht="15" hidden="false" customHeight="false" outlineLevel="0" collapsed="false">
      <c r="Q80" s="59"/>
      <c r="R80" s="57"/>
    </row>
    <row r="81" customFormat="false" ht="15" hidden="false" customHeight="false" outlineLevel="0" collapsed="false">
      <c r="B81" s="113"/>
      <c r="R81" s="57"/>
    </row>
    <row r="87" customFormat="false" ht="15" hidden="false" customHeight="false" outlineLevel="0" collapsed="false">
      <c r="P87" s="114"/>
      <c r="Q87" s="115"/>
      <c r="R87" s="57"/>
    </row>
    <row r="88" customFormat="false" ht="15" hidden="false" customHeight="false" outlineLevel="0" collapsed="false">
      <c r="P88" s="114"/>
      <c r="Q88" s="115"/>
      <c r="R88" s="57"/>
    </row>
    <row r="89" customFormat="false" ht="15" hidden="false" customHeight="false" outlineLevel="0" collapsed="false">
      <c r="P89" s="114"/>
      <c r="Q89" s="115"/>
      <c r="R89" s="57"/>
    </row>
    <row r="90" customFormat="false" ht="15" hidden="false" customHeight="false" outlineLevel="0" collapsed="false">
      <c r="P90" s="116"/>
      <c r="Q90" s="117"/>
      <c r="R90" s="57"/>
    </row>
    <row r="91" customFormat="false" ht="15" hidden="false" customHeight="false" outlineLevel="0" collapsed="false">
      <c r="P91" s="118"/>
      <c r="Q91" s="82"/>
      <c r="R91" s="57"/>
    </row>
    <row r="92" customFormat="false" ht="15" hidden="false" customHeight="false" outlineLevel="0" collapsed="false">
      <c r="P92" s="118"/>
      <c r="Q92" s="82"/>
      <c r="R92" s="57"/>
    </row>
    <row r="93" customFormat="false" ht="15" hidden="false" customHeight="false" outlineLevel="0" collapsed="false">
      <c r="P93" s="118"/>
      <c r="Q93" s="82"/>
      <c r="R93" s="57"/>
    </row>
    <row r="94" customFormat="false" ht="15" hidden="false" customHeight="false" outlineLevel="0" collapsed="false">
      <c r="P94" s="118"/>
      <c r="Q94" s="82"/>
      <c r="R94" s="57"/>
    </row>
    <row r="95" customFormat="false" ht="15" hidden="false" customHeight="false" outlineLevel="0" collapsed="false">
      <c r="P95" s="118"/>
      <c r="Q95" s="82"/>
      <c r="R95" s="57"/>
    </row>
    <row r="96" customFormat="false" ht="15" hidden="false" customHeight="false" outlineLevel="0" collapsed="false">
      <c r="P96" s="118"/>
      <c r="Q96" s="82"/>
      <c r="R96" s="57"/>
    </row>
    <row r="97" customFormat="false" ht="15" hidden="false" customHeight="false" outlineLevel="0" collapsed="false">
      <c r="P97" s="118"/>
      <c r="Q97" s="82"/>
      <c r="R97" s="57"/>
    </row>
    <row r="100" customFormat="false" ht="15" hidden="false" customHeight="false" outlineLevel="0" collapsed="false">
      <c r="P100" s="119"/>
      <c r="R100" s="57"/>
    </row>
    <row r="101" customFormat="false" ht="15" hidden="false" customHeight="false" outlineLevel="0" collapsed="false">
      <c r="P101" s="119"/>
      <c r="R101" s="57"/>
    </row>
    <row r="102" customFormat="false" ht="15" hidden="false" customHeight="false" outlineLevel="0" collapsed="false">
      <c r="P102" s="119"/>
      <c r="R102" s="57"/>
    </row>
    <row r="103" customFormat="false" ht="15" hidden="false" customHeight="false" outlineLevel="0" collapsed="false">
      <c r="P103" s="120"/>
      <c r="R103" s="57"/>
    </row>
    <row r="104" customFormat="false" ht="15" hidden="false" customHeight="false" outlineLevel="0" collapsed="false">
      <c r="P104" s="121"/>
      <c r="R104" s="57"/>
    </row>
    <row r="105" customFormat="false" ht="15" hidden="false" customHeight="false" outlineLevel="0" collapsed="false">
      <c r="P105" s="121"/>
      <c r="R105" s="57"/>
    </row>
    <row r="106" customFormat="false" ht="15" hidden="false" customHeight="false" outlineLevel="0" collapsed="false">
      <c r="P106" s="121"/>
      <c r="R106" s="57"/>
    </row>
    <row r="107" customFormat="false" ht="15" hidden="false" customHeight="false" outlineLevel="0" collapsed="false">
      <c r="P107" s="121"/>
      <c r="R107" s="57"/>
    </row>
    <row r="108" customFormat="false" ht="15" hidden="false" customHeight="false" outlineLevel="0" collapsed="false">
      <c r="P108" s="121"/>
      <c r="R108" s="57"/>
    </row>
    <row r="109" customFormat="false" ht="15" hidden="false" customHeight="false" outlineLevel="0" collapsed="false">
      <c r="P109" s="121"/>
      <c r="R109" s="57"/>
    </row>
    <row r="115" customFormat="false" ht="15" hidden="false" customHeight="false" outlineLevel="0" collapsed="false">
      <c r="P115" s="15"/>
    </row>
    <row r="120" customFormat="false" ht="15" hidden="false" customHeight="false" outlineLevel="0" collapsed="false">
      <c r="P120" s="15"/>
    </row>
    <row r="121" customFormat="false" ht="15" hidden="false" customHeight="false" outlineLevel="0" collapsed="false">
      <c r="P121" s="122"/>
    </row>
    <row r="122" customFormat="false" ht="15" hidden="false" customHeight="false" outlineLevel="0" collapsed="false">
      <c r="P122" s="1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AB716"/>
  <sheetViews>
    <sheetView showFormulas="false" showGridLines="true" showRowColHeaders="true" showZeros="true" rightToLeft="false" tabSelected="false" showOutlineSymbols="true" defaultGridColor="true" view="normal" topLeftCell="C22" colorId="64" zoomScale="100" zoomScaleNormal="100" zoomScalePageLayoutView="100" workbookViewId="0">
      <selection pane="topLeft" activeCell="AA31" activeCellId="0" sqref="AA3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.86"/>
    <col collapsed="false" customWidth="true" hidden="false" outlineLevel="0" max="2" min="2" style="1" width="11.15"/>
    <col collapsed="false" customWidth="true" hidden="false" outlineLevel="0" max="9" min="9" style="1" width="9.3"/>
    <col collapsed="false" customWidth="true" hidden="false" outlineLevel="0" max="12" min="12" style="1" width="10.57"/>
    <col collapsed="false" customWidth="true" hidden="false" outlineLevel="0" max="17" min="16" style="1" width="10.86"/>
    <col collapsed="false" customWidth="true" hidden="false" outlineLevel="0" max="19" min="19" style="1" width="17.57"/>
  </cols>
  <sheetData>
    <row r="4" customFormat="false" ht="15" hidden="false" customHeight="false" outlineLevel="0" collapsed="false">
      <c r="A4" s="85" t="s">
        <v>276</v>
      </c>
      <c r="B4" s="85" t="str">
        <f aca="false">ARQUITECTURA!A5</f>
        <v>03.01.01</v>
      </c>
      <c r="C4" s="85" t="s">
        <v>753</v>
      </c>
      <c r="D4" s="85"/>
      <c r="R4" s="85" t="s">
        <v>276</v>
      </c>
      <c r="S4" s="123" t="n">
        <f aca="false">A22</f>
        <v>100000000010</v>
      </c>
      <c r="T4" s="85" t="s">
        <v>860</v>
      </c>
      <c r="U4" s="85"/>
    </row>
    <row r="5" customFormat="false" ht="15" hidden="false" customHeight="false" outlineLevel="0" collapsed="false">
      <c r="A5" s="85" t="s">
        <v>277</v>
      </c>
      <c r="B5" s="85" t="s">
        <v>278</v>
      </c>
      <c r="C5" s="87" t="s">
        <v>279</v>
      </c>
      <c r="D5" s="88" t="n">
        <v>16</v>
      </c>
      <c r="E5" s="87" t="s">
        <v>280</v>
      </c>
      <c r="F5" s="88" t="n">
        <f aca="false">D5</f>
        <v>16</v>
      </c>
      <c r="G5" s="85" t="s">
        <v>281</v>
      </c>
      <c r="I5" s="87" t="s">
        <v>132</v>
      </c>
      <c r="J5" s="89" t="n">
        <f aca="false">J10+J16+J20+J29</f>
        <v>140.28</v>
      </c>
      <c r="R5" s="85" t="s">
        <v>277</v>
      </c>
      <c r="S5" s="85" t="s">
        <v>415</v>
      </c>
      <c r="T5" s="87" t="s">
        <v>279</v>
      </c>
      <c r="U5" s="88" t="n">
        <v>10</v>
      </c>
      <c r="V5" s="87" t="s">
        <v>280</v>
      </c>
      <c r="W5" s="88" t="n">
        <f aca="false">U5</f>
        <v>10</v>
      </c>
      <c r="X5" s="85" t="s">
        <v>281</v>
      </c>
      <c r="Z5" s="87" t="s">
        <v>202</v>
      </c>
      <c r="AA5" s="89" t="n">
        <f aca="false">AA11+AA18+AA23</f>
        <v>493.43</v>
      </c>
    </row>
    <row r="6" customFormat="false" ht="15" hidden="false" customHeight="false" outlineLevel="0" collapsed="false">
      <c r="A6" s="85" t="s">
        <v>282</v>
      </c>
      <c r="B6" s="85" t="s">
        <v>283</v>
      </c>
      <c r="F6" s="87" t="s">
        <v>121</v>
      </c>
      <c r="G6" s="87" t="s">
        <v>284</v>
      </c>
      <c r="H6" s="87" t="s">
        <v>285</v>
      </c>
      <c r="I6" s="87" t="s">
        <v>286</v>
      </c>
      <c r="J6" s="87" t="s">
        <v>287</v>
      </c>
      <c r="R6" s="85" t="s">
        <v>282</v>
      </c>
      <c r="S6" s="85" t="s">
        <v>283</v>
      </c>
      <c r="W6" s="87" t="s">
        <v>121</v>
      </c>
      <c r="X6" s="87" t="s">
        <v>284</v>
      </c>
      <c r="Y6" s="87" t="s">
        <v>285</v>
      </c>
      <c r="Z6" s="87" t="s">
        <v>286</v>
      </c>
      <c r="AA6" s="87" t="s">
        <v>287</v>
      </c>
    </row>
    <row r="7" customFormat="false" ht="15" hidden="false" customHeight="false" outlineLevel="0" collapsed="false">
      <c r="B7" s="90" t="s">
        <v>288</v>
      </c>
      <c r="S7" s="90" t="s">
        <v>288</v>
      </c>
    </row>
    <row r="8" customFormat="false" ht="15" hidden="false" customHeight="true" outlineLevel="0" collapsed="false">
      <c r="B8" s="1" t="s">
        <v>289</v>
      </c>
      <c r="F8" s="57" t="s">
        <v>290</v>
      </c>
      <c r="G8" s="58" t="n">
        <v>2</v>
      </c>
      <c r="H8" s="59" t="n">
        <f aca="false">G8*8/$D$5</f>
        <v>1</v>
      </c>
      <c r="I8" s="30" t="n">
        <v>28.94</v>
      </c>
      <c r="J8" s="30" t="n">
        <f aca="false">H8*I8</f>
        <v>28.94</v>
      </c>
      <c r="K8" s="1" t="n">
        <v>47</v>
      </c>
      <c r="S8" s="1" t="s">
        <v>289</v>
      </c>
      <c r="W8" s="57" t="s">
        <v>290</v>
      </c>
      <c r="X8" s="58" t="n">
        <v>2</v>
      </c>
      <c r="Y8" s="59" t="n">
        <f aca="false">X8*8/$U$5</f>
        <v>1.6</v>
      </c>
      <c r="Z8" s="30" t="n">
        <v>28.94</v>
      </c>
      <c r="AA8" s="30" t="n">
        <f aca="false">Y8*Z8</f>
        <v>46.304</v>
      </c>
      <c r="AB8" s="1" t="n">
        <v>47</v>
      </c>
    </row>
    <row r="9" customFormat="false" ht="15" hidden="false" customHeight="false" outlineLevel="0" collapsed="false">
      <c r="B9" s="1" t="s">
        <v>292</v>
      </c>
      <c r="F9" s="57" t="s">
        <v>290</v>
      </c>
      <c r="G9" s="58" t="n">
        <v>1</v>
      </c>
      <c r="H9" s="59" t="n">
        <f aca="false">G9*8/$D$5</f>
        <v>0.5</v>
      </c>
      <c r="I9" s="30" t="n">
        <v>20.51</v>
      </c>
      <c r="J9" s="30" t="n">
        <f aca="false">H9*I9</f>
        <v>10.255</v>
      </c>
      <c r="K9" s="1" t="n">
        <v>47</v>
      </c>
      <c r="S9" s="1" t="s">
        <v>291</v>
      </c>
      <c r="W9" s="57" t="s">
        <v>290</v>
      </c>
      <c r="X9" s="58" t="n">
        <v>1</v>
      </c>
      <c r="Y9" s="59" t="n">
        <f aca="false">X9*8/$U$5</f>
        <v>0.8</v>
      </c>
      <c r="Z9" s="30" t="n">
        <v>22.66</v>
      </c>
      <c r="AA9" s="30" t="n">
        <f aca="false">Y9*Z9</f>
        <v>18.128</v>
      </c>
      <c r="AB9" s="1" t="n">
        <v>47</v>
      </c>
    </row>
    <row r="10" customFormat="false" ht="15" hidden="false" customHeight="false" outlineLevel="0" collapsed="false">
      <c r="F10" s="57"/>
      <c r="G10" s="58"/>
      <c r="H10" s="59"/>
      <c r="I10" s="30"/>
      <c r="J10" s="89" t="n">
        <f aca="false">ROUND(SUM(J8:J9),2)</f>
        <v>39.2</v>
      </c>
      <c r="S10" s="1" t="s">
        <v>292</v>
      </c>
      <c r="W10" s="57" t="s">
        <v>290</v>
      </c>
      <c r="X10" s="58" t="n">
        <v>8</v>
      </c>
      <c r="Y10" s="59" t="n">
        <f aca="false">X10*8/$U$5</f>
        <v>6.4</v>
      </c>
      <c r="Z10" s="30" t="n">
        <v>20.51</v>
      </c>
      <c r="AA10" s="30" t="n">
        <f aca="false">Y10*Z10</f>
        <v>131.264</v>
      </c>
      <c r="AB10" s="1" t="n">
        <v>47</v>
      </c>
    </row>
    <row r="11" customFormat="false" ht="15" hidden="false" customHeight="false" outlineLevel="0" collapsed="false">
      <c r="B11" s="90" t="s">
        <v>652</v>
      </c>
      <c r="F11" s="57"/>
      <c r="G11" s="58"/>
      <c r="H11" s="59"/>
      <c r="J11" s="30"/>
      <c r="W11" s="57"/>
      <c r="X11" s="58"/>
      <c r="Y11" s="59"/>
      <c r="AA11" s="89" t="n">
        <f aca="false">ROUND(SUM(AA8:AA10),2)</f>
        <v>195.7</v>
      </c>
    </row>
    <row r="12" customFormat="false" ht="15" hidden="false" customHeight="false" outlineLevel="0" collapsed="false">
      <c r="B12" s="1" t="s">
        <v>654</v>
      </c>
      <c r="F12" s="57" t="s">
        <v>202</v>
      </c>
      <c r="H12" s="59" t="n">
        <v>0.0068</v>
      </c>
      <c r="I12" s="1" t="n">
        <v>6.14</v>
      </c>
      <c r="J12" s="30" t="n">
        <f aca="false">H12*I12</f>
        <v>0.041752</v>
      </c>
      <c r="K12" s="1" t="n">
        <v>30</v>
      </c>
      <c r="S12" s="90" t="s">
        <v>652</v>
      </c>
      <c r="W12" s="57"/>
      <c r="X12" s="58"/>
      <c r="Y12" s="59"/>
      <c r="AA12" s="30"/>
    </row>
    <row r="13" customFormat="false" ht="15" hidden="false" customHeight="true" outlineLevel="0" collapsed="false">
      <c r="B13" s="1" t="s">
        <v>671</v>
      </c>
      <c r="F13" s="57" t="s">
        <v>202</v>
      </c>
      <c r="H13" s="59" t="n">
        <v>0.0269</v>
      </c>
      <c r="I13" s="30" t="n">
        <v>47</v>
      </c>
      <c r="J13" s="30" t="n">
        <f aca="false">H13*I13</f>
        <v>1.2643</v>
      </c>
      <c r="K13" s="1" t="n">
        <v>4</v>
      </c>
      <c r="S13" s="1" t="s">
        <v>670</v>
      </c>
      <c r="W13" s="57" t="s">
        <v>202</v>
      </c>
      <c r="Y13" s="59" t="n">
        <v>0.55</v>
      </c>
      <c r="Z13" s="30" t="n">
        <v>55.08</v>
      </c>
      <c r="AA13" s="30" t="n">
        <f aca="false">Y13*Z13</f>
        <v>30.294</v>
      </c>
      <c r="AB13" s="1" t="n">
        <v>5</v>
      </c>
    </row>
    <row r="14" customFormat="false" ht="15" hidden="false" customHeight="false" outlineLevel="0" collapsed="false">
      <c r="B14" s="1" t="s">
        <v>305</v>
      </c>
      <c r="F14" s="57" t="s">
        <v>306</v>
      </c>
      <c r="H14" s="1" t="n">
        <v>0.2211</v>
      </c>
      <c r="I14" s="30" t="n">
        <v>24.52</v>
      </c>
      <c r="J14" s="30" t="n">
        <f aca="false">H14*I14</f>
        <v>5.421372</v>
      </c>
      <c r="K14" s="1" t="n">
        <v>21</v>
      </c>
      <c r="S14" s="1" t="s">
        <v>671</v>
      </c>
      <c r="W14" s="57" t="s">
        <v>202</v>
      </c>
      <c r="Y14" s="59" t="n">
        <v>0.54</v>
      </c>
      <c r="Z14" s="30" t="n">
        <v>47</v>
      </c>
      <c r="AA14" s="30" t="n">
        <f aca="false">Y14*Z14</f>
        <v>25.38</v>
      </c>
      <c r="AB14" s="1" t="n">
        <v>4</v>
      </c>
    </row>
    <row r="15" customFormat="false" ht="15" hidden="false" customHeight="false" outlineLevel="0" collapsed="false">
      <c r="B15" s="1" t="s">
        <v>861</v>
      </c>
      <c r="F15" s="57" t="s">
        <v>148</v>
      </c>
      <c r="H15" s="30" t="n">
        <v>39</v>
      </c>
      <c r="I15" s="1" t="n">
        <v>1.02</v>
      </c>
      <c r="J15" s="30" t="n">
        <f aca="false">H15*I15</f>
        <v>39.78</v>
      </c>
      <c r="K15" s="1" t="n">
        <v>17</v>
      </c>
      <c r="S15" s="1" t="s">
        <v>305</v>
      </c>
      <c r="W15" s="57" t="s">
        <v>306</v>
      </c>
      <c r="Y15" s="59" t="n">
        <v>8.43</v>
      </c>
      <c r="Z15" s="30" t="n">
        <v>24.52</v>
      </c>
      <c r="AA15" s="30" t="n">
        <f aca="false">Y15*Z15</f>
        <v>206.7036</v>
      </c>
      <c r="AB15" s="1" t="n">
        <v>21</v>
      </c>
    </row>
    <row r="16" customFormat="false" ht="15" hidden="false" customHeight="true" outlineLevel="0" collapsed="false">
      <c r="F16" s="57"/>
      <c r="H16" s="59"/>
      <c r="I16" s="30"/>
      <c r="J16" s="89" t="n">
        <f aca="false">ROUND(SUM(J12:J15),2)</f>
        <v>46.51</v>
      </c>
      <c r="S16" s="1" t="s">
        <v>654</v>
      </c>
      <c r="W16" s="57" t="s">
        <v>202</v>
      </c>
      <c r="Y16" s="59" t="n">
        <v>0.185</v>
      </c>
      <c r="Z16" s="1" t="n">
        <v>6.14</v>
      </c>
      <c r="AA16" s="30" t="n">
        <f aca="false">Y16*Z16</f>
        <v>1.1359</v>
      </c>
      <c r="AB16" s="1" t="n">
        <v>30</v>
      </c>
    </row>
    <row r="17" customFormat="false" ht="15" hidden="false" customHeight="false" outlineLevel="0" collapsed="false">
      <c r="B17" s="90" t="s">
        <v>308</v>
      </c>
      <c r="S17" s="1" t="s">
        <v>663</v>
      </c>
      <c r="W17" s="57" t="s">
        <v>437</v>
      </c>
      <c r="Y17" s="59" t="n">
        <v>0.36</v>
      </c>
      <c r="Z17" s="1" t="n">
        <v>13.93</v>
      </c>
      <c r="AA17" s="30" t="n">
        <f aca="false">Y17*Z17</f>
        <v>5.0148</v>
      </c>
      <c r="AB17" s="1" t="n">
        <v>34</v>
      </c>
    </row>
    <row r="18" customFormat="false" ht="15" hidden="false" customHeight="true" outlineLevel="0" collapsed="false">
      <c r="B18" s="1" t="s">
        <v>309</v>
      </c>
      <c r="F18" s="57" t="s">
        <v>310</v>
      </c>
      <c r="H18" s="59" t="n">
        <v>3</v>
      </c>
      <c r="I18" s="30" t="n">
        <f aca="false">J10</f>
        <v>39.2</v>
      </c>
      <c r="J18" s="30" t="n">
        <f aca="false">H18%*I18</f>
        <v>1.176</v>
      </c>
      <c r="K18" s="1" t="n">
        <v>37</v>
      </c>
      <c r="W18" s="57"/>
      <c r="Y18" s="59"/>
      <c r="Z18" s="30"/>
      <c r="AA18" s="89" t="n">
        <f aca="false">ROUND(SUM(AA13:AA17),2)</f>
        <v>268.53</v>
      </c>
    </row>
    <row r="19" customFormat="false" ht="15" hidden="false" customHeight="true" outlineLevel="0" collapsed="false">
      <c r="B19" s="1" t="s">
        <v>862</v>
      </c>
      <c r="F19" s="57" t="s">
        <v>863</v>
      </c>
      <c r="G19" s="58" t="n">
        <v>2</v>
      </c>
      <c r="H19" s="59" t="n">
        <f aca="false">G19*8/$D$5</f>
        <v>1</v>
      </c>
      <c r="I19" s="1" t="n">
        <v>10.34</v>
      </c>
      <c r="J19" s="30" t="n">
        <f aca="false">H19*I19</f>
        <v>10.34</v>
      </c>
      <c r="K19" s="1" t="n">
        <v>39</v>
      </c>
      <c r="S19" s="90" t="s">
        <v>308</v>
      </c>
    </row>
    <row r="20" customFormat="false" ht="15" hidden="false" customHeight="true" outlineLevel="0" collapsed="false">
      <c r="J20" s="89" t="n">
        <f aca="false">ROUND(SUM(J18:J19),2)</f>
        <v>11.52</v>
      </c>
      <c r="S20" s="1" t="s">
        <v>309</v>
      </c>
      <c r="W20" s="57" t="s">
        <v>310</v>
      </c>
      <c r="Y20" s="59" t="n">
        <v>3</v>
      </c>
      <c r="Z20" s="30" t="n">
        <f aca="false">AA11</f>
        <v>195.7</v>
      </c>
      <c r="AA20" s="30" t="n">
        <f aca="false">Y20%*Z20</f>
        <v>5.871</v>
      </c>
      <c r="AB20" s="1" t="n">
        <v>37</v>
      </c>
    </row>
    <row r="21" customFormat="false" ht="15" hidden="false" customHeight="true" outlineLevel="0" collapsed="false">
      <c r="B21" s="90" t="s">
        <v>733</v>
      </c>
      <c r="J21" s="89"/>
      <c r="S21" s="1" t="s">
        <v>665</v>
      </c>
      <c r="W21" s="57" t="s">
        <v>337</v>
      </c>
      <c r="X21" s="58" t="n">
        <v>1</v>
      </c>
      <c r="Y21" s="59" t="n">
        <f aca="false">X21*8/$U$5</f>
        <v>0.8</v>
      </c>
      <c r="Z21" s="30" t="n">
        <v>25.63</v>
      </c>
      <c r="AA21" s="30" t="n">
        <f aca="false">Y21*Z21</f>
        <v>20.504</v>
      </c>
      <c r="AB21" s="1" t="n">
        <v>48</v>
      </c>
    </row>
    <row r="22" customFormat="false" ht="15" hidden="false" customHeight="true" outlineLevel="0" collapsed="false">
      <c r="A22" s="106" t="n">
        <v>100000000010</v>
      </c>
      <c r="B22" s="1" t="s">
        <v>864</v>
      </c>
      <c r="F22" s="57" t="s">
        <v>202</v>
      </c>
      <c r="H22" s="30" t="n">
        <v>0.0110054094385376</v>
      </c>
      <c r="I22" s="30" t="n">
        <f aca="false">AA5</f>
        <v>493.43</v>
      </c>
      <c r="J22" s="30" t="n">
        <f aca="false">H22*I22</f>
        <v>5.4303991792576</v>
      </c>
      <c r="S22" s="1" t="s">
        <v>673</v>
      </c>
      <c r="W22" s="57" t="s">
        <v>337</v>
      </c>
      <c r="X22" s="58" t="n">
        <v>0.5</v>
      </c>
      <c r="Y22" s="59" t="n">
        <f aca="false">X22*8/$U$5</f>
        <v>0.4</v>
      </c>
      <c r="Z22" s="30" t="n">
        <v>7.07</v>
      </c>
      <c r="AA22" s="30" t="n">
        <f aca="false">Y22*Z22</f>
        <v>2.828</v>
      </c>
      <c r="AB22" s="1" t="n">
        <v>49</v>
      </c>
    </row>
    <row r="23" customFormat="false" ht="15" hidden="false" customHeight="true" outlineLevel="0" collapsed="false">
      <c r="A23" s="106" t="n">
        <v>100000000011</v>
      </c>
      <c r="B23" s="1" t="s">
        <v>865</v>
      </c>
      <c r="F23" s="57" t="s">
        <v>132</v>
      </c>
      <c r="H23" s="30" t="n">
        <v>0.106945221662625</v>
      </c>
      <c r="I23" s="30" t="n">
        <f aca="false">AA26</f>
        <v>56.17</v>
      </c>
      <c r="J23" s="30" t="n">
        <f aca="false">H23*I23</f>
        <v>6.00711310078965</v>
      </c>
      <c r="R23" s="62"/>
      <c r="S23" s="62"/>
      <c r="T23" s="62"/>
      <c r="U23" s="62"/>
      <c r="V23" s="62"/>
      <c r="W23" s="62"/>
      <c r="X23" s="62"/>
      <c r="Y23" s="62"/>
      <c r="Z23" s="62"/>
      <c r="AA23" s="91" t="n">
        <f aca="false">ROUND(SUM(AA20:AA22),2)</f>
        <v>29.2</v>
      </c>
    </row>
    <row r="24" customFormat="false" ht="15" hidden="false" customHeight="true" outlineLevel="0" collapsed="false">
      <c r="A24" s="106" t="n">
        <v>100000000012</v>
      </c>
      <c r="B24" s="1" t="s">
        <v>866</v>
      </c>
      <c r="F24" s="57" t="s">
        <v>295</v>
      </c>
      <c r="H24" s="30" t="n">
        <v>0.933097059006404</v>
      </c>
      <c r="I24" s="30" t="n">
        <f aca="false">AA42</f>
        <v>5.53</v>
      </c>
      <c r="J24" s="30" t="n">
        <f aca="false">H24*I24</f>
        <v>5.16002673630542</v>
      </c>
    </row>
    <row r="25" customFormat="false" ht="15" hidden="false" customHeight="true" outlineLevel="0" collapsed="false">
      <c r="A25" s="106" t="n">
        <v>100000000013</v>
      </c>
      <c r="B25" s="1" t="s">
        <v>867</v>
      </c>
      <c r="F25" s="57" t="s">
        <v>202</v>
      </c>
      <c r="H25" s="30" t="n">
        <v>0.00580815146427905</v>
      </c>
      <c r="I25" s="30" t="n">
        <f aca="false">AA58</f>
        <v>377.34</v>
      </c>
      <c r="J25" s="30" t="n">
        <f aca="false">H25*I25</f>
        <v>2.19164787353106</v>
      </c>
      <c r="R25" s="85" t="s">
        <v>276</v>
      </c>
      <c r="S25" s="123" t="n">
        <f aca="false">A23</f>
        <v>100000000011</v>
      </c>
      <c r="T25" s="85" t="s">
        <v>868</v>
      </c>
      <c r="U25" s="85"/>
    </row>
    <row r="26" customFormat="false" ht="15" hidden="false" customHeight="true" outlineLevel="0" collapsed="false">
      <c r="A26" s="106" t="n">
        <v>100000000014</v>
      </c>
      <c r="B26" s="1" t="s">
        <v>869</v>
      </c>
      <c r="F26" s="57" t="s">
        <v>132</v>
      </c>
      <c r="H26" s="30" t="n">
        <v>0.0774420195237207</v>
      </c>
      <c r="I26" s="30" t="n">
        <f aca="false">AA79</f>
        <v>71.15</v>
      </c>
      <c r="J26" s="30" t="n">
        <f aca="false">H26*I26</f>
        <v>5.50999968911273</v>
      </c>
      <c r="R26" s="85" t="s">
        <v>277</v>
      </c>
      <c r="S26" s="85" t="s">
        <v>278</v>
      </c>
      <c r="T26" s="87" t="s">
        <v>279</v>
      </c>
      <c r="U26" s="88" t="n">
        <v>12</v>
      </c>
      <c r="V26" s="87" t="s">
        <v>280</v>
      </c>
      <c r="W26" s="88" t="n">
        <f aca="false">U26</f>
        <v>12</v>
      </c>
      <c r="X26" s="85" t="s">
        <v>281</v>
      </c>
      <c r="Z26" s="87" t="s">
        <v>132</v>
      </c>
      <c r="AA26" s="89" t="n">
        <f aca="false">AA31+AA36+AA39</f>
        <v>56.17</v>
      </c>
    </row>
    <row r="27" customFormat="false" ht="15" hidden="false" customHeight="true" outlineLevel="0" collapsed="false">
      <c r="A27" s="106" t="n">
        <v>100000000015</v>
      </c>
      <c r="B27" s="1" t="s">
        <v>870</v>
      </c>
      <c r="F27" s="57" t="s">
        <v>295</v>
      </c>
      <c r="H27" s="30" t="n">
        <v>0.900908827125951</v>
      </c>
      <c r="I27" s="30" t="n">
        <f aca="false">AA96</f>
        <v>5.53</v>
      </c>
      <c r="J27" s="30" t="n">
        <f aca="false">H27*I27</f>
        <v>4.98202581400651</v>
      </c>
      <c r="R27" s="85" t="s">
        <v>282</v>
      </c>
      <c r="S27" s="85" t="s">
        <v>283</v>
      </c>
      <c r="W27" s="87" t="s">
        <v>121</v>
      </c>
      <c r="X27" s="87" t="s">
        <v>284</v>
      </c>
      <c r="Y27" s="87" t="s">
        <v>285</v>
      </c>
      <c r="Z27" s="87" t="s">
        <v>286</v>
      </c>
      <c r="AA27" s="87" t="s">
        <v>287</v>
      </c>
    </row>
    <row r="28" customFormat="false" ht="15" hidden="false" customHeight="true" outlineLevel="0" collapsed="false">
      <c r="A28" s="106" t="n">
        <v>100000000016</v>
      </c>
      <c r="B28" s="1" t="s">
        <v>871</v>
      </c>
      <c r="F28" s="57" t="s">
        <v>143</v>
      </c>
      <c r="H28" s="30" t="n">
        <v>0.248709817820058</v>
      </c>
      <c r="I28" s="30" t="n">
        <f aca="false">AA112</f>
        <v>55.35</v>
      </c>
      <c r="J28" s="30" t="n">
        <f aca="false">H28*I28</f>
        <v>13.7660884163402</v>
      </c>
      <c r="N28" s="124"/>
      <c r="O28" s="124"/>
      <c r="P28" s="124"/>
      <c r="Q28" s="124"/>
      <c r="S28" s="90" t="s">
        <v>288</v>
      </c>
    </row>
    <row r="29" customFormat="false" ht="15" hidden="false" customHeight="true" outlineLevel="0" collapsed="false">
      <c r="A29" s="62"/>
      <c r="B29" s="125"/>
      <c r="C29" s="125"/>
      <c r="D29" s="125"/>
      <c r="E29" s="125"/>
      <c r="F29" s="125"/>
      <c r="G29" s="125"/>
      <c r="H29" s="125"/>
      <c r="I29" s="62"/>
      <c r="J29" s="91" t="n">
        <f aca="false">ROUND(SUM(J22:J28),2)</f>
        <v>43.05</v>
      </c>
      <c r="N29" s="124"/>
      <c r="O29" s="124"/>
      <c r="P29" s="124"/>
      <c r="Q29" s="124"/>
      <c r="S29" s="1" t="s">
        <v>289</v>
      </c>
      <c r="W29" s="57" t="s">
        <v>290</v>
      </c>
      <c r="X29" s="58" t="n">
        <v>1</v>
      </c>
      <c r="Y29" s="59" t="n">
        <f aca="false">X29*8/$U$26</f>
        <v>0.666666666666667</v>
      </c>
      <c r="Z29" s="30" t="n">
        <v>28.94</v>
      </c>
      <c r="AA29" s="30" t="n">
        <f aca="false">Y29*Z29</f>
        <v>19.2933333333333</v>
      </c>
      <c r="AB29" s="1" t="n">
        <v>47</v>
      </c>
    </row>
    <row r="30" customFormat="false" ht="15" hidden="false" customHeight="false" outlineLevel="0" collapsed="false">
      <c r="O30" s="124"/>
      <c r="P30" s="124"/>
      <c r="Q30" s="124"/>
      <c r="S30" s="1" t="s">
        <v>292</v>
      </c>
      <c r="W30" s="57" t="s">
        <v>290</v>
      </c>
      <c r="X30" s="58" t="n">
        <v>1</v>
      </c>
      <c r="Y30" s="59" t="n">
        <f aca="false">X30*8/$U$26</f>
        <v>0.666666666666667</v>
      </c>
      <c r="Z30" s="1" t="n">
        <v>20.51</v>
      </c>
      <c r="AA30" s="30" t="n">
        <f aca="false">Y30*Z30</f>
        <v>13.6733333333333</v>
      </c>
      <c r="AB30" s="1" t="n">
        <v>47</v>
      </c>
    </row>
    <row r="31" customFormat="false" ht="15" hidden="false" customHeight="true" outlineLevel="0" collapsed="false">
      <c r="A31" s="85" t="s">
        <v>276</v>
      </c>
      <c r="B31" s="85" t="str">
        <f aca="false">ARQUITECTURA!A6</f>
        <v>03.01.02</v>
      </c>
      <c r="C31" s="85" t="s">
        <v>755</v>
      </c>
      <c r="D31" s="85"/>
      <c r="O31" s="124"/>
      <c r="P31" s="124"/>
      <c r="Q31" s="124"/>
      <c r="W31" s="57"/>
      <c r="X31" s="58"/>
      <c r="Y31" s="59"/>
      <c r="AA31" s="89" t="n">
        <f aca="false">ROUND(SUM(AA29:AA30),2)</f>
        <v>32.97</v>
      </c>
    </row>
    <row r="32" customFormat="false" ht="15" hidden="false" customHeight="false" outlineLevel="0" collapsed="false">
      <c r="A32" s="85" t="s">
        <v>277</v>
      </c>
      <c r="B32" s="85" t="s">
        <v>278</v>
      </c>
      <c r="C32" s="87" t="s">
        <v>279</v>
      </c>
      <c r="D32" s="88" t="n">
        <v>10</v>
      </c>
      <c r="E32" s="87" t="s">
        <v>280</v>
      </c>
      <c r="F32" s="88" t="n">
        <f aca="false">D32</f>
        <v>10</v>
      </c>
      <c r="G32" s="85" t="s">
        <v>281</v>
      </c>
      <c r="I32" s="87" t="s">
        <v>132</v>
      </c>
      <c r="J32" s="89" t="n">
        <f aca="false">J37+J43+J47</f>
        <v>166.45</v>
      </c>
      <c r="O32" s="124"/>
      <c r="P32" s="124"/>
      <c r="Q32" s="124"/>
      <c r="S32" s="90" t="s">
        <v>652</v>
      </c>
      <c r="W32" s="57"/>
      <c r="X32" s="58"/>
      <c r="Y32" s="59"/>
      <c r="AA32" s="30"/>
    </row>
    <row r="33" customFormat="false" ht="15" hidden="false" customHeight="true" outlineLevel="0" collapsed="false">
      <c r="A33" s="85" t="s">
        <v>282</v>
      </c>
      <c r="B33" s="85" t="s">
        <v>283</v>
      </c>
      <c r="F33" s="87" t="s">
        <v>121</v>
      </c>
      <c r="G33" s="87" t="s">
        <v>284</v>
      </c>
      <c r="H33" s="87" t="s">
        <v>285</v>
      </c>
      <c r="I33" s="87" t="s">
        <v>286</v>
      </c>
      <c r="J33" s="87" t="s">
        <v>287</v>
      </c>
      <c r="O33" s="124"/>
      <c r="P33" s="124"/>
      <c r="Q33" s="124"/>
      <c r="S33" s="1" t="s">
        <v>685</v>
      </c>
      <c r="W33" s="57" t="s">
        <v>295</v>
      </c>
      <c r="Y33" s="59" t="n">
        <v>0.2</v>
      </c>
      <c r="Z33" s="30" t="n">
        <v>2.64</v>
      </c>
      <c r="AA33" s="30" t="n">
        <f aca="false">Y33*Z33</f>
        <v>0.528</v>
      </c>
      <c r="AB33" s="1" t="n">
        <v>2</v>
      </c>
    </row>
    <row r="34" customFormat="false" ht="15" hidden="false" customHeight="false" outlineLevel="0" collapsed="false">
      <c r="B34" s="90" t="s">
        <v>288</v>
      </c>
      <c r="S34" s="1" t="s">
        <v>300</v>
      </c>
      <c r="W34" s="57" t="s">
        <v>295</v>
      </c>
      <c r="Y34" s="59" t="n">
        <v>0.25</v>
      </c>
      <c r="Z34" s="30" t="n">
        <v>5.51</v>
      </c>
      <c r="AA34" s="30" t="n">
        <f aca="false">Y34*Z34</f>
        <v>1.3775</v>
      </c>
      <c r="AB34" s="1" t="n">
        <v>2</v>
      </c>
    </row>
    <row r="35" customFormat="false" ht="15" hidden="false" customHeight="true" outlineLevel="0" collapsed="false">
      <c r="B35" s="1" t="s">
        <v>289</v>
      </c>
      <c r="F35" s="57" t="s">
        <v>290</v>
      </c>
      <c r="G35" s="58" t="n">
        <v>2</v>
      </c>
      <c r="H35" s="59" t="n">
        <f aca="false">G35*8/$D$32</f>
        <v>1.6</v>
      </c>
      <c r="I35" s="30" t="n">
        <v>28.94</v>
      </c>
      <c r="J35" s="30" t="n">
        <f aca="false">H35*I35</f>
        <v>46.304</v>
      </c>
      <c r="K35" s="1" t="n">
        <v>47</v>
      </c>
      <c r="S35" s="1" t="s">
        <v>667</v>
      </c>
      <c r="W35" s="57" t="s">
        <v>304</v>
      </c>
      <c r="Y35" s="59" t="n">
        <v>3.5</v>
      </c>
      <c r="Z35" s="30" t="n">
        <v>5.8</v>
      </c>
      <c r="AA35" s="30" t="n">
        <f aca="false">Y35*Z35</f>
        <v>20.3</v>
      </c>
      <c r="AB35" s="1" t="n">
        <v>43</v>
      </c>
    </row>
    <row r="36" customFormat="false" ht="15" hidden="false" customHeight="false" outlineLevel="0" collapsed="false">
      <c r="B36" s="1" t="s">
        <v>292</v>
      </c>
      <c r="F36" s="57" t="s">
        <v>290</v>
      </c>
      <c r="G36" s="58" t="n">
        <v>1</v>
      </c>
      <c r="H36" s="59" t="n">
        <f aca="false">G36*8/$D$32</f>
        <v>0.8</v>
      </c>
      <c r="I36" s="30" t="n">
        <v>20.51</v>
      </c>
      <c r="J36" s="30" t="n">
        <f aca="false">H36*I36</f>
        <v>16.408</v>
      </c>
      <c r="K36" s="1" t="n">
        <v>47</v>
      </c>
      <c r="W36" s="57"/>
      <c r="Y36" s="59"/>
      <c r="Z36" s="30"/>
      <c r="AA36" s="89" t="n">
        <f aca="false">ROUND(SUM(AA33:AA35),2)</f>
        <v>22.21</v>
      </c>
    </row>
    <row r="37" customFormat="false" ht="15" hidden="false" customHeight="false" outlineLevel="0" collapsed="false">
      <c r="F37" s="57"/>
      <c r="G37" s="58"/>
      <c r="H37" s="59"/>
      <c r="I37" s="30"/>
      <c r="J37" s="89" t="n">
        <f aca="false">ROUND(SUM(J35:J36),2)</f>
        <v>62.71</v>
      </c>
      <c r="S37" s="90" t="s">
        <v>308</v>
      </c>
    </row>
    <row r="38" customFormat="false" ht="15" hidden="false" customHeight="true" outlineLevel="0" collapsed="false">
      <c r="B38" s="90" t="s">
        <v>652</v>
      </c>
      <c r="F38" s="57"/>
      <c r="G38" s="58"/>
      <c r="H38" s="59"/>
      <c r="J38" s="30"/>
      <c r="S38" s="1" t="s">
        <v>309</v>
      </c>
      <c r="W38" s="57" t="s">
        <v>310</v>
      </c>
      <c r="Y38" s="59" t="n">
        <v>3</v>
      </c>
      <c r="Z38" s="30" t="n">
        <f aca="false">AA31</f>
        <v>32.97</v>
      </c>
      <c r="AA38" s="30" t="n">
        <f aca="false">Y38%*Z38</f>
        <v>0.9891</v>
      </c>
      <c r="AB38" s="1" t="n">
        <v>37</v>
      </c>
    </row>
    <row r="39" customFormat="false" ht="15" hidden="false" customHeight="true" outlineLevel="0" collapsed="false">
      <c r="B39" s="1" t="s">
        <v>654</v>
      </c>
      <c r="F39" s="57" t="s">
        <v>202</v>
      </c>
      <c r="H39" s="59" t="n">
        <v>0.015</v>
      </c>
      <c r="I39" s="1" t="n">
        <v>6.14</v>
      </c>
      <c r="J39" s="30" t="n">
        <f aca="false">H39*I39</f>
        <v>0.0921</v>
      </c>
      <c r="K39" s="1" t="n">
        <v>30</v>
      </c>
      <c r="R39" s="62"/>
      <c r="S39" s="62"/>
      <c r="T39" s="62"/>
      <c r="U39" s="62"/>
      <c r="V39" s="62"/>
      <c r="W39" s="62"/>
      <c r="X39" s="62"/>
      <c r="Y39" s="62"/>
      <c r="Z39" s="62"/>
      <c r="AA39" s="91" t="n">
        <f aca="false">ROUND(SUM(AA38),2)</f>
        <v>0.99</v>
      </c>
    </row>
    <row r="40" customFormat="false" ht="15" hidden="false" customHeight="false" outlineLevel="0" collapsed="false">
      <c r="B40" s="1" t="s">
        <v>671</v>
      </c>
      <c r="F40" s="57" t="s">
        <v>202</v>
      </c>
      <c r="H40" s="59" t="n">
        <v>0.06</v>
      </c>
      <c r="I40" s="30" t="n">
        <v>47</v>
      </c>
      <c r="J40" s="30" t="n">
        <f aca="false">H40*I40</f>
        <v>2.82</v>
      </c>
      <c r="K40" s="1" t="n">
        <v>4</v>
      </c>
    </row>
    <row r="41" customFormat="false" ht="15" hidden="false" customHeight="false" outlineLevel="0" collapsed="false">
      <c r="B41" s="1" t="s">
        <v>305</v>
      </c>
      <c r="F41" s="57" t="s">
        <v>306</v>
      </c>
      <c r="H41" s="1" t="n">
        <v>0.49</v>
      </c>
      <c r="I41" s="30" t="n">
        <v>24.52</v>
      </c>
      <c r="J41" s="30" t="n">
        <f aca="false">H41*I41</f>
        <v>12.0148</v>
      </c>
      <c r="K41" s="1" t="n">
        <v>21</v>
      </c>
      <c r="R41" s="85" t="s">
        <v>276</v>
      </c>
      <c r="S41" s="123" t="n">
        <f aca="false">A24</f>
        <v>100000000012</v>
      </c>
      <c r="T41" s="85" t="s">
        <v>872</v>
      </c>
      <c r="U41" s="85"/>
    </row>
    <row r="42" customFormat="false" ht="15" hidden="false" customHeight="false" outlineLevel="0" collapsed="false">
      <c r="B42" s="1" t="s">
        <v>861</v>
      </c>
      <c r="F42" s="57" t="s">
        <v>148</v>
      </c>
      <c r="H42" s="30" t="n">
        <v>69</v>
      </c>
      <c r="I42" s="1" t="n">
        <v>1.02</v>
      </c>
      <c r="J42" s="30" t="n">
        <f aca="false">H42*I42</f>
        <v>70.38</v>
      </c>
      <c r="K42" s="1" t="n">
        <v>17</v>
      </c>
      <c r="R42" s="85" t="s">
        <v>277</v>
      </c>
      <c r="S42" s="85" t="s">
        <v>278</v>
      </c>
      <c r="T42" s="87" t="s">
        <v>279</v>
      </c>
      <c r="U42" s="88" t="n">
        <v>250</v>
      </c>
      <c r="V42" s="87" t="s">
        <v>280</v>
      </c>
      <c r="W42" s="88" t="n">
        <f aca="false">U42</f>
        <v>250</v>
      </c>
      <c r="X42" s="85" t="s">
        <v>281</v>
      </c>
      <c r="Z42" s="87" t="s">
        <v>132</v>
      </c>
      <c r="AA42" s="89" t="n">
        <f aca="false">AA47+AA51+AA55</f>
        <v>5.53</v>
      </c>
    </row>
    <row r="43" customFormat="false" ht="15" hidden="false" customHeight="false" outlineLevel="0" collapsed="false">
      <c r="F43" s="57"/>
      <c r="H43" s="59"/>
      <c r="I43" s="30"/>
      <c r="J43" s="89" t="n">
        <f aca="false">ROUND(SUM(J39:J42),2)</f>
        <v>85.31</v>
      </c>
      <c r="R43" s="85" t="s">
        <v>282</v>
      </c>
      <c r="S43" s="85" t="s">
        <v>283</v>
      </c>
      <c r="W43" s="87" t="s">
        <v>121</v>
      </c>
      <c r="X43" s="87" t="s">
        <v>284</v>
      </c>
      <c r="Y43" s="87" t="s">
        <v>285</v>
      </c>
      <c r="Z43" s="87" t="s">
        <v>286</v>
      </c>
      <c r="AA43" s="87" t="s">
        <v>287</v>
      </c>
    </row>
    <row r="44" customFormat="false" ht="15" hidden="false" customHeight="false" outlineLevel="0" collapsed="false">
      <c r="B44" s="90" t="s">
        <v>308</v>
      </c>
      <c r="S44" s="90" t="s">
        <v>288</v>
      </c>
    </row>
    <row r="45" customFormat="false" ht="15" hidden="false" customHeight="false" outlineLevel="0" collapsed="false">
      <c r="B45" s="1" t="s">
        <v>309</v>
      </c>
      <c r="F45" s="57" t="s">
        <v>310</v>
      </c>
      <c r="H45" s="59" t="n">
        <v>3</v>
      </c>
      <c r="I45" s="30" t="n">
        <f aca="false">J37</f>
        <v>62.71</v>
      </c>
      <c r="J45" s="30" t="n">
        <f aca="false">H45%*I45</f>
        <v>1.8813</v>
      </c>
      <c r="K45" s="1" t="n">
        <v>37</v>
      </c>
      <c r="S45" s="1" t="s">
        <v>289</v>
      </c>
      <c r="W45" s="57" t="s">
        <v>290</v>
      </c>
      <c r="X45" s="58" t="n">
        <v>1</v>
      </c>
      <c r="Y45" s="59" t="n">
        <f aca="false">X45*8/$U$42</f>
        <v>0.032</v>
      </c>
      <c r="Z45" s="30" t="n">
        <v>28.94</v>
      </c>
      <c r="AA45" s="30" t="n">
        <f aca="false">Y45*Z45</f>
        <v>0.92608</v>
      </c>
      <c r="AB45" s="1" t="n">
        <v>47</v>
      </c>
    </row>
    <row r="46" customFormat="false" ht="15" hidden="false" customHeight="false" outlineLevel="0" collapsed="false">
      <c r="B46" s="1" t="s">
        <v>862</v>
      </c>
      <c r="F46" s="57" t="s">
        <v>863</v>
      </c>
      <c r="G46" s="58" t="n">
        <v>2</v>
      </c>
      <c r="H46" s="59" t="n">
        <f aca="false">G46*8/$D$32</f>
        <v>1.6</v>
      </c>
      <c r="I46" s="1" t="n">
        <v>10.34</v>
      </c>
      <c r="J46" s="30" t="n">
        <f aca="false">H46*I46</f>
        <v>16.544</v>
      </c>
      <c r="K46" s="1" t="n">
        <v>39</v>
      </c>
      <c r="S46" s="1" t="s">
        <v>675</v>
      </c>
      <c r="W46" s="57" t="s">
        <v>290</v>
      </c>
      <c r="X46" s="58" t="n">
        <v>1</v>
      </c>
      <c r="Y46" s="59" t="n">
        <f aca="false">X46*8/$U$42</f>
        <v>0.032</v>
      </c>
      <c r="Z46" s="30" t="n">
        <v>22.66</v>
      </c>
      <c r="AA46" s="30" t="n">
        <f aca="false">Y46*Z46</f>
        <v>0.72512</v>
      </c>
      <c r="AB46" s="1" t="n">
        <v>47</v>
      </c>
    </row>
    <row r="47" customFormat="false" ht="15" hidden="false" customHeight="false" outlineLevel="0" collapsed="false">
      <c r="A47" s="62"/>
      <c r="B47" s="62"/>
      <c r="C47" s="62"/>
      <c r="D47" s="62"/>
      <c r="E47" s="62"/>
      <c r="F47" s="62"/>
      <c r="G47" s="62"/>
      <c r="H47" s="62"/>
      <c r="I47" s="62"/>
      <c r="J47" s="91" t="n">
        <f aca="false">ROUND(SUM(J45:J46),2)</f>
        <v>18.43</v>
      </c>
      <c r="W47" s="57"/>
      <c r="X47" s="58"/>
      <c r="AA47" s="126" t="n">
        <f aca="false">ROUND(SUM(AA45:AA46),2)</f>
        <v>1.65</v>
      </c>
    </row>
    <row r="48" customFormat="false" ht="15" hidden="false" customHeight="false" outlineLevel="0" collapsed="false">
      <c r="S48" s="127" t="s">
        <v>293</v>
      </c>
      <c r="W48" s="57"/>
      <c r="X48" s="58"/>
      <c r="Y48" s="101"/>
    </row>
    <row r="49" customFormat="false" ht="15" hidden="false" customHeight="false" outlineLevel="0" collapsed="false">
      <c r="A49" s="85" t="s">
        <v>276</v>
      </c>
      <c r="B49" s="85" t="str">
        <f aca="false">ARQUITECTURA!A7</f>
        <v>03.01.03</v>
      </c>
      <c r="C49" s="85" t="s">
        <v>757</v>
      </c>
      <c r="D49" s="85"/>
      <c r="S49" s="1" t="s">
        <v>294</v>
      </c>
      <c r="W49" s="57" t="s">
        <v>295</v>
      </c>
      <c r="X49" s="58"/>
      <c r="Y49" s="101" t="n">
        <v>0.03</v>
      </c>
      <c r="Z49" s="30" t="n">
        <v>2.64</v>
      </c>
      <c r="AA49" s="30" t="n">
        <f aca="false">Y49*Z49</f>
        <v>0.0792</v>
      </c>
      <c r="AB49" s="1" t="n">
        <v>2</v>
      </c>
    </row>
    <row r="50" customFormat="false" ht="15" hidden="false" customHeight="false" outlineLevel="0" collapsed="false">
      <c r="A50" s="85" t="s">
        <v>277</v>
      </c>
      <c r="B50" s="85" t="s">
        <v>278</v>
      </c>
      <c r="C50" s="87" t="s">
        <v>279</v>
      </c>
      <c r="D50" s="88" t="n">
        <v>14</v>
      </c>
      <c r="E50" s="87" t="s">
        <v>280</v>
      </c>
      <c r="F50" s="88" t="n">
        <f aca="false">D50</f>
        <v>14</v>
      </c>
      <c r="G50" s="85" t="s">
        <v>281</v>
      </c>
      <c r="I50" s="87" t="s">
        <v>132</v>
      </c>
      <c r="J50" s="89" t="n">
        <f aca="false">J57+J68+J71</f>
        <v>141.07</v>
      </c>
      <c r="S50" s="1" t="s">
        <v>676</v>
      </c>
      <c r="W50" s="57" t="s">
        <v>295</v>
      </c>
      <c r="X50" s="58"/>
      <c r="Y50" s="101" t="n">
        <v>1.05</v>
      </c>
      <c r="Z50" s="30" t="n">
        <f aca="false">1012.71*3.379/1000</f>
        <v>3.42194709</v>
      </c>
      <c r="AA50" s="30" t="n">
        <f aca="false">Y50*Z50</f>
        <v>3.5930444445</v>
      </c>
      <c r="AB50" s="1" t="n">
        <v>3</v>
      </c>
    </row>
    <row r="51" customFormat="false" ht="15" hidden="false" customHeight="false" outlineLevel="0" collapsed="false">
      <c r="A51" s="85" t="s">
        <v>282</v>
      </c>
      <c r="B51" s="85" t="s">
        <v>283</v>
      </c>
      <c r="F51" s="87" t="s">
        <v>121</v>
      </c>
      <c r="G51" s="87" t="s">
        <v>284</v>
      </c>
      <c r="H51" s="87" t="s">
        <v>285</v>
      </c>
      <c r="I51" s="87" t="s">
        <v>286</v>
      </c>
      <c r="J51" s="87" t="s">
        <v>287</v>
      </c>
      <c r="M51" s="85"/>
      <c r="N51" s="124"/>
      <c r="W51" s="57"/>
      <c r="X51" s="58"/>
      <c r="AA51" s="126" t="n">
        <f aca="false">ROUND(SUM(AA49:AA50),2)</f>
        <v>3.67</v>
      </c>
    </row>
    <row r="52" customFormat="false" ht="15" hidden="false" customHeight="false" outlineLevel="0" collapsed="false">
      <c r="B52" s="90" t="s">
        <v>288</v>
      </c>
      <c r="M52" s="85"/>
      <c r="N52" s="124"/>
      <c r="S52" s="127" t="s">
        <v>317</v>
      </c>
      <c r="W52" s="57"/>
      <c r="X52" s="58"/>
    </row>
    <row r="53" customFormat="false" ht="15" hidden="false" customHeight="false" outlineLevel="0" collapsed="false">
      <c r="B53" s="1" t="s">
        <v>873</v>
      </c>
      <c r="F53" s="57" t="s">
        <v>290</v>
      </c>
      <c r="G53" s="58" t="n">
        <v>0.1</v>
      </c>
      <c r="H53" s="59" t="n">
        <f aca="false">G53*8/$D$50</f>
        <v>0.0571428571428572</v>
      </c>
      <c r="I53" s="30" t="n">
        <v>34.73</v>
      </c>
      <c r="J53" s="30" t="n">
        <f aca="false">H53*I53</f>
        <v>1.98457142857143</v>
      </c>
      <c r="S53" s="1" t="s">
        <v>309</v>
      </c>
      <c r="W53" s="57" t="s">
        <v>310</v>
      </c>
      <c r="Y53" s="59" t="n">
        <v>3</v>
      </c>
      <c r="Z53" s="30" t="n">
        <f aca="false">AA47</f>
        <v>1.65</v>
      </c>
      <c r="AA53" s="30" t="n">
        <f aca="false">Y53%*Z53</f>
        <v>0.0495</v>
      </c>
      <c r="AB53" s="1" t="n">
        <v>37</v>
      </c>
    </row>
    <row r="54" customFormat="false" ht="15" hidden="false" customHeight="false" outlineLevel="0" collapsed="false">
      <c r="B54" s="1" t="s">
        <v>289</v>
      </c>
      <c r="F54" s="57" t="s">
        <v>290</v>
      </c>
      <c r="G54" s="58" t="n">
        <v>1</v>
      </c>
      <c r="H54" s="59" t="n">
        <f aca="false">G54*8/$D$50</f>
        <v>0.571428571428571</v>
      </c>
      <c r="I54" s="30" t="n">
        <v>28.94</v>
      </c>
      <c r="J54" s="30" t="n">
        <f aca="false">H54*I54</f>
        <v>16.5371428571429</v>
      </c>
      <c r="K54" s="1" t="n">
        <v>47</v>
      </c>
      <c r="S54" s="1" t="s">
        <v>677</v>
      </c>
      <c r="W54" s="57" t="s">
        <v>290</v>
      </c>
      <c r="X54" s="58" t="n">
        <v>1</v>
      </c>
      <c r="Y54" s="59" t="n">
        <f aca="false">X54*8/$U$42</f>
        <v>0.032</v>
      </c>
      <c r="Z54" s="65" t="n">
        <v>5</v>
      </c>
      <c r="AA54" s="30" t="n">
        <f aca="false">Y54*Z54</f>
        <v>0.16</v>
      </c>
      <c r="AB54" s="1" t="n">
        <v>37</v>
      </c>
    </row>
    <row r="55" customFormat="false" ht="15" hidden="false" customHeight="false" outlineLevel="0" collapsed="false">
      <c r="B55" s="1" t="s">
        <v>291</v>
      </c>
      <c r="F55" s="57" t="s">
        <v>290</v>
      </c>
      <c r="G55" s="58" t="n">
        <v>1</v>
      </c>
      <c r="H55" s="59" t="n">
        <f aca="false">G55*8/$D$50</f>
        <v>0.571428571428571</v>
      </c>
      <c r="I55" s="30" t="n">
        <v>22.66</v>
      </c>
      <c r="J55" s="30" t="n">
        <f aca="false">H55*I55</f>
        <v>12.9485714285714</v>
      </c>
      <c r="K55" s="1" t="n">
        <v>47</v>
      </c>
      <c r="R55" s="62"/>
      <c r="S55" s="62"/>
      <c r="T55" s="62"/>
      <c r="U55" s="62"/>
      <c r="V55" s="62"/>
      <c r="W55" s="62"/>
      <c r="X55" s="62"/>
      <c r="Y55" s="62"/>
      <c r="Z55" s="62"/>
      <c r="AA55" s="128" t="n">
        <f aca="false">ROUND(SUM(AA53:AA54),2)</f>
        <v>0.21</v>
      </c>
    </row>
    <row r="56" customFormat="false" ht="15" hidden="false" customHeight="false" outlineLevel="0" collapsed="false">
      <c r="B56" s="1" t="s">
        <v>292</v>
      </c>
      <c r="F56" s="57" t="s">
        <v>290</v>
      </c>
      <c r="G56" s="58" t="n">
        <v>1</v>
      </c>
      <c r="H56" s="59" t="n">
        <f aca="false">G56*8/$D$50</f>
        <v>0.571428571428571</v>
      </c>
      <c r="I56" s="30" t="n">
        <v>20.51</v>
      </c>
      <c r="J56" s="30" t="n">
        <f aca="false">H56*I56</f>
        <v>11.72</v>
      </c>
      <c r="K56" s="1" t="n">
        <v>47</v>
      </c>
    </row>
    <row r="57" customFormat="false" ht="15" hidden="false" customHeight="false" outlineLevel="0" collapsed="false">
      <c r="F57" s="57"/>
      <c r="G57" s="58"/>
      <c r="H57" s="59"/>
      <c r="I57" s="30"/>
      <c r="J57" s="89" t="n">
        <f aca="false">ROUND(SUM(J53:J56),2)</f>
        <v>43.19</v>
      </c>
      <c r="R57" s="85" t="s">
        <v>276</v>
      </c>
      <c r="S57" s="123" t="n">
        <f aca="false">A25</f>
        <v>100000000013</v>
      </c>
      <c r="T57" s="85" t="s">
        <v>874</v>
      </c>
      <c r="U57" s="85"/>
    </row>
    <row r="58" customFormat="false" ht="15" hidden="false" customHeight="false" outlineLevel="0" collapsed="false">
      <c r="B58" s="90" t="s">
        <v>652</v>
      </c>
      <c r="F58" s="57"/>
      <c r="G58" s="58"/>
      <c r="H58" s="59"/>
      <c r="J58" s="30"/>
      <c r="R58" s="85" t="s">
        <v>277</v>
      </c>
      <c r="S58" s="85" t="s">
        <v>415</v>
      </c>
      <c r="T58" s="87" t="s">
        <v>279</v>
      </c>
      <c r="U58" s="88" t="n">
        <v>20</v>
      </c>
      <c r="V58" s="87" t="s">
        <v>280</v>
      </c>
      <c r="W58" s="88" t="n">
        <f aca="false">U58</f>
        <v>20</v>
      </c>
      <c r="X58" s="85" t="s">
        <v>281</v>
      </c>
      <c r="Z58" s="87" t="s">
        <v>202</v>
      </c>
      <c r="AA58" s="89" t="n">
        <f aca="false">AA64+AA71+AA76</f>
        <v>377.34</v>
      </c>
    </row>
    <row r="59" customFormat="false" ht="15" hidden="false" customHeight="true" outlineLevel="0" collapsed="false">
      <c r="B59" s="1" t="s">
        <v>875</v>
      </c>
      <c r="F59" s="57" t="s">
        <v>148</v>
      </c>
      <c r="H59" s="59" t="n">
        <v>0.4</v>
      </c>
      <c r="I59" s="30" t="n">
        <v>5.3</v>
      </c>
      <c r="J59" s="30" t="n">
        <f aca="false">H59*I59</f>
        <v>2.12</v>
      </c>
      <c r="K59" s="1" t="n">
        <v>39</v>
      </c>
      <c r="R59" s="85" t="s">
        <v>282</v>
      </c>
      <c r="S59" s="85" t="s">
        <v>283</v>
      </c>
      <c r="W59" s="87" t="s">
        <v>121</v>
      </c>
      <c r="X59" s="87" t="s">
        <v>284</v>
      </c>
      <c r="Y59" s="87" t="s">
        <v>285</v>
      </c>
      <c r="Z59" s="87" t="s">
        <v>286</v>
      </c>
      <c r="AA59" s="87" t="s">
        <v>287</v>
      </c>
    </row>
    <row r="60" customFormat="false" ht="15" hidden="false" customHeight="true" outlineLevel="0" collapsed="false">
      <c r="B60" s="1" t="s">
        <v>876</v>
      </c>
      <c r="F60" s="57" t="s">
        <v>148</v>
      </c>
      <c r="H60" s="59" t="n">
        <v>8</v>
      </c>
      <c r="I60" s="30" t="n">
        <v>0.12</v>
      </c>
      <c r="J60" s="30" t="n">
        <f aca="false">H60*I60</f>
        <v>0.96</v>
      </c>
      <c r="K60" s="1" t="n">
        <v>2</v>
      </c>
      <c r="S60" s="90" t="s">
        <v>288</v>
      </c>
    </row>
    <row r="61" customFormat="false" ht="15" hidden="false" customHeight="true" outlineLevel="0" collapsed="false">
      <c r="B61" s="1" t="s">
        <v>877</v>
      </c>
      <c r="F61" s="57" t="s">
        <v>148</v>
      </c>
      <c r="H61" s="59" t="n">
        <v>2.2</v>
      </c>
      <c r="I61" s="30" t="n">
        <v>16.2</v>
      </c>
      <c r="J61" s="30" t="n">
        <f aca="false">H61*I61</f>
        <v>35.64</v>
      </c>
      <c r="K61" s="1" t="n">
        <v>39</v>
      </c>
      <c r="S61" s="1" t="s">
        <v>289</v>
      </c>
      <c r="W61" s="57" t="s">
        <v>290</v>
      </c>
      <c r="X61" s="58" t="n">
        <v>2</v>
      </c>
      <c r="Y61" s="59" t="n">
        <f aca="false">X61*8/$U$58</f>
        <v>0.8</v>
      </c>
      <c r="Z61" s="30" t="n">
        <v>28.94</v>
      </c>
      <c r="AA61" s="30" t="n">
        <f aca="false">Y61*Z61</f>
        <v>23.152</v>
      </c>
      <c r="AB61" s="1" t="n">
        <v>47</v>
      </c>
    </row>
    <row r="62" customFormat="false" ht="15" hidden="false" customHeight="true" outlineLevel="0" collapsed="false">
      <c r="B62" s="1" t="s">
        <v>878</v>
      </c>
      <c r="F62" s="57" t="s">
        <v>148</v>
      </c>
      <c r="H62" s="59" t="n">
        <v>0.12</v>
      </c>
      <c r="I62" s="30" t="n">
        <v>9.24</v>
      </c>
      <c r="J62" s="30" t="n">
        <f aca="false">H62*I62</f>
        <v>1.1088</v>
      </c>
      <c r="K62" s="1" t="n">
        <v>39</v>
      </c>
      <c r="S62" s="1" t="s">
        <v>291</v>
      </c>
      <c r="W62" s="57" t="s">
        <v>290</v>
      </c>
      <c r="X62" s="58" t="n">
        <v>1</v>
      </c>
      <c r="Y62" s="59" t="n">
        <f aca="false">X62*8/$U$58</f>
        <v>0.4</v>
      </c>
      <c r="Z62" s="30" t="n">
        <v>22.66</v>
      </c>
      <c r="AA62" s="30" t="n">
        <f aca="false">Y62*Z62</f>
        <v>9.064</v>
      </c>
      <c r="AB62" s="1" t="n">
        <v>47</v>
      </c>
    </row>
    <row r="63" customFormat="false" ht="15" hidden="false" customHeight="true" outlineLevel="0" collapsed="false">
      <c r="B63" s="1" t="s">
        <v>879</v>
      </c>
      <c r="F63" s="57" t="s">
        <v>429</v>
      </c>
      <c r="H63" s="59" t="n">
        <v>0.35</v>
      </c>
      <c r="I63" s="30" t="n">
        <v>39.9</v>
      </c>
      <c r="J63" s="30" t="n">
        <f aca="false">H63*I63</f>
        <v>13.965</v>
      </c>
      <c r="K63" s="1" t="n">
        <v>30</v>
      </c>
      <c r="S63" s="1" t="s">
        <v>292</v>
      </c>
      <c r="W63" s="57" t="s">
        <v>290</v>
      </c>
      <c r="X63" s="58" t="n">
        <v>8</v>
      </c>
      <c r="Y63" s="59" t="n">
        <f aca="false">X63*8/$U$58</f>
        <v>3.2</v>
      </c>
      <c r="Z63" s="30" t="n">
        <v>20.51</v>
      </c>
      <c r="AA63" s="30" t="n">
        <f aca="false">Y63*Z63</f>
        <v>65.632</v>
      </c>
      <c r="AB63" s="1" t="n">
        <v>47</v>
      </c>
    </row>
    <row r="64" customFormat="false" ht="15" hidden="false" customHeight="true" outlineLevel="0" collapsed="false">
      <c r="B64" s="1" t="s">
        <v>880</v>
      </c>
      <c r="F64" s="57" t="s">
        <v>148</v>
      </c>
      <c r="H64" s="59" t="n">
        <v>6</v>
      </c>
      <c r="I64" s="30" t="n">
        <v>0.1</v>
      </c>
      <c r="J64" s="30" t="n">
        <f aca="false">H64*I64</f>
        <v>0.6</v>
      </c>
      <c r="K64" s="1" t="n">
        <v>26</v>
      </c>
      <c r="W64" s="57"/>
      <c r="X64" s="58"/>
      <c r="Y64" s="59"/>
      <c r="AA64" s="89" t="n">
        <f aca="false">ROUND(SUM(AA61:AA63),2)</f>
        <v>97.85</v>
      </c>
    </row>
    <row r="65" customFormat="false" ht="15" hidden="false" customHeight="true" outlineLevel="0" collapsed="false">
      <c r="B65" s="1" t="s">
        <v>881</v>
      </c>
      <c r="F65" s="57" t="s">
        <v>148</v>
      </c>
      <c r="H65" s="59" t="n">
        <v>8</v>
      </c>
      <c r="I65" s="30" t="n">
        <v>0.02</v>
      </c>
      <c r="J65" s="30" t="n">
        <f aca="false">H65*I65</f>
        <v>0.16</v>
      </c>
      <c r="K65" s="1" t="n">
        <v>26</v>
      </c>
      <c r="S65" s="90" t="s">
        <v>652</v>
      </c>
      <c r="W65" s="57"/>
      <c r="X65" s="58"/>
      <c r="Y65" s="59"/>
      <c r="AA65" s="30"/>
    </row>
    <row r="66" customFormat="false" ht="15" hidden="false" customHeight="true" outlineLevel="0" collapsed="false">
      <c r="B66" s="1" t="s">
        <v>882</v>
      </c>
      <c r="F66" s="57" t="s">
        <v>148</v>
      </c>
      <c r="H66" s="59" t="n">
        <v>0.7</v>
      </c>
      <c r="I66" s="30" t="n">
        <v>53</v>
      </c>
      <c r="J66" s="30" t="n">
        <f aca="false">H66*I66</f>
        <v>37.1</v>
      </c>
      <c r="K66" s="1" t="n">
        <v>30</v>
      </c>
      <c r="S66" s="1" t="s">
        <v>670</v>
      </c>
      <c r="W66" s="57" t="s">
        <v>202</v>
      </c>
      <c r="Y66" s="59" t="n">
        <v>0.55</v>
      </c>
      <c r="Z66" s="30" t="n">
        <v>55.08</v>
      </c>
      <c r="AA66" s="30" t="n">
        <f aca="false">Y66*Z66</f>
        <v>30.294</v>
      </c>
      <c r="AB66" s="1" t="n">
        <v>5</v>
      </c>
    </row>
    <row r="67" customFormat="false" ht="15" hidden="false" customHeight="true" outlineLevel="0" collapsed="false">
      <c r="B67" s="1" t="s">
        <v>883</v>
      </c>
      <c r="F67" s="57" t="s">
        <v>148</v>
      </c>
      <c r="H67" s="59" t="n">
        <v>0.65</v>
      </c>
      <c r="I67" s="30" t="n">
        <v>7.58</v>
      </c>
      <c r="J67" s="30" t="n">
        <f aca="false">H67*I67</f>
        <v>4.927</v>
      </c>
      <c r="K67" s="1" t="n">
        <v>30</v>
      </c>
      <c r="S67" s="1" t="s">
        <v>671</v>
      </c>
      <c r="W67" s="57" t="s">
        <v>202</v>
      </c>
      <c r="Y67" s="59" t="n">
        <v>0.51</v>
      </c>
      <c r="Z67" s="30" t="n">
        <v>47</v>
      </c>
      <c r="AA67" s="30" t="n">
        <f aca="false">Y67*Z67</f>
        <v>23.97</v>
      </c>
      <c r="AB67" s="1" t="n">
        <v>4</v>
      </c>
    </row>
    <row r="68" customFormat="false" ht="15" hidden="false" customHeight="false" outlineLevel="0" collapsed="false">
      <c r="F68" s="57"/>
      <c r="H68" s="59"/>
      <c r="I68" s="30"/>
      <c r="J68" s="89" t="n">
        <f aca="false">ROUND(SUM(J59:J67),2)</f>
        <v>96.58</v>
      </c>
      <c r="S68" s="1" t="s">
        <v>305</v>
      </c>
      <c r="W68" s="57" t="s">
        <v>306</v>
      </c>
      <c r="Y68" s="59" t="n">
        <v>8.43</v>
      </c>
      <c r="Z68" s="30" t="n">
        <v>24.52</v>
      </c>
      <c r="AA68" s="30" t="n">
        <f aca="false">Y68*Z68</f>
        <v>206.7036</v>
      </c>
      <c r="AB68" s="1" t="n">
        <v>21</v>
      </c>
    </row>
    <row r="69" customFormat="false" ht="15" hidden="false" customHeight="false" outlineLevel="0" collapsed="false">
      <c r="B69" s="90" t="s">
        <v>308</v>
      </c>
      <c r="S69" s="1" t="s">
        <v>654</v>
      </c>
      <c r="W69" s="57" t="s">
        <v>202</v>
      </c>
      <c r="Y69" s="59" t="n">
        <v>0.185</v>
      </c>
      <c r="Z69" s="1" t="n">
        <v>6.14</v>
      </c>
      <c r="AA69" s="30" t="n">
        <f aca="false">Y69*Z69</f>
        <v>1.1359</v>
      </c>
      <c r="AB69" s="1" t="n">
        <v>30</v>
      </c>
    </row>
    <row r="70" customFormat="false" ht="15" hidden="false" customHeight="false" outlineLevel="0" collapsed="false">
      <c r="B70" s="1" t="s">
        <v>309</v>
      </c>
      <c r="F70" s="57" t="s">
        <v>310</v>
      </c>
      <c r="H70" s="59" t="n">
        <v>3</v>
      </c>
      <c r="I70" s="30" t="n">
        <f aca="false">J57</f>
        <v>43.19</v>
      </c>
      <c r="J70" s="30" t="n">
        <f aca="false">H70%*I70</f>
        <v>1.2957</v>
      </c>
      <c r="K70" s="1" t="n">
        <v>37</v>
      </c>
      <c r="S70" s="1" t="s">
        <v>663</v>
      </c>
      <c r="W70" s="57" t="s">
        <v>437</v>
      </c>
      <c r="Y70" s="59" t="n">
        <v>0.2</v>
      </c>
      <c r="Z70" s="1" t="n">
        <v>13.93</v>
      </c>
      <c r="AA70" s="30" t="n">
        <f aca="false">Y70*Z70</f>
        <v>2.786</v>
      </c>
      <c r="AB70" s="1" t="n">
        <v>34</v>
      </c>
    </row>
    <row r="71" customFormat="false" ht="15" hidden="false" customHeight="false" outlineLevel="0" collapsed="false">
      <c r="A71" s="62"/>
      <c r="B71" s="62"/>
      <c r="C71" s="62"/>
      <c r="D71" s="62"/>
      <c r="E71" s="62"/>
      <c r="F71" s="62"/>
      <c r="G71" s="62"/>
      <c r="H71" s="62"/>
      <c r="I71" s="62"/>
      <c r="J71" s="91" t="n">
        <f aca="false">ROUND(SUM(J70:J70),2)</f>
        <v>1.3</v>
      </c>
      <c r="W71" s="57"/>
      <c r="Y71" s="59"/>
      <c r="Z71" s="30"/>
      <c r="AA71" s="89" t="n">
        <f aca="false">ROUND(SUM(AA66:AA70),2)</f>
        <v>264.89</v>
      </c>
    </row>
    <row r="72" customFormat="false" ht="15" hidden="false" customHeight="false" outlineLevel="0" collapsed="false">
      <c r="R72" s="90" t="s">
        <v>308</v>
      </c>
    </row>
    <row r="73" customFormat="false" ht="15" hidden="false" customHeight="false" outlineLevel="0" collapsed="false">
      <c r="A73" s="85" t="s">
        <v>276</v>
      </c>
      <c r="B73" s="85" t="str">
        <f aca="false">ARQUITECTURA!A8</f>
        <v>03.01.04</v>
      </c>
      <c r="C73" s="85" t="s">
        <v>759</v>
      </c>
      <c r="D73" s="85"/>
      <c r="S73" s="1" t="s">
        <v>309</v>
      </c>
      <c r="W73" s="57" t="s">
        <v>310</v>
      </c>
      <c r="Y73" s="59" t="n">
        <v>3</v>
      </c>
      <c r="Z73" s="30" t="n">
        <f aca="false">AA64</f>
        <v>97.85</v>
      </c>
      <c r="AA73" s="30" t="n">
        <f aca="false">Y73%*Z73</f>
        <v>2.9355</v>
      </c>
      <c r="AB73" s="1" t="n">
        <v>37</v>
      </c>
    </row>
    <row r="74" customFormat="false" ht="15" hidden="false" customHeight="false" outlineLevel="0" collapsed="false">
      <c r="A74" s="85" t="s">
        <v>277</v>
      </c>
      <c r="B74" s="85" t="s">
        <v>278</v>
      </c>
      <c r="C74" s="87" t="s">
        <v>279</v>
      </c>
      <c r="D74" s="88" t="n">
        <v>8</v>
      </c>
      <c r="E74" s="87" t="s">
        <v>280</v>
      </c>
      <c r="F74" s="88" t="n">
        <f aca="false">D74</f>
        <v>8</v>
      </c>
      <c r="G74" s="85" t="s">
        <v>281</v>
      </c>
      <c r="I74" s="87" t="s">
        <v>132</v>
      </c>
      <c r="J74" s="89" t="n">
        <f aca="false">J80+J86+J89</f>
        <v>204.42</v>
      </c>
      <c r="S74" s="1" t="s">
        <v>665</v>
      </c>
      <c r="W74" s="57" t="s">
        <v>337</v>
      </c>
      <c r="X74" s="58" t="n">
        <v>1</v>
      </c>
      <c r="Y74" s="59" t="n">
        <f aca="false">X74*8/$U$58</f>
        <v>0.4</v>
      </c>
      <c r="Z74" s="30" t="n">
        <v>25.63</v>
      </c>
      <c r="AA74" s="30" t="n">
        <f aca="false">Y74*Z74</f>
        <v>10.252</v>
      </c>
      <c r="AB74" s="1" t="n">
        <v>48</v>
      </c>
    </row>
    <row r="75" customFormat="false" ht="15" hidden="false" customHeight="false" outlineLevel="0" collapsed="false">
      <c r="A75" s="85" t="s">
        <v>282</v>
      </c>
      <c r="B75" s="85" t="s">
        <v>283</v>
      </c>
      <c r="F75" s="87" t="s">
        <v>121</v>
      </c>
      <c r="G75" s="87" t="s">
        <v>284</v>
      </c>
      <c r="H75" s="87" t="s">
        <v>285</v>
      </c>
      <c r="I75" s="87" t="s">
        <v>286</v>
      </c>
      <c r="J75" s="87" t="s">
        <v>287</v>
      </c>
      <c r="S75" s="1" t="s">
        <v>673</v>
      </c>
      <c r="W75" s="57" t="s">
        <v>337</v>
      </c>
      <c r="X75" s="58" t="n">
        <v>0.5</v>
      </c>
      <c r="Y75" s="59" t="n">
        <f aca="false">X75*8/$U$58</f>
        <v>0.2</v>
      </c>
      <c r="Z75" s="30" t="n">
        <v>7.07</v>
      </c>
      <c r="AA75" s="30" t="n">
        <f aca="false">Y75*Z75</f>
        <v>1.414</v>
      </c>
      <c r="AB75" s="1" t="n">
        <v>49</v>
      </c>
    </row>
    <row r="76" customFormat="false" ht="15" hidden="false" customHeight="false" outlineLevel="0" collapsed="false">
      <c r="B76" s="90" t="s">
        <v>288</v>
      </c>
      <c r="R76" s="62"/>
      <c r="S76" s="62"/>
      <c r="T76" s="62"/>
      <c r="U76" s="62"/>
      <c r="V76" s="62"/>
      <c r="W76" s="62"/>
      <c r="X76" s="62"/>
      <c r="Y76" s="62"/>
      <c r="Z76" s="62"/>
      <c r="AA76" s="91" t="n">
        <f aca="false">ROUND(SUM(AA73:AA75),2)</f>
        <v>14.6</v>
      </c>
    </row>
    <row r="77" customFormat="false" ht="15" hidden="false" customHeight="false" outlineLevel="0" collapsed="false">
      <c r="B77" s="1" t="s">
        <v>873</v>
      </c>
      <c r="F77" s="57" t="s">
        <v>290</v>
      </c>
      <c r="G77" s="58" t="n">
        <v>0.1</v>
      </c>
      <c r="H77" s="59" t="n">
        <f aca="false">G77*8/$D$74</f>
        <v>0.1</v>
      </c>
      <c r="I77" s="30" t="n">
        <v>34.73</v>
      </c>
      <c r="J77" s="30" t="n">
        <f aca="false">H77*I77</f>
        <v>3.473</v>
      </c>
    </row>
    <row r="78" customFormat="false" ht="15" hidden="false" customHeight="false" outlineLevel="0" collapsed="false">
      <c r="B78" s="1" t="s">
        <v>289</v>
      </c>
      <c r="F78" s="57" t="s">
        <v>290</v>
      </c>
      <c r="G78" s="58" t="n">
        <v>2</v>
      </c>
      <c r="H78" s="59" t="n">
        <f aca="false">G78*8/$D$74</f>
        <v>2</v>
      </c>
      <c r="I78" s="30" t="n">
        <v>28.94</v>
      </c>
      <c r="J78" s="30" t="n">
        <f aca="false">H78*I78</f>
        <v>57.88</v>
      </c>
      <c r="K78" s="1" t="n">
        <v>47</v>
      </c>
      <c r="R78" s="85" t="s">
        <v>276</v>
      </c>
      <c r="S78" s="123" t="n">
        <f aca="false">A26</f>
        <v>100000000014</v>
      </c>
      <c r="T78" s="85" t="s">
        <v>884</v>
      </c>
      <c r="U78" s="85"/>
    </row>
    <row r="79" customFormat="false" ht="15" hidden="false" customHeight="false" outlineLevel="0" collapsed="false">
      <c r="B79" s="1" t="s">
        <v>291</v>
      </c>
      <c r="F79" s="57" t="s">
        <v>290</v>
      </c>
      <c r="G79" s="58" t="n">
        <v>1</v>
      </c>
      <c r="H79" s="59" t="n">
        <f aca="false">G79*8/$D$74</f>
        <v>1</v>
      </c>
      <c r="I79" s="30" t="n">
        <v>22.66</v>
      </c>
      <c r="J79" s="30" t="n">
        <f aca="false">H79*I79</f>
        <v>22.66</v>
      </c>
      <c r="K79" s="1" t="n">
        <v>47</v>
      </c>
      <c r="R79" s="85" t="s">
        <v>277</v>
      </c>
      <c r="S79" s="85" t="s">
        <v>278</v>
      </c>
      <c r="T79" s="87" t="s">
        <v>279</v>
      </c>
      <c r="U79" s="88" t="n">
        <v>10</v>
      </c>
      <c r="V79" s="87" t="s">
        <v>280</v>
      </c>
      <c r="W79" s="88" t="n">
        <f aca="false">U79</f>
        <v>10</v>
      </c>
      <c r="X79" s="85" t="s">
        <v>281</v>
      </c>
      <c r="Z79" s="87" t="s">
        <v>132</v>
      </c>
      <c r="AA79" s="89" t="n">
        <f aca="false">AA85+AA90+AA93</f>
        <v>71.15</v>
      </c>
    </row>
    <row r="80" customFormat="false" ht="15" hidden="false" customHeight="false" outlineLevel="0" collapsed="false">
      <c r="F80" s="57"/>
      <c r="G80" s="58"/>
      <c r="H80" s="59"/>
      <c r="I80" s="30"/>
      <c r="J80" s="89" t="n">
        <f aca="false">ROUND(SUM(J77:J79),2)</f>
        <v>84.01</v>
      </c>
      <c r="R80" s="85" t="s">
        <v>282</v>
      </c>
      <c r="S80" s="85" t="s">
        <v>283</v>
      </c>
      <c r="W80" s="87" t="s">
        <v>121</v>
      </c>
      <c r="X80" s="87" t="s">
        <v>284</v>
      </c>
      <c r="Y80" s="87" t="s">
        <v>285</v>
      </c>
      <c r="Z80" s="87" t="s">
        <v>286</v>
      </c>
      <c r="AA80" s="87" t="s">
        <v>287</v>
      </c>
    </row>
    <row r="81" customFormat="false" ht="15" hidden="false" customHeight="false" outlineLevel="0" collapsed="false">
      <c r="B81" s="90" t="s">
        <v>652</v>
      </c>
      <c r="F81" s="57"/>
      <c r="G81" s="58"/>
      <c r="H81" s="59"/>
      <c r="J81" s="30"/>
      <c r="S81" s="90" t="s">
        <v>288</v>
      </c>
    </row>
    <row r="82" customFormat="false" ht="15" hidden="false" customHeight="false" outlineLevel="0" collapsed="false">
      <c r="B82" s="1" t="s">
        <v>885</v>
      </c>
      <c r="F82" s="57" t="s">
        <v>148</v>
      </c>
      <c r="H82" s="59" t="n">
        <v>7</v>
      </c>
      <c r="I82" s="1" t="n">
        <v>1.01</v>
      </c>
      <c r="J82" s="30" t="n">
        <f aca="false">H82*I82</f>
        <v>7.07</v>
      </c>
      <c r="K82" s="1" t="n">
        <v>26</v>
      </c>
      <c r="S82" s="1" t="s">
        <v>289</v>
      </c>
      <c r="W82" s="57" t="s">
        <v>290</v>
      </c>
      <c r="X82" s="58" t="n">
        <v>1</v>
      </c>
      <c r="Y82" s="59" t="n">
        <f aca="false">X82*8/$U$79</f>
        <v>0.8</v>
      </c>
      <c r="Z82" s="30" t="n">
        <v>28.94</v>
      </c>
      <c r="AA82" s="30" t="n">
        <f aca="false">Y82*Z82</f>
        <v>23.152</v>
      </c>
      <c r="AB82" s="1" t="n">
        <v>47</v>
      </c>
    </row>
    <row r="83" customFormat="false" ht="15" hidden="false" customHeight="false" outlineLevel="0" collapsed="false">
      <c r="B83" s="1" t="s">
        <v>886</v>
      </c>
      <c r="F83" s="57" t="s">
        <v>132</v>
      </c>
      <c r="H83" s="59" t="n">
        <v>1.5</v>
      </c>
      <c r="I83" s="30" t="n">
        <v>39.9</v>
      </c>
      <c r="J83" s="30" t="n">
        <f aca="false">H83*I83</f>
        <v>59.85</v>
      </c>
      <c r="K83" s="1" t="n">
        <v>39</v>
      </c>
      <c r="S83" s="1" t="s">
        <v>291</v>
      </c>
      <c r="W83" s="57" t="s">
        <v>290</v>
      </c>
      <c r="X83" s="58" t="n">
        <v>1</v>
      </c>
      <c r="Y83" s="59" t="n">
        <f aca="false">X83*8/$U$79</f>
        <v>0.8</v>
      </c>
      <c r="Z83" s="30" t="n">
        <v>22.66</v>
      </c>
      <c r="AA83" s="30" t="n">
        <f aca="false">Y83*Z83</f>
        <v>18.128</v>
      </c>
      <c r="AB83" s="1" t="n">
        <v>47</v>
      </c>
    </row>
    <row r="84" customFormat="false" ht="15" hidden="false" customHeight="true" outlineLevel="0" collapsed="false">
      <c r="B84" s="1" t="s">
        <v>887</v>
      </c>
      <c r="F84" s="57" t="s">
        <v>143</v>
      </c>
      <c r="H84" s="59" t="n">
        <v>4.5</v>
      </c>
      <c r="I84" s="30" t="n">
        <v>5.66</v>
      </c>
      <c r="J84" s="30" t="n">
        <f aca="false">H84*I84</f>
        <v>25.47</v>
      </c>
      <c r="K84" s="1" t="n">
        <v>39</v>
      </c>
      <c r="S84" s="1" t="s">
        <v>292</v>
      </c>
      <c r="W84" s="57" t="s">
        <v>290</v>
      </c>
      <c r="X84" s="58" t="n">
        <v>0.5</v>
      </c>
      <c r="Y84" s="59" t="n">
        <f aca="false">X84*8/$U$79</f>
        <v>0.4</v>
      </c>
      <c r="Z84" s="30" t="n">
        <v>20.51</v>
      </c>
      <c r="AA84" s="30" t="n">
        <f aca="false">Y84*Z84</f>
        <v>8.204</v>
      </c>
      <c r="AB84" s="1" t="n">
        <v>47</v>
      </c>
    </row>
    <row r="85" customFormat="false" ht="15" hidden="false" customHeight="false" outlineLevel="0" collapsed="false">
      <c r="B85" s="1" t="s">
        <v>888</v>
      </c>
      <c r="F85" s="57" t="s">
        <v>143</v>
      </c>
      <c r="H85" s="59" t="n">
        <v>4.8102</v>
      </c>
      <c r="I85" s="1" t="n">
        <v>5.79</v>
      </c>
      <c r="J85" s="30" t="n">
        <f aca="false">H85*I85</f>
        <v>27.851058</v>
      </c>
      <c r="K85" s="1" t="n">
        <v>39</v>
      </c>
      <c r="W85" s="57"/>
      <c r="X85" s="58"/>
      <c r="Y85" s="59"/>
      <c r="AA85" s="89" t="n">
        <f aca="false">ROUND(SUM(AA82:AA84),2)</f>
        <v>49.48</v>
      </c>
    </row>
    <row r="86" customFormat="false" ht="15" hidden="false" customHeight="false" outlineLevel="0" collapsed="false">
      <c r="F86" s="57"/>
      <c r="H86" s="59"/>
      <c r="I86" s="30"/>
      <c r="J86" s="89" t="n">
        <f aca="false">ROUND(SUM(J82:J85),2)</f>
        <v>120.24</v>
      </c>
      <c r="S86" s="90" t="s">
        <v>652</v>
      </c>
      <c r="W86" s="57"/>
      <c r="X86" s="58"/>
      <c r="Y86" s="59"/>
      <c r="AA86" s="30"/>
    </row>
    <row r="87" customFormat="false" ht="15" hidden="false" customHeight="false" outlineLevel="0" collapsed="false">
      <c r="B87" s="90" t="s">
        <v>308</v>
      </c>
      <c r="S87" s="1" t="s">
        <v>685</v>
      </c>
      <c r="W87" s="57" t="s">
        <v>295</v>
      </c>
      <c r="Y87" s="59" t="n">
        <v>0.3</v>
      </c>
      <c r="Z87" s="30" t="n">
        <v>2.64</v>
      </c>
      <c r="AA87" s="30" t="n">
        <f aca="false">Y87*Z87</f>
        <v>0.792</v>
      </c>
      <c r="AB87" s="1" t="n">
        <v>2</v>
      </c>
    </row>
    <row r="88" customFormat="false" ht="15" hidden="false" customHeight="false" outlineLevel="0" collapsed="false">
      <c r="B88" s="1" t="s">
        <v>309</v>
      </c>
      <c r="F88" s="57" t="s">
        <v>310</v>
      </c>
      <c r="H88" s="59" t="n">
        <v>0.2</v>
      </c>
      <c r="I88" s="30" t="n">
        <f aca="false">J80</f>
        <v>84.01</v>
      </c>
      <c r="J88" s="30" t="n">
        <f aca="false">H88%*I88</f>
        <v>0.16802</v>
      </c>
      <c r="K88" s="1" t="n">
        <v>37</v>
      </c>
      <c r="S88" s="1" t="s">
        <v>300</v>
      </c>
      <c r="W88" s="57" t="s">
        <v>295</v>
      </c>
      <c r="Y88" s="59" t="n">
        <v>0.31</v>
      </c>
      <c r="Z88" s="30" t="n">
        <v>5.51</v>
      </c>
      <c r="AA88" s="30" t="n">
        <f aca="false">Y88*Z88</f>
        <v>1.7081</v>
      </c>
      <c r="AB88" s="1" t="n">
        <v>2</v>
      </c>
    </row>
    <row r="89" customFormat="false" ht="15" hidden="false" customHeight="false" outlineLevel="0" collapsed="false">
      <c r="A89" s="62"/>
      <c r="B89" s="62"/>
      <c r="C89" s="62"/>
      <c r="D89" s="62"/>
      <c r="E89" s="62"/>
      <c r="F89" s="62"/>
      <c r="G89" s="62"/>
      <c r="H89" s="62"/>
      <c r="I89" s="62"/>
      <c r="J89" s="91" t="n">
        <f aca="false">ROUND(SUM(J88:J88),2)</f>
        <v>0.17</v>
      </c>
      <c r="S89" s="1" t="s">
        <v>667</v>
      </c>
      <c r="W89" s="57" t="s">
        <v>304</v>
      </c>
      <c r="Y89" s="59" t="n">
        <v>3.05</v>
      </c>
      <c r="Z89" s="30" t="n">
        <v>5.8</v>
      </c>
      <c r="AA89" s="30" t="n">
        <f aca="false">Y89*Z89</f>
        <v>17.69</v>
      </c>
      <c r="AB89" s="1" t="n">
        <v>43</v>
      </c>
    </row>
    <row r="90" customFormat="false" ht="15" hidden="false" customHeight="false" outlineLevel="0" collapsed="false">
      <c r="W90" s="57"/>
      <c r="Y90" s="59"/>
      <c r="Z90" s="30"/>
      <c r="AA90" s="89" t="n">
        <f aca="false">ROUND(SUM(AA87:AA89),2)</f>
        <v>20.19</v>
      </c>
    </row>
    <row r="91" customFormat="false" ht="15" hidden="false" customHeight="false" outlineLevel="0" collapsed="false">
      <c r="A91" s="85" t="s">
        <v>276</v>
      </c>
      <c r="B91" s="85" t="str">
        <f aca="false">ARQUITECTURA!A9</f>
        <v>03.01.05</v>
      </c>
      <c r="C91" s="85" t="s">
        <v>889</v>
      </c>
      <c r="D91" s="85"/>
      <c r="S91" s="90" t="s">
        <v>308</v>
      </c>
    </row>
    <row r="92" customFormat="false" ht="15" hidden="false" customHeight="false" outlineLevel="0" collapsed="false">
      <c r="A92" s="85" t="s">
        <v>277</v>
      </c>
      <c r="B92" s="85" t="s">
        <v>278</v>
      </c>
      <c r="C92" s="87" t="s">
        <v>279</v>
      </c>
      <c r="D92" s="88" t="n">
        <v>2</v>
      </c>
      <c r="E92" s="87" t="s">
        <v>280</v>
      </c>
      <c r="F92" s="88" t="n">
        <f aca="false">D92</f>
        <v>2</v>
      </c>
      <c r="G92" s="85" t="s">
        <v>281</v>
      </c>
      <c r="I92" s="87" t="s">
        <v>132</v>
      </c>
      <c r="J92" s="89" t="n">
        <f aca="false">J99+J119+J122</f>
        <v>470.89</v>
      </c>
      <c r="S92" s="1" t="s">
        <v>309</v>
      </c>
      <c r="W92" s="57" t="s">
        <v>310</v>
      </c>
      <c r="Y92" s="59" t="n">
        <v>3</v>
      </c>
      <c r="Z92" s="30" t="n">
        <f aca="false">AA85</f>
        <v>49.48</v>
      </c>
      <c r="AA92" s="30" t="n">
        <f aca="false">Y92%*Z92</f>
        <v>1.4844</v>
      </c>
      <c r="AB92" s="1" t="n">
        <v>37</v>
      </c>
    </row>
    <row r="93" customFormat="false" ht="15" hidden="false" customHeight="false" outlineLevel="0" collapsed="false">
      <c r="A93" s="85" t="s">
        <v>282</v>
      </c>
      <c r="B93" s="85" t="s">
        <v>283</v>
      </c>
      <c r="F93" s="87" t="s">
        <v>121</v>
      </c>
      <c r="G93" s="87" t="s">
        <v>284</v>
      </c>
      <c r="H93" s="87" t="s">
        <v>285</v>
      </c>
      <c r="I93" s="87" t="s">
        <v>286</v>
      </c>
      <c r="J93" s="87" t="s">
        <v>287</v>
      </c>
      <c r="R93" s="62"/>
      <c r="S93" s="62"/>
      <c r="T93" s="62"/>
      <c r="U93" s="62"/>
      <c r="V93" s="62"/>
      <c r="W93" s="62"/>
      <c r="X93" s="62"/>
      <c r="Y93" s="62"/>
      <c r="Z93" s="62"/>
      <c r="AA93" s="91" t="n">
        <f aca="false">ROUND(SUM(AA92),2)</f>
        <v>1.48</v>
      </c>
    </row>
    <row r="94" customFormat="false" ht="15" hidden="false" customHeight="false" outlineLevel="0" collapsed="false">
      <c r="B94" s="90" t="s">
        <v>288</v>
      </c>
    </row>
    <row r="95" customFormat="false" ht="15" hidden="false" customHeight="false" outlineLevel="0" collapsed="false">
      <c r="B95" s="1" t="s">
        <v>873</v>
      </c>
      <c r="F95" s="57" t="s">
        <v>290</v>
      </c>
      <c r="G95" s="58" t="n">
        <v>0.1</v>
      </c>
      <c r="H95" s="59" t="n">
        <f aca="false">G95*8/$D$92</f>
        <v>0.4</v>
      </c>
      <c r="I95" s="30" t="n">
        <v>34.73</v>
      </c>
      <c r="J95" s="30" t="n">
        <f aca="false">H95*I95</f>
        <v>13.892</v>
      </c>
      <c r="R95" s="85" t="s">
        <v>276</v>
      </c>
      <c r="S95" s="123" t="n">
        <f aca="false">A27</f>
        <v>100000000015</v>
      </c>
      <c r="T95" s="85" t="s">
        <v>890</v>
      </c>
      <c r="U95" s="85"/>
    </row>
    <row r="96" customFormat="false" ht="15" hidden="false" customHeight="false" outlineLevel="0" collapsed="false">
      <c r="B96" s="1" t="s">
        <v>289</v>
      </c>
      <c r="F96" s="57" t="s">
        <v>290</v>
      </c>
      <c r="G96" s="58" t="n">
        <v>1</v>
      </c>
      <c r="H96" s="59" t="n">
        <f aca="false">G96*8/$D$92</f>
        <v>4</v>
      </c>
      <c r="I96" s="30" t="n">
        <v>28.94</v>
      </c>
      <c r="J96" s="30" t="n">
        <f aca="false">H96*I96</f>
        <v>115.76</v>
      </c>
      <c r="K96" s="1" t="n">
        <v>47</v>
      </c>
      <c r="R96" s="85" t="s">
        <v>277</v>
      </c>
      <c r="S96" s="85" t="s">
        <v>278</v>
      </c>
      <c r="T96" s="87" t="s">
        <v>279</v>
      </c>
      <c r="U96" s="88" t="n">
        <v>250</v>
      </c>
      <c r="V96" s="87" t="s">
        <v>280</v>
      </c>
      <c r="W96" s="88" t="n">
        <f aca="false">U96</f>
        <v>250</v>
      </c>
      <c r="X96" s="85" t="s">
        <v>281</v>
      </c>
      <c r="Z96" s="87" t="s">
        <v>132</v>
      </c>
      <c r="AA96" s="89" t="n">
        <f aca="false">AA101+AA105+AA109</f>
        <v>5.53</v>
      </c>
    </row>
    <row r="97" customFormat="false" ht="15" hidden="false" customHeight="false" outlineLevel="0" collapsed="false">
      <c r="B97" s="1" t="s">
        <v>291</v>
      </c>
      <c r="F97" s="57" t="s">
        <v>290</v>
      </c>
      <c r="G97" s="58" t="n">
        <v>0.5</v>
      </c>
      <c r="H97" s="59" t="n">
        <f aca="false">G97*8/$D$92</f>
        <v>2</v>
      </c>
      <c r="I97" s="30" t="n">
        <v>22.66</v>
      </c>
      <c r="J97" s="30" t="n">
        <f aca="false">H97*I97</f>
        <v>45.32</v>
      </c>
      <c r="K97" s="1" t="n">
        <v>47</v>
      </c>
      <c r="R97" s="85" t="s">
        <v>282</v>
      </c>
      <c r="S97" s="85" t="s">
        <v>283</v>
      </c>
      <c r="W97" s="87" t="s">
        <v>121</v>
      </c>
      <c r="X97" s="87" t="s">
        <v>284</v>
      </c>
      <c r="Y97" s="87" t="s">
        <v>285</v>
      </c>
      <c r="Z97" s="87" t="s">
        <v>286</v>
      </c>
      <c r="AA97" s="87" t="s">
        <v>287</v>
      </c>
    </row>
    <row r="98" customFormat="false" ht="15" hidden="false" customHeight="false" outlineLevel="0" collapsed="false">
      <c r="B98" s="1" t="s">
        <v>292</v>
      </c>
      <c r="F98" s="57" t="s">
        <v>290</v>
      </c>
      <c r="G98" s="58" t="n">
        <v>1</v>
      </c>
      <c r="H98" s="59" t="n">
        <f aca="false">G98*8/$D$92</f>
        <v>4</v>
      </c>
      <c r="I98" s="30" t="n">
        <v>20.51</v>
      </c>
      <c r="J98" s="30" t="n">
        <f aca="false">H98*I98</f>
        <v>82.04</v>
      </c>
      <c r="K98" s="1" t="n">
        <v>47</v>
      </c>
      <c r="S98" s="90" t="s">
        <v>288</v>
      </c>
    </row>
    <row r="99" customFormat="false" ht="15" hidden="false" customHeight="false" outlineLevel="0" collapsed="false">
      <c r="F99" s="57"/>
      <c r="G99" s="58"/>
      <c r="H99" s="59"/>
      <c r="I99" s="30"/>
      <c r="J99" s="89" t="n">
        <f aca="false">ROUND(SUM(J95:J98),2)</f>
        <v>257.01</v>
      </c>
      <c r="S99" s="1" t="s">
        <v>289</v>
      </c>
      <c r="W99" s="57" t="s">
        <v>290</v>
      </c>
      <c r="X99" s="58" t="n">
        <v>1</v>
      </c>
      <c r="Y99" s="59" t="n">
        <f aca="false">X99*8/$U$96</f>
        <v>0.032</v>
      </c>
      <c r="Z99" s="30" t="n">
        <v>28.94</v>
      </c>
      <c r="AA99" s="30" t="n">
        <f aca="false">Y99*Z99</f>
        <v>0.92608</v>
      </c>
      <c r="AB99" s="1" t="n">
        <v>47</v>
      </c>
    </row>
    <row r="100" customFormat="false" ht="15" hidden="false" customHeight="false" outlineLevel="0" collapsed="false">
      <c r="B100" s="90" t="s">
        <v>652</v>
      </c>
      <c r="F100" s="57"/>
      <c r="G100" s="58"/>
      <c r="H100" s="59"/>
      <c r="J100" s="30"/>
      <c r="S100" s="1" t="s">
        <v>675</v>
      </c>
      <c r="W100" s="57" t="s">
        <v>290</v>
      </c>
      <c r="X100" s="58" t="n">
        <v>1</v>
      </c>
      <c r="Y100" s="59" t="n">
        <f aca="false">X100*8/$U$96</f>
        <v>0.032</v>
      </c>
      <c r="Z100" s="30" t="n">
        <v>22.66</v>
      </c>
      <c r="AA100" s="30" t="n">
        <f aca="false">Y100*Z100</f>
        <v>0.72512</v>
      </c>
      <c r="AB100" s="1" t="n">
        <v>47</v>
      </c>
    </row>
    <row r="101" customFormat="false" ht="15" hidden="false" customHeight="false" outlineLevel="0" collapsed="false">
      <c r="B101" s="1" t="s">
        <v>294</v>
      </c>
      <c r="F101" s="57" t="s">
        <v>295</v>
      </c>
      <c r="H101" s="59" t="n">
        <v>0.185</v>
      </c>
      <c r="I101" s="1" t="n">
        <v>2.64</v>
      </c>
      <c r="J101" s="30" t="n">
        <f aca="false">H101*I101</f>
        <v>0.4884</v>
      </c>
      <c r="K101" s="1" t="n">
        <v>2</v>
      </c>
      <c r="W101" s="57"/>
      <c r="X101" s="58"/>
      <c r="AA101" s="89" t="n">
        <f aca="false">ROUND(SUM(AA99:AA100),2)</f>
        <v>1.65</v>
      </c>
    </row>
    <row r="102" customFormat="false" ht="15" hidden="false" customHeight="false" outlineLevel="0" collapsed="false">
      <c r="B102" s="1" t="s">
        <v>680</v>
      </c>
      <c r="F102" s="57" t="s">
        <v>295</v>
      </c>
      <c r="H102" s="1" t="n">
        <v>0.151</v>
      </c>
      <c r="I102" s="1" t="n">
        <v>2.64</v>
      </c>
      <c r="J102" s="30" t="n">
        <f aca="false">H102*I102</f>
        <v>0.39864</v>
      </c>
      <c r="K102" s="1" t="n">
        <v>2</v>
      </c>
      <c r="S102" s="127" t="s">
        <v>293</v>
      </c>
      <c r="W102" s="57"/>
      <c r="X102" s="58"/>
      <c r="Y102" s="101"/>
    </row>
    <row r="103" customFormat="false" ht="15" hidden="false" customHeight="false" outlineLevel="0" collapsed="false">
      <c r="B103" s="1" t="s">
        <v>300</v>
      </c>
      <c r="F103" s="57" t="s">
        <v>295</v>
      </c>
      <c r="H103" s="1" t="n">
        <v>0.267</v>
      </c>
      <c r="I103" s="1" t="n">
        <v>5.51</v>
      </c>
      <c r="J103" s="30" t="n">
        <f aca="false">H103*I103</f>
        <v>1.47117</v>
      </c>
      <c r="K103" s="1" t="n">
        <v>2</v>
      </c>
      <c r="S103" s="1" t="s">
        <v>294</v>
      </c>
      <c r="W103" s="57" t="s">
        <v>295</v>
      </c>
      <c r="X103" s="58"/>
      <c r="Y103" s="101" t="n">
        <v>0.03</v>
      </c>
      <c r="Z103" s="30" t="n">
        <v>2.64</v>
      </c>
      <c r="AA103" s="30" t="n">
        <f aca="false">Y103*Z103</f>
        <v>0.0792</v>
      </c>
      <c r="AB103" s="1" t="n">
        <v>2</v>
      </c>
    </row>
    <row r="104" customFormat="false" ht="15" hidden="false" customHeight="false" outlineLevel="0" collapsed="false">
      <c r="B104" s="1" t="s">
        <v>891</v>
      </c>
      <c r="F104" s="57" t="s">
        <v>295</v>
      </c>
      <c r="H104" s="1" t="n">
        <v>7.962</v>
      </c>
      <c r="I104" s="1" t="n">
        <v>3.42</v>
      </c>
      <c r="J104" s="30" t="n">
        <f aca="false">H104*I104</f>
        <v>27.23004</v>
      </c>
      <c r="K104" s="1" t="n">
        <v>3</v>
      </c>
      <c r="S104" s="1" t="s">
        <v>676</v>
      </c>
      <c r="W104" s="57" t="s">
        <v>295</v>
      </c>
      <c r="X104" s="58"/>
      <c r="Y104" s="101" t="n">
        <v>1.05</v>
      </c>
      <c r="Z104" s="30" t="n">
        <f aca="false">1012.71*3.379/1000</f>
        <v>3.42194709</v>
      </c>
      <c r="AA104" s="30" t="n">
        <f aca="false">Y104*Z104</f>
        <v>3.5930444445</v>
      </c>
      <c r="AB104" s="1" t="n">
        <v>3</v>
      </c>
    </row>
    <row r="105" customFormat="false" ht="15" hidden="false" customHeight="false" outlineLevel="0" collapsed="false">
      <c r="B105" s="1" t="s">
        <v>892</v>
      </c>
      <c r="F105" s="57" t="s">
        <v>202</v>
      </c>
      <c r="H105" s="1" t="n">
        <v>0.065</v>
      </c>
      <c r="I105" s="1" t="n">
        <v>65</v>
      </c>
      <c r="J105" s="30" t="n">
        <f aca="false">H105*I105</f>
        <v>4.225</v>
      </c>
      <c r="K105" s="1" t="n">
        <v>4</v>
      </c>
      <c r="W105" s="57"/>
      <c r="X105" s="58"/>
      <c r="AA105" s="89" t="n">
        <f aca="false">ROUND(SUM(AA103:AA104),2)</f>
        <v>3.67</v>
      </c>
    </row>
    <row r="106" customFormat="false" ht="15" hidden="false" customHeight="false" outlineLevel="0" collapsed="false">
      <c r="B106" s="1" t="s">
        <v>697</v>
      </c>
      <c r="F106" s="57" t="s">
        <v>202</v>
      </c>
      <c r="H106" s="1" t="n">
        <v>0.069</v>
      </c>
      <c r="I106" s="1" t="n">
        <v>47</v>
      </c>
      <c r="J106" s="30" t="n">
        <f aca="false">H106*I106</f>
        <v>3.243</v>
      </c>
      <c r="K106" s="1" t="n">
        <v>4</v>
      </c>
      <c r="S106" s="127" t="s">
        <v>317</v>
      </c>
      <c r="W106" s="57"/>
      <c r="X106" s="58"/>
    </row>
    <row r="107" customFormat="false" ht="15" hidden="false" customHeight="false" outlineLevel="0" collapsed="false">
      <c r="B107" s="1" t="s">
        <v>670</v>
      </c>
      <c r="F107" s="57" t="s">
        <v>202</v>
      </c>
      <c r="H107" s="1" t="n">
        <v>0.068</v>
      </c>
      <c r="I107" s="1" t="n">
        <v>55.08</v>
      </c>
      <c r="J107" s="30" t="n">
        <f aca="false">H107*I107</f>
        <v>3.74544</v>
      </c>
      <c r="K107" s="1" t="n">
        <v>5</v>
      </c>
      <c r="S107" s="1" t="s">
        <v>309</v>
      </c>
      <c r="W107" s="57" t="s">
        <v>310</v>
      </c>
      <c r="Y107" s="59" t="n">
        <v>3</v>
      </c>
      <c r="Z107" s="30" t="n">
        <f aca="false">AA101</f>
        <v>1.65</v>
      </c>
      <c r="AA107" s="30" t="n">
        <f aca="false">Y107%*Z107</f>
        <v>0.0495</v>
      </c>
      <c r="AB107" s="1" t="n">
        <v>37</v>
      </c>
    </row>
    <row r="108" customFormat="false" ht="15" hidden="false" customHeight="false" outlineLevel="0" collapsed="false">
      <c r="B108" s="1" t="s">
        <v>328</v>
      </c>
      <c r="F108" s="57" t="s">
        <v>202</v>
      </c>
      <c r="H108" s="1" t="n">
        <v>0.007</v>
      </c>
      <c r="I108" s="1" t="n">
        <v>80</v>
      </c>
      <c r="J108" s="30" t="n">
        <f aca="false">H108*I108</f>
        <v>0.56</v>
      </c>
      <c r="K108" s="1" t="n">
        <v>5</v>
      </c>
      <c r="S108" s="1" t="s">
        <v>677</v>
      </c>
      <c r="W108" s="57" t="s">
        <v>290</v>
      </c>
      <c r="X108" s="58" t="n">
        <v>1</v>
      </c>
      <c r="Y108" s="59" t="n">
        <f aca="false">X108*8/$U$96</f>
        <v>0.032</v>
      </c>
      <c r="Z108" s="65" t="n">
        <v>5</v>
      </c>
      <c r="AA108" s="30" t="n">
        <f aca="false">Y108*Z108</f>
        <v>0.16</v>
      </c>
      <c r="AB108" s="1" t="n">
        <v>37</v>
      </c>
    </row>
    <row r="109" customFormat="false" ht="15" hidden="false" customHeight="false" outlineLevel="0" collapsed="false">
      <c r="B109" s="1" t="s">
        <v>662</v>
      </c>
      <c r="F109" s="57" t="s">
        <v>202</v>
      </c>
      <c r="H109" s="1" t="n">
        <v>0.016</v>
      </c>
      <c r="I109" s="1" t="n">
        <v>6.14</v>
      </c>
      <c r="J109" s="30" t="n">
        <f aca="false">H109*I109</f>
        <v>0.09824</v>
      </c>
      <c r="K109" s="1" t="n">
        <v>30</v>
      </c>
      <c r="R109" s="62"/>
      <c r="S109" s="62"/>
      <c r="T109" s="62"/>
      <c r="U109" s="62"/>
      <c r="V109" s="62"/>
      <c r="W109" s="62"/>
      <c r="X109" s="62"/>
      <c r="Y109" s="62"/>
      <c r="Z109" s="62"/>
      <c r="AA109" s="91" t="n">
        <f aca="false">ROUND(SUM(AA107:AA108),2)</f>
        <v>0.21</v>
      </c>
    </row>
    <row r="110" customFormat="false" ht="15" hidden="false" customHeight="false" outlineLevel="0" collapsed="false">
      <c r="B110" s="1" t="s">
        <v>861</v>
      </c>
      <c r="F110" s="57" t="s">
        <v>148</v>
      </c>
      <c r="H110" s="1" t="n">
        <v>30</v>
      </c>
      <c r="I110" s="1" t="n">
        <v>1.02</v>
      </c>
      <c r="J110" s="30" t="n">
        <f aca="false">H110*I110</f>
        <v>30.6</v>
      </c>
      <c r="K110" s="1" t="n">
        <v>17</v>
      </c>
    </row>
    <row r="111" customFormat="false" ht="15" hidden="false" customHeight="false" outlineLevel="0" collapsed="false">
      <c r="B111" s="1" t="s">
        <v>893</v>
      </c>
      <c r="F111" s="57" t="s">
        <v>306</v>
      </c>
      <c r="H111" s="1" t="n">
        <v>1.505</v>
      </c>
      <c r="I111" s="1" t="n">
        <v>24.52</v>
      </c>
      <c r="J111" s="30" t="n">
        <f aca="false">H111*I111</f>
        <v>36.9026</v>
      </c>
      <c r="K111" s="1" t="n">
        <v>21</v>
      </c>
      <c r="R111" s="85" t="s">
        <v>276</v>
      </c>
      <c r="S111" s="123" t="n">
        <f aca="false">A28</f>
        <v>100000000016</v>
      </c>
      <c r="T111" s="85" t="s">
        <v>871</v>
      </c>
      <c r="U111" s="85"/>
      <c r="V111" s="85"/>
      <c r="W111" s="85"/>
      <c r="X111" s="85"/>
      <c r="Y111" s="85"/>
      <c r="Z111" s="85"/>
    </row>
    <row r="112" customFormat="false" ht="15" hidden="false" customHeight="false" outlineLevel="0" collapsed="false">
      <c r="B112" s="1" t="s">
        <v>894</v>
      </c>
      <c r="F112" s="57" t="s">
        <v>132</v>
      </c>
      <c r="H112" s="1" t="n">
        <v>1.27</v>
      </c>
      <c r="I112" s="1" t="n">
        <v>24.9</v>
      </c>
      <c r="J112" s="30" t="n">
        <f aca="false">H112*I112</f>
        <v>31.623</v>
      </c>
      <c r="K112" s="1" t="n">
        <v>24</v>
      </c>
      <c r="R112" s="85" t="s">
        <v>277</v>
      </c>
      <c r="S112" s="85" t="s">
        <v>313</v>
      </c>
      <c r="T112" s="87" t="s">
        <v>279</v>
      </c>
      <c r="U112" s="88" t="n">
        <v>40</v>
      </c>
      <c r="V112" s="87" t="s">
        <v>280</v>
      </c>
      <c r="W112" s="88" t="n">
        <f aca="false">U112</f>
        <v>40</v>
      </c>
      <c r="X112" s="85" t="s">
        <v>281</v>
      </c>
      <c r="Z112" s="87" t="s">
        <v>143</v>
      </c>
      <c r="AA112" s="89" t="n">
        <f aca="false">AA118+AA125+AA128</f>
        <v>55.35</v>
      </c>
    </row>
    <row r="113" customFormat="false" ht="15" hidden="false" customHeight="false" outlineLevel="0" collapsed="false">
      <c r="B113" s="1" t="s">
        <v>895</v>
      </c>
      <c r="F113" s="57" t="s">
        <v>295</v>
      </c>
      <c r="H113" s="1" t="n">
        <v>0.315</v>
      </c>
      <c r="I113" s="1" t="n">
        <v>7.4</v>
      </c>
      <c r="J113" s="30" t="n">
        <f aca="false">H113*I113</f>
        <v>2.331</v>
      </c>
      <c r="K113" s="1" t="n">
        <v>39</v>
      </c>
      <c r="R113" s="85" t="s">
        <v>282</v>
      </c>
      <c r="S113" s="85" t="s">
        <v>283</v>
      </c>
      <c r="W113" s="87" t="s">
        <v>121</v>
      </c>
      <c r="X113" s="87" t="s">
        <v>284</v>
      </c>
      <c r="Y113" s="87" t="s">
        <v>285</v>
      </c>
      <c r="Z113" s="87" t="s">
        <v>286</v>
      </c>
      <c r="AA113" s="87" t="s">
        <v>287</v>
      </c>
    </row>
    <row r="114" customFormat="false" ht="15" hidden="false" customHeight="false" outlineLevel="0" collapsed="false">
      <c r="B114" s="1" t="s">
        <v>896</v>
      </c>
      <c r="F114" s="57" t="s">
        <v>148</v>
      </c>
      <c r="H114" s="1" t="n">
        <v>2.29</v>
      </c>
      <c r="I114" s="1" t="n">
        <v>10.6</v>
      </c>
      <c r="J114" s="30" t="n">
        <f aca="false">H114*I114</f>
        <v>24.274</v>
      </c>
      <c r="K114" s="1" t="n">
        <v>39</v>
      </c>
      <c r="S114" s="90" t="s">
        <v>288</v>
      </c>
    </row>
    <row r="115" customFormat="false" ht="15" hidden="false" customHeight="false" outlineLevel="0" collapsed="false">
      <c r="B115" s="1" t="s">
        <v>311</v>
      </c>
      <c r="F115" s="57" t="s">
        <v>202</v>
      </c>
      <c r="H115" s="1" t="n">
        <v>0.017</v>
      </c>
      <c r="I115" s="1" t="n">
        <v>70.92</v>
      </c>
      <c r="J115" s="30" t="n">
        <f aca="false">H115*I115</f>
        <v>1.20564</v>
      </c>
      <c r="K115" s="1" t="n">
        <v>38</v>
      </c>
      <c r="S115" s="1" t="s">
        <v>649</v>
      </c>
      <c r="W115" s="57" t="s">
        <v>290</v>
      </c>
      <c r="X115" s="58" t="n">
        <v>0.1</v>
      </c>
      <c r="Y115" s="59" t="n">
        <f aca="false">X115*8/$U$112</f>
        <v>0.02</v>
      </c>
      <c r="Z115" s="30" t="n">
        <v>34.73</v>
      </c>
      <c r="AA115" s="30" t="n">
        <f aca="false">Y115*Z115</f>
        <v>0.6946</v>
      </c>
      <c r="AB115" s="1" t="n">
        <v>47</v>
      </c>
    </row>
    <row r="116" customFormat="false" ht="15" hidden="false" customHeight="false" outlineLevel="0" collapsed="false">
      <c r="B116" s="1" t="s">
        <v>307</v>
      </c>
      <c r="F116" s="57" t="s">
        <v>304</v>
      </c>
      <c r="H116" s="1" t="n">
        <v>5.075</v>
      </c>
      <c r="I116" s="1" t="n">
        <v>5.8</v>
      </c>
      <c r="J116" s="30" t="n">
        <f aca="false">H116*I116</f>
        <v>29.435</v>
      </c>
      <c r="K116" s="1" t="n">
        <v>43</v>
      </c>
      <c r="S116" s="1" t="s">
        <v>289</v>
      </c>
      <c r="W116" s="57" t="s">
        <v>290</v>
      </c>
      <c r="X116" s="58" t="n">
        <v>1</v>
      </c>
      <c r="Y116" s="59" t="n">
        <f aca="false">X116*8/$U$112</f>
        <v>0.2</v>
      </c>
      <c r="Z116" s="30" t="n">
        <v>28.94</v>
      </c>
      <c r="AA116" s="30" t="n">
        <f aca="false">Y116*Z116</f>
        <v>5.788</v>
      </c>
      <c r="AB116" s="1" t="n">
        <v>47</v>
      </c>
    </row>
    <row r="117" customFormat="false" ht="15" hidden="false" customHeight="false" outlineLevel="0" collapsed="false">
      <c r="B117" s="1" t="s">
        <v>897</v>
      </c>
      <c r="F117" s="57" t="s">
        <v>304</v>
      </c>
      <c r="H117" s="1" t="n">
        <v>0.119</v>
      </c>
      <c r="I117" s="1" t="n">
        <v>17.48</v>
      </c>
      <c r="J117" s="30" t="n">
        <f aca="false">H117*I117</f>
        <v>2.08012</v>
      </c>
      <c r="K117" s="1" t="n">
        <v>43</v>
      </c>
      <c r="S117" s="1" t="s">
        <v>675</v>
      </c>
      <c r="W117" s="57" t="s">
        <v>290</v>
      </c>
      <c r="X117" s="58" t="n">
        <v>1</v>
      </c>
      <c r="Y117" s="59" t="n">
        <f aca="false">X117*8/$U$112</f>
        <v>0.2</v>
      </c>
      <c r="Z117" s="30" t="n">
        <v>22.66</v>
      </c>
      <c r="AA117" s="30" t="n">
        <f aca="false">Y117*Z117</f>
        <v>4.532</v>
      </c>
      <c r="AB117" s="1" t="n">
        <v>47</v>
      </c>
    </row>
    <row r="118" customFormat="false" ht="15" hidden="false" customHeight="false" outlineLevel="0" collapsed="false">
      <c r="B118" s="1" t="s">
        <v>898</v>
      </c>
      <c r="F118" s="57" t="s">
        <v>899</v>
      </c>
      <c r="H118" s="1" t="n">
        <v>0.375</v>
      </c>
      <c r="I118" s="1" t="n">
        <v>35.9</v>
      </c>
      <c r="J118" s="30" t="n">
        <f aca="false">H118*I118</f>
        <v>13.4625</v>
      </c>
      <c r="K118" s="1" t="n">
        <v>44</v>
      </c>
      <c r="W118" s="57"/>
      <c r="X118" s="58"/>
      <c r="AA118" s="89" t="n">
        <f aca="false">ROUND(SUM(AA115:AA117),2)</f>
        <v>11.01</v>
      </c>
    </row>
    <row r="119" customFormat="false" ht="15" hidden="false" customHeight="false" outlineLevel="0" collapsed="false">
      <c r="F119" s="57"/>
      <c r="H119" s="59"/>
      <c r="I119" s="30"/>
      <c r="J119" s="89" t="n">
        <f aca="false">ROUND(SUM(J101:J118),2)</f>
        <v>213.37</v>
      </c>
      <c r="S119" s="127" t="s">
        <v>293</v>
      </c>
      <c r="W119" s="57"/>
      <c r="X119" s="58"/>
      <c r="Y119" s="101"/>
    </row>
    <row r="120" customFormat="false" ht="15" hidden="false" customHeight="false" outlineLevel="0" collapsed="false">
      <c r="B120" s="90" t="s">
        <v>308</v>
      </c>
      <c r="S120" s="1" t="s">
        <v>900</v>
      </c>
      <c r="W120" s="1" t="s">
        <v>339</v>
      </c>
      <c r="X120" s="58"/>
      <c r="Y120" s="1" t="n">
        <v>0.0036</v>
      </c>
      <c r="Z120" s="1" t="n">
        <v>70</v>
      </c>
      <c r="AA120" s="30" t="n">
        <f aca="false">Y120*Z120</f>
        <v>0.252</v>
      </c>
      <c r="AB120" s="1" t="n">
        <v>54</v>
      </c>
    </row>
    <row r="121" customFormat="false" ht="15" hidden="false" customHeight="false" outlineLevel="0" collapsed="false">
      <c r="B121" s="1" t="s">
        <v>309</v>
      </c>
      <c r="F121" s="57" t="s">
        <v>310</v>
      </c>
      <c r="H121" s="59" t="n">
        <v>0.2</v>
      </c>
      <c r="I121" s="30" t="n">
        <f aca="false">J99</f>
        <v>257.01</v>
      </c>
      <c r="J121" s="30" t="n">
        <f aca="false">H121%*I121</f>
        <v>0.51402</v>
      </c>
      <c r="K121" s="1" t="n">
        <v>37</v>
      </c>
      <c r="S121" s="1" t="s">
        <v>901</v>
      </c>
      <c r="W121" s="1" t="s">
        <v>330</v>
      </c>
      <c r="X121" s="58"/>
      <c r="Y121" s="1" t="n">
        <v>0.055</v>
      </c>
      <c r="Z121" s="1" t="n">
        <v>30</v>
      </c>
      <c r="AA121" s="30" t="n">
        <f aca="false">Y121*Z121</f>
        <v>1.65</v>
      </c>
      <c r="AB121" s="1" t="n">
        <v>39</v>
      </c>
    </row>
    <row r="122" customFormat="false" ht="15" hidden="false" customHeight="false" outlineLevel="0" collapsed="false">
      <c r="A122" s="62"/>
      <c r="B122" s="62"/>
      <c r="C122" s="62"/>
      <c r="D122" s="62"/>
      <c r="E122" s="62"/>
      <c r="F122" s="62"/>
      <c r="G122" s="62"/>
      <c r="H122" s="62"/>
      <c r="I122" s="62"/>
      <c r="J122" s="91" t="n">
        <f aca="false">ROUND(SUM(J121:J121),2)</f>
        <v>0.51</v>
      </c>
      <c r="S122" s="1" t="s">
        <v>902</v>
      </c>
      <c r="W122" s="1" t="s">
        <v>903</v>
      </c>
      <c r="X122" s="58"/>
      <c r="Y122" s="1" t="n">
        <v>0.365</v>
      </c>
      <c r="Z122" s="1" t="n">
        <v>27</v>
      </c>
      <c r="AA122" s="30" t="n">
        <f aca="false">Y122*Z122</f>
        <v>9.855</v>
      </c>
      <c r="AB122" s="1" t="n">
        <v>60</v>
      </c>
    </row>
    <row r="123" customFormat="false" ht="15" hidden="false" customHeight="false" outlineLevel="0" collapsed="false">
      <c r="S123" s="1" t="s">
        <v>904</v>
      </c>
      <c r="W123" s="1" t="s">
        <v>339</v>
      </c>
      <c r="Y123" s="1" t="n">
        <v>0.1</v>
      </c>
      <c r="Z123" s="1" t="n">
        <v>60</v>
      </c>
      <c r="AA123" s="30" t="n">
        <f aca="false">Y123*Z123</f>
        <v>6</v>
      </c>
      <c r="AB123" s="1" t="n">
        <v>60</v>
      </c>
    </row>
    <row r="124" customFormat="false" ht="15" hidden="false" customHeight="false" outlineLevel="0" collapsed="false">
      <c r="S124" s="1" t="s">
        <v>905</v>
      </c>
      <c r="W124" s="1" t="s">
        <v>143</v>
      </c>
      <c r="Y124" s="1" t="n">
        <v>1.05</v>
      </c>
      <c r="Z124" s="1" t="n">
        <v>25</v>
      </c>
      <c r="AA124" s="30" t="n">
        <f aca="false">Y124*Z124</f>
        <v>26.25</v>
      </c>
      <c r="AB124" s="1" t="n">
        <v>39</v>
      </c>
    </row>
    <row r="125" customFormat="false" ht="15" hidden="false" customHeight="false" outlineLevel="0" collapsed="false">
      <c r="AA125" s="89" t="n">
        <f aca="false">ROUND(SUM(AA120:AA124),2)</f>
        <v>44.01</v>
      </c>
    </row>
    <row r="126" customFormat="false" ht="15" hidden="false" customHeight="false" outlineLevel="0" collapsed="false">
      <c r="A126" s="14" t="s">
        <v>276</v>
      </c>
      <c r="B126" s="85" t="str">
        <f aca="false">ARQUITECTURA!A12</f>
        <v>03.02.01.01</v>
      </c>
      <c r="C126" s="14" t="s">
        <v>906</v>
      </c>
      <c r="D126" s="14"/>
      <c r="S126" s="127" t="s">
        <v>317</v>
      </c>
      <c r="W126" s="57"/>
      <c r="X126" s="58"/>
    </row>
    <row r="127" customFormat="false" ht="15" hidden="false" customHeight="false" outlineLevel="0" collapsed="false">
      <c r="A127" s="14" t="s">
        <v>277</v>
      </c>
      <c r="B127" s="14" t="s">
        <v>278</v>
      </c>
      <c r="C127" s="38" t="s">
        <v>279</v>
      </c>
      <c r="D127" s="54" t="n">
        <v>15</v>
      </c>
      <c r="E127" s="38" t="s">
        <v>280</v>
      </c>
      <c r="F127" s="54" t="n">
        <f aca="false">D127</f>
        <v>15</v>
      </c>
      <c r="G127" s="14" t="s">
        <v>281</v>
      </c>
      <c r="I127" s="38" t="s">
        <v>132</v>
      </c>
      <c r="J127" s="55" t="n">
        <f aca="false">J133+J142+J145</f>
        <v>27.33</v>
      </c>
      <c r="S127" s="1" t="s">
        <v>309</v>
      </c>
      <c r="W127" s="57" t="s">
        <v>310</v>
      </c>
      <c r="Y127" s="59" t="n">
        <v>3</v>
      </c>
      <c r="Z127" s="30" t="n">
        <f aca="false">AA118</f>
        <v>11.01</v>
      </c>
      <c r="AA127" s="30" t="n">
        <f aca="false">Y127%*Z127</f>
        <v>0.3303</v>
      </c>
      <c r="AB127" s="1" t="n">
        <v>37</v>
      </c>
    </row>
    <row r="128" customFormat="false" ht="15" hidden="false" customHeight="false" outlineLevel="0" collapsed="false">
      <c r="A128" s="14" t="s">
        <v>282</v>
      </c>
      <c r="B128" s="14" t="s">
        <v>283</v>
      </c>
      <c r="F128" s="38" t="s">
        <v>121</v>
      </c>
      <c r="G128" s="38" t="s">
        <v>284</v>
      </c>
      <c r="H128" s="38" t="s">
        <v>285</v>
      </c>
      <c r="I128" s="38" t="s">
        <v>286</v>
      </c>
      <c r="J128" s="38" t="s">
        <v>287</v>
      </c>
      <c r="R128" s="62"/>
      <c r="S128" s="62"/>
      <c r="T128" s="62"/>
      <c r="U128" s="62"/>
      <c r="V128" s="62"/>
      <c r="W128" s="62"/>
      <c r="X128" s="62"/>
      <c r="Y128" s="62"/>
      <c r="Z128" s="62"/>
      <c r="AA128" s="128" t="n">
        <f aca="false">ROUND(SUM(AA127),2)</f>
        <v>0.33</v>
      </c>
    </row>
    <row r="129" customFormat="false" ht="15" hidden="false" customHeight="false" outlineLevel="0" collapsed="false">
      <c r="B129" s="56" t="s">
        <v>288</v>
      </c>
    </row>
    <row r="130" customFormat="false" ht="15" hidden="false" customHeight="false" outlineLevel="0" collapsed="false">
      <c r="B130" s="1" t="s">
        <v>649</v>
      </c>
      <c r="F130" s="57" t="s">
        <v>290</v>
      </c>
      <c r="G130" s="58" t="n">
        <v>0.1</v>
      </c>
      <c r="H130" s="59" t="n">
        <f aca="false">G130*8/$D$127</f>
        <v>0.0533333333333333</v>
      </c>
      <c r="I130" s="30" t="n">
        <v>34.73</v>
      </c>
      <c r="J130" s="30" t="n">
        <f aca="false">H130*I130</f>
        <v>1.85226666666667</v>
      </c>
      <c r="K130" s="1" t="n">
        <v>47</v>
      </c>
    </row>
    <row r="131" customFormat="false" ht="15" hidden="false" customHeight="false" outlineLevel="0" collapsed="false">
      <c r="B131" s="1" t="s">
        <v>289</v>
      </c>
      <c r="F131" s="57" t="s">
        <v>290</v>
      </c>
      <c r="G131" s="58" t="n">
        <v>1</v>
      </c>
      <c r="H131" s="59" t="n">
        <f aca="false">G131*8/$D$127</f>
        <v>0.533333333333333</v>
      </c>
      <c r="I131" s="30" t="n">
        <v>28.94</v>
      </c>
      <c r="J131" s="30" t="n">
        <f aca="false">H131*I131</f>
        <v>15.4346666666667</v>
      </c>
      <c r="K131" s="1" t="n">
        <v>47</v>
      </c>
    </row>
    <row r="132" customFormat="false" ht="15" hidden="false" customHeight="false" outlineLevel="0" collapsed="false">
      <c r="B132" s="1" t="s">
        <v>292</v>
      </c>
      <c r="F132" s="57" t="s">
        <v>290</v>
      </c>
      <c r="G132" s="58" t="n">
        <v>0.33</v>
      </c>
      <c r="H132" s="59" t="n">
        <f aca="false">G132*8/$D$127</f>
        <v>0.176</v>
      </c>
      <c r="I132" s="1" t="n">
        <v>20.51</v>
      </c>
      <c r="J132" s="30" t="n">
        <f aca="false">H132*I132</f>
        <v>3.60976</v>
      </c>
      <c r="K132" s="1" t="n">
        <v>47</v>
      </c>
    </row>
    <row r="133" customFormat="false" ht="15" hidden="false" customHeight="false" outlineLevel="0" collapsed="false">
      <c r="F133" s="57"/>
      <c r="G133" s="58"/>
      <c r="H133" s="59"/>
      <c r="J133" s="55" t="n">
        <f aca="false">ROUND(SUM(J130:J132),2)</f>
        <v>20.9</v>
      </c>
    </row>
    <row r="134" customFormat="false" ht="15" hidden="false" customHeight="false" outlineLevel="0" collapsed="false">
      <c r="B134" s="56" t="s">
        <v>652</v>
      </c>
      <c r="F134" s="57"/>
      <c r="G134" s="58"/>
      <c r="H134" s="59"/>
      <c r="J134" s="30"/>
    </row>
    <row r="135" customFormat="false" ht="15" hidden="false" customHeight="false" outlineLevel="0" collapsed="false">
      <c r="B135" s="1" t="s">
        <v>892</v>
      </c>
      <c r="F135" s="57" t="s">
        <v>202</v>
      </c>
      <c r="H135" s="59" t="n">
        <v>0.0143</v>
      </c>
      <c r="I135" s="30" t="n">
        <v>65</v>
      </c>
      <c r="J135" s="30" t="n">
        <f aca="false">H135*I135</f>
        <v>0.9295</v>
      </c>
      <c r="K135" s="1" t="n">
        <v>4</v>
      </c>
    </row>
    <row r="136" customFormat="false" ht="15" hidden="false" customHeight="false" outlineLevel="0" collapsed="false">
      <c r="B136" s="1" t="s">
        <v>907</v>
      </c>
      <c r="F136" s="57" t="s">
        <v>306</v>
      </c>
      <c r="H136" s="59" t="n">
        <v>0.0562</v>
      </c>
      <c r="I136" s="30" t="n">
        <v>24.52</v>
      </c>
      <c r="J136" s="30" t="n">
        <f aca="false">H136*I136</f>
        <v>1.378024</v>
      </c>
      <c r="K136" s="1" t="n">
        <v>21</v>
      </c>
    </row>
    <row r="137" customFormat="false" ht="15" hidden="false" customHeight="false" outlineLevel="0" collapsed="false">
      <c r="B137" s="1" t="s">
        <v>908</v>
      </c>
      <c r="F137" s="57" t="s">
        <v>306</v>
      </c>
      <c r="H137" s="1" t="n">
        <v>0.0562</v>
      </c>
      <c r="I137" s="1" t="n">
        <v>38.9</v>
      </c>
      <c r="J137" s="30" t="n">
        <f aca="false">H137*I137</f>
        <v>2.18618</v>
      </c>
      <c r="K137" s="1" t="n">
        <v>30</v>
      </c>
    </row>
    <row r="138" customFormat="false" ht="15" hidden="false" customHeight="false" outlineLevel="0" collapsed="false">
      <c r="B138" s="1" t="s">
        <v>909</v>
      </c>
      <c r="F138" s="57" t="s">
        <v>148</v>
      </c>
      <c r="H138" s="59" t="n">
        <v>0.025</v>
      </c>
      <c r="I138" s="1" t="n">
        <v>6.02</v>
      </c>
      <c r="J138" s="30" t="n">
        <f aca="false">H138*I138</f>
        <v>0.1505</v>
      </c>
      <c r="K138" s="1" t="n">
        <v>37</v>
      </c>
    </row>
    <row r="139" customFormat="false" ht="15" hidden="false" customHeight="false" outlineLevel="0" collapsed="false">
      <c r="B139" s="1" t="s">
        <v>910</v>
      </c>
      <c r="F139" s="57" t="s">
        <v>304</v>
      </c>
      <c r="H139" s="1" t="n">
        <v>0.201</v>
      </c>
      <c r="I139" s="1" t="n">
        <v>5.6</v>
      </c>
      <c r="J139" s="30" t="n">
        <f aca="false">H139*I139</f>
        <v>1.1256</v>
      </c>
      <c r="K139" s="1" t="n">
        <v>43</v>
      </c>
    </row>
    <row r="140" customFormat="false" ht="15" hidden="false" customHeight="false" outlineLevel="0" collapsed="false">
      <c r="B140" s="1" t="s">
        <v>911</v>
      </c>
      <c r="F140" s="57" t="s">
        <v>295</v>
      </c>
      <c r="H140" s="59" t="n">
        <v>0.001</v>
      </c>
      <c r="I140" s="30" t="n">
        <v>5.51</v>
      </c>
      <c r="J140" s="30" t="n">
        <f aca="false">H140*I140</f>
        <v>0.00551</v>
      </c>
      <c r="K140" s="1" t="n">
        <v>2</v>
      </c>
    </row>
    <row r="141" customFormat="false" ht="15" hidden="false" customHeight="false" outlineLevel="0" collapsed="false">
      <c r="B141" s="1" t="s">
        <v>662</v>
      </c>
      <c r="F141" s="57" t="s">
        <v>202</v>
      </c>
      <c r="H141" s="59" t="n">
        <v>0.0043</v>
      </c>
      <c r="I141" s="30" t="n">
        <v>6.14</v>
      </c>
      <c r="J141" s="30" t="n">
        <f aca="false">H141*I141</f>
        <v>0.026402</v>
      </c>
      <c r="K141" s="1" t="n">
        <v>30</v>
      </c>
    </row>
    <row r="142" customFormat="false" ht="15" hidden="false" customHeight="false" outlineLevel="0" collapsed="false">
      <c r="F142" s="57"/>
      <c r="H142" s="59"/>
      <c r="I142" s="30"/>
      <c r="J142" s="55" t="n">
        <f aca="false">ROUND(SUM(J135:J141),2)</f>
        <v>5.8</v>
      </c>
    </row>
    <row r="143" customFormat="false" ht="15" hidden="false" customHeight="false" outlineLevel="0" collapsed="false">
      <c r="B143" s="56" t="s">
        <v>308</v>
      </c>
    </row>
    <row r="144" customFormat="false" ht="15" hidden="false" customHeight="false" outlineLevel="0" collapsed="false">
      <c r="B144" s="1" t="s">
        <v>309</v>
      </c>
      <c r="F144" s="57" t="s">
        <v>310</v>
      </c>
      <c r="H144" s="59" t="n">
        <v>3</v>
      </c>
      <c r="I144" s="30" t="n">
        <f aca="false">J133</f>
        <v>20.9</v>
      </c>
      <c r="J144" s="30" t="n">
        <f aca="false">H144%*I144</f>
        <v>0.627</v>
      </c>
      <c r="K144" s="1" t="n">
        <v>37</v>
      </c>
    </row>
    <row r="145" customFormat="false" ht="15" hidden="false" customHeight="false" outlineLevel="0" collapsed="false">
      <c r="A145" s="62"/>
      <c r="B145" s="62"/>
      <c r="C145" s="62"/>
      <c r="D145" s="62"/>
      <c r="E145" s="62"/>
      <c r="F145" s="62"/>
      <c r="G145" s="62"/>
      <c r="H145" s="62"/>
      <c r="I145" s="83"/>
      <c r="J145" s="63" t="n">
        <f aca="false">ROUND(SUM(J144:J144),2)</f>
        <v>0.63</v>
      </c>
    </row>
    <row r="147" customFormat="false" ht="15" hidden="false" customHeight="false" outlineLevel="0" collapsed="false">
      <c r="A147" s="14" t="s">
        <v>276</v>
      </c>
      <c r="B147" s="85" t="str">
        <f aca="false">ARQUITECTURA!A13</f>
        <v>03.02.01.02</v>
      </c>
      <c r="C147" s="14" t="s">
        <v>768</v>
      </c>
      <c r="D147" s="14"/>
      <c r="M147" s="85"/>
    </row>
    <row r="148" customFormat="false" ht="15" hidden="false" customHeight="false" outlineLevel="0" collapsed="false">
      <c r="A148" s="14" t="s">
        <v>277</v>
      </c>
      <c r="B148" s="14" t="s">
        <v>278</v>
      </c>
      <c r="C148" s="38" t="s">
        <v>279</v>
      </c>
      <c r="D148" s="54" t="n">
        <v>12</v>
      </c>
      <c r="E148" s="38" t="s">
        <v>280</v>
      </c>
      <c r="F148" s="54" t="n">
        <f aca="false">D148</f>
        <v>12</v>
      </c>
      <c r="G148" s="14" t="s">
        <v>281</v>
      </c>
      <c r="I148" s="38" t="s">
        <v>132</v>
      </c>
      <c r="J148" s="55" t="n">
        <f aca="false">J154+J162+J165</f>
        <v>36.09</v>
      </c>
      <c r="M148" s="85"/>
    </row>
    <row r="149" customFormat="false" ht="15" hidden="false" customHeight="false" outlineLevel="0" collapsed="false">
      <c r="A149" s="14" t="s">
        <v>282</v>
      </c>
      <c r="B149" s="14" t="s">
        <v>283</v>
      </c>
      <c r="F149" s="38" t="s">
        <v>121</v>
      </c>
      <c r="G149" s="38" t="s">
        <v>284</v>
      </c>
      <c r="H149" s="38" t="s">
        <v>285</v>
      </c>
      <c r="I149" s="38" t="s">
        <v>286</v>
      </c>
      <c r="J149" s="38" t="s">
        <v>287</v>
      </c>
      <c r="M149" s="85"/>
    </row>
    <row r="150" customFormat="false" ht="15" hidden="false" customHeight="false" outlineLevel="0" collapsed="false">
      <c r="B150" s="56" t="s">
        <v>288</v>
      </c>
      <c r="M150" s="85"/>
    </row>
    <row r="151" customFormat="false" ht="15" hidden="false" customHeight="false" outlineLevel="0" collapsed="false">
      <c r="B151" s="1" t="s">
        <v>649</v>
      </c>
      <c r="F151" s="57" t="s">
        <v>290</v>
      </c>
      <c r="G151" s="58" t="n">
        <v>0.1</v>
      </c>
      <c r="H151" s="59" t="n">
        <f aca="false">G151*8/$D$148</f>
        <v>0.0666666666666667</v>
      </c>
      <c r="I151" s="30" t="n">
        <v>34.73</v>
      </c>
      <c r="J151" s="30" t="n">
        <f aca="false">H151*I151</f>
        <v>2.31533333333333</v>
      </c>
      <c r="K151" s="1" t="n">
        <v>47</v>
      </c>
    </row>
    <row r="152" customFormat="false" ht="15" hidden="false" customHeight="false" outlineLevel="0" collapsed="false">
      <c r="B152" s="1" t="s">
        <v>289</v>
      </c>
      <c r="F152" s="57" t="s">
        <v>290</v>
      </c>
      <c r="G152" s="58" t="n">
        <v>1</v>
      </c>
      <c r="H152" s="59" t="n">
        <f aca="false">G152*8/$D$148</f>
        <v>0.666666666666667</v>
      </c>
      <c r="I152" s="30" t="n">
        <v>28.94</v>
      </c>
      <c r="J152" s="30" t="n">
        <f aca="false">H152*I152</f>
        <v>19.2933333333333</v>
      </c>
      <c r="K152" s="1" t="n">
        <v>47</v>
      </c>
    </row>
    <row r="153" customFormat="false" ht="15" hidden="false" customHeight="false" outlineLevel="0" collapsed="false">
      <c r="B153" s="1" t="s">
        <v>292</v>
      </c>
      <c r="F153" s="57" t="s">
        <v>290</v>
      </c>
      <c r="G153" s="58" t="n">
        <v>0.33</v>
      </c>
      <c r="H153" s="59" t="n">
        <f aca="false">G153*8/$D$148</f>
        <v>0.22</v>
      </c>
      <c r="I153" s="1" t="n">
        <v>20.51</v>
      </c>
      <c r="J153" s="30" t="n">
        <f aca="false">H153*I153</f>
        <v>4.5122</v>
      </c>
      <c r="K153" s="1" t="n">
        <v>47</v>
      </c>
    </row>
    <row r="154" customFormat="false" ht="15" hidden="false" customHeight="false" outlineLevel="0" collapsed="false">
      <c r="F154" s="57"/>
      <c r="G154" s="58"/>
      <c r="H154" s="59"/>
      <c r="J154" s="55" t="n">
        <f aca="false">ROUND(SUM(J151:J153),2)</f>
        <v>26.12</v>
      </c>
    </row>
    <row r="155" customFormat="false" ht="15" hidden="false" customHeight="false" outlineLevel="0" collapsed="false">
      <c r="B155" s="56" t="s">
        <v>652</v>
      </c>
      <c r="F155" s="57"/>
      <c r="G155" s="58"/>
      <c r="H155" s="59"/>
      <c r="J155" s="30"/>
    </row>
    <row r="156" customFormat="false" ht="15" hidden="false" customHeight="false" outlineLevel="0" collapsed="false">
      <c r="B156" s="1" t="s">
        <v>892</v>
      </c>
      <c r="F156" s="57" t="s">
        <v>202</v>
      </c>
      <c r="H156" s="59" t="n">
        <v>0.0182</v>
      </c>
      <c r="I156" s="30" t="n">
        <v>65</v>
      </c>
      <c r="J156" s="30" t="n">
        <f aca="false">H156*I156</f>
        <v>1.183</v>
      </c>
      <c r="K156" s="1" t="n">
        <v>4</v>
      </c>
    </row>
    <row r="157" customFormat="false" ht="15" hidden="false" customHeight="false" outlineLevel="0" collapsed="false">
      <c r="B157" s="1" t="s">
        <v>907</v>
      </c>
      <c r="F157" s="57" t="s">
        <v>306</v>
      </c>
      <c r="H157" s="59" t="n">
        <v>0.119</v>
      </c>
      <c r="I157" s="30" t="n">
        <v>24.52</v>
      </c>
      <c r="J157" s="30" t="n">
        <f aca="false">H157*I157</f>
        <v>2.91788</v>
      </c>
      <c r="K157" s="1" t="n">
        <v>21</v>
      </c>
    </row>
    <row r="158" customFormat="false" ht="15" hidden="false" customHeight="false" outlineLevel="0" collapsed="false">
      <c r="B158" s="1" t="s">
        <v>909</v>
      </c>
      <c r="F158" s="57" t="s">
        <v>148</v>
      </c>
      <c r="H158" s="59" t="n">
        <v>0.025</v>
      </c>
      <c r="I158" s="1" t="n">
        <v>6.02</v>
      </c>
      <c r="J158" s="30" t="n">
        <f aca="false">H158*I158</f>
        <v>0.1505</v>
      </c>
      <c r="K158" s="1" t="n">
        <v>37</v>
      </c>
    </row>
    <row r="159" customFormat="false" ht="15" hidden="false" customHeight="false" outlineLevel="0" collapsed="false">
      <c r="B159" s="1" t="s">
        <v>910</v>
      </c>
      <c r="F159" s="57" t="s">
        <v>304</v>
      </c>
      <c r="H159" s="1" t="n">
        <v>0.85</v>
      </c>
      <c r="I159" s="1" t="n">
        <v>5.6</v>
      </c>
      <c r="J159" s="30" t="n">
        <f aca="false">H159*I159</f>
        <v>4.76</v>
      </c>
      <c r="K159" s="1" t="n">
        <v>43</v>
      </c>
    </row>
    <row r="160" customFormat="false" ht="15" hidden="false" customHeight="false" outlineLevel="0" collapsed="false">
      <c r="B160" s="1" t="s">
        <v>911</v>
      </c>
      <c r="F160" s="57" t="s">
        <v>295</v>
      </c>
      <c r="H160" s="59" t="n">
        <v>0.022</v>
      </c>
      <c r="I160" s="30" t="n">
        <v>5.51</v>
      </c>
      <c r="J160" s="30" t="n">
        <f aca="false">H160*I160</f>
        <v>0.12122</v>
      </c>
      <c r="K160" s="1" t="n">
        <v>2</v>
      </c>
    </row>
    <row r="161" customFormat="false" ht="15" hidden="false" customHeight="false" outlineLevel="0" collapsed="false">
      <c r="B161" s="1" t="s">
        <v>662</v>
      </c>
      <c r="F161" s="57" t="s">
        <v>202</v>
      </c>
      <c r="H161" s="59" t="n">
        <v>0.01</v>
      </c>
      <c r="I161" s="30" t="n">
        <v>6.14</v>
      </c>
      <c r="J161" s="30" t="n">
        <f aca="false">H161*I161</f>
        <v>0.0614</v>
      </c>
      <c r="K161" s="1" t="n">
        <v>30</v>
      </c>
    </row>
    <row r="162" customFormat="false" ht="15" hidden="false" customHeight="false" outlineLevel="0" collapsed="false">
      <c r="F162" s="57"/>
      <c r="H162" s="59"/>
      <c r="I162" s="30"/>
      <c r="J162" s="55" t="n">
        <f aca="false">ROUND(SUM(J156:J161),2)</f>
        <v>9.19</v>
      </c>
    </row>
    <row r="163" customFormat="false" ht="15" hidden="false" customHeight="false" outlineLevel="0" collapsed="false">
      <c r="B163" s="56" t="s">
        <v>308</v>
      </c>
    </row>
    <row r="164" customFormat="false" ht="15" hidden="false" customHeight="true" outlineLevel="0" collapsed="false">
      <c r="B164" s="1" t="s">
        <v>309</v>
      </c>
      <c r="F164" s="57" t="s">
        <v>310</v>
      </c>
      <c r="H164" s="59" t="n">
        <v>3</v>
      </c>
      <c r="I164" s="30" t="n">
        <f aca="false">J154</f>
        <v>26.12</v>
      </c>
      <c r="J164" s="30" t="n">
        <f aca="false">H164%*I164</f>
        <v>0.7836</v>
      </c>
      <c r="K164" s="1" t="n">
        <v>37</v>
      </c>
    </row>
    <row r="165" customFormat="false" ht="15" hidden="false" customHeight="false" outlineLevel="0" collapsed="false">
      <c r="A165" s="62"/>
      <c r="B165" s="62"/>
      <c r="C165" s="62"/>
      <c r="D165" s="62"/>
      <c r="E165" s="62"/>
      <c r="F165" s="62"/>
      <c r="G165" s="62"/>
      <c r="H165" s="62"/>
      <c r="I165" s="83"/>
      <c r="J165" s="63" t="n">
        <f aca="false">ROUND(SUM(J164:J164),2)</f>
        <v>0.78</v>
      </c>
    </row>
    <row r="166" customFormat="false" ht="15" hidden="false" customHeight="false" outlineLevel="0" collapsed="false">
      <c r="I166" s="14"/>
      <c r="J166" s="55"/>
    </row>
    <row r="167" customFormat="false" ht="15" hidden="false" customHeight="false" outlineLevel="0" collapsed="false">
      <c r="A167" s="14" t="s">
        <v>276</v>
      </c>
      <c r="B167" s="85" t="str">
        <f aca="false">ARQUITECTURA!A15</f>
        <v>03.02.02.01</v>
      </c>
      <c r="C167" s="14" t="s">
        <v>772</v>
      </c>
      <c r="D167" s="14"/>
    </row>
    <row r="168" customFormat="false" ht="15" hidden="false" customHeight="false" outlineLevel="0" collapsed="false">
      <c r="A168" s="14" t="s">
        <v>277</v>
      </c>
      <c r="B168" s="14" t="s">
        <v>278</v>
      </c>
      <c r="C168" s="38" t="s">
        <v>279</v>
      </c>
      <c r="D168" s="54" t="n">
        <v>8</v>
      </c>
      <c r="E168" s="38" t="s">
        <v>280</v>
      </c>
      <c r="F168" s="54" t="n">
        <f aca="false">D168</f>
        <v>8</v>
      </c>
      <c r="G168" s="14" t="s">
        <v>281</v>
      </c>
      <c r="I168" s="38" t="s">
        <v>132</v>
      </c>
      <c r="J168" s="55" t="n">
        <f aca="false">J174+J182+J185</f>
        <v>90.83</v>
      </c>
    </row>
    <row r="169" customFormat="false" ht="15" hidden="false" customHeight="false" outlineLevel="0" collapsed="false">
      <c r="A169" s="14" t="s">
        <v>282</v>
      </c>
      <c r="B169" s="14" t="s">
        <v>283</v>
      </c>
      <c r="F169" s="38" t="s">
        <v>121</v>
      </c>
      <c r="G169" s="38" t="s">
        <v>284</v>
      </c>
      <c r="H169" s="38" t="s">
        <v>285</v>
      </c>
      <c r="I169" s="38" t="s">
        <v>286</v>
      </c>
      <c r="J169" s="38" t="s">
        <v>287</v>
      </c>
    </row>
    <row r="170" customFormat="false" ht="15" hidden="false" customHeight="false" outlineLevel="0" collapsed="false">
      <c r="B170" s="56" t="s">
        <v>288</v>
      </c>
    </row>
    <row r="171" customFormat="false" ht="15" hidden="false" customHeight="false" outlineLevel="0" collapsed="false">
      <c r="B171" s="1" t="s">
        <v>649</v>
      </c>
      <c r="F171" s="57" t="s">
        <v>290</v>
      </c>
      <c r="G171" s="58" t="n">
        <v>0.1</v>
      </c>
      <c r="H171" s="59" t="n">
        <f aca="false">G171*8/$D$168</f>
        <v>0.1</v>
      </c>
      <c r="I171" s="30" t="n">
        <v>34.73</v>
      </c>
      <c r="J171" s="30" t="n">
        <f aca="false">H171*I171</f>
        <v>3.473</v>
      </c>
      <c r="K171" s="1" t="n">
        <v>47</v>
      </c>
    </row>
    <row r="172" customFormat="false" ht="15" hidden="false" customHeight="false" outlineLevel="0" collapsed="false">
      <c r="B172" s="1" t="s">
        <v>289</v>
      </c>
      <c r="F172" s="57" t="s">
        <v>290</v>
      </c>
      <c r="G172" s="58" t="n">
        <v>1</v>
      </c>
      <c r="H172" s="59" t="n">
        <f aca="false">G172*8/$D$168</f>
        <v>1</v>
      </c>
      <c r="I172" s="30" t="n">
        <v>28.94</v>
      </c>
      <c r="J172" s="30" t="n">
        <f aca="false">H172*I172</f>
        <v>28.94</v>
      </c>
      <c r="K172" s="1" t="n">
        <v>47</v>
      </c>
    </row>
    <row r="173" customFormat="false" ht="15" hidden="false" customHeight="false" outlineLevel="0" collapsed="false">
      <c r="B173" s="1" t="s">
        <v>292</v>
      </c>
      <c r="F173" s="57" t="s">
        <v>290</v>
      </c>
      <c r="G173" s="58" t="n">
        <v>0.5</v>
      </c>
      <c r="H173" s="59" t="n">
        <f aca="false">G173*8/$D$168</f>
        <v>0.5</v>
      </c>
      <c r="I173" s="1" t="n">
        <v>20.51</v>
      </c>
      <c r="J173" s="30" t="n">
        <f aca="false">H173*I173</f>
        <v>10.255</v>
      </c>
      <c r="K173" s="1" t="n">
        <v>47</v>
      </c>
    </row>
    <row r="174" customFormat="false" ht="15" hidden="false" customHeight="false" outlineLevel="0" collapsed="false">
      <c r="F174" s="57"/>
      <c r="G174" s="58"/>
      <c r="H174" s="59"/>
      <c r="J174" s="55" t="n">
        <f aca="false">ROUND(SUM(J171:J173),2)</f>
        <v>42.67</v>
      </c>
    </row>
    <row r="175" customFormat="false" ht="15" hidden="false" customHeight="false" outlineLevel="0" collapsed="false">
      <c r="B175" s="56" t="s">
        <v>652</v>
      </c>
      <c r="F175" s="57"/>
      <c r="G175" s="58"/>
      <c r="H175" s="59"/>
      <c r="J175" s="30"/>
      <c r="S175" s="129"/>
      <c r="T175" s="130"/>
      <c r="U175" s="131"/>
      <c r="V175" s="132"/>
    </row>
    <row r="176" customFormat="false" ht="15" hidden="false" customHeight="false" outlineLevel="0" collapsed="false">
      <c r="B176" s="1" t="s">
        <v>912</v>
      </c>
      <c r="F176" s="57" t="s">
        <v>295</v>
      </c>
      <c r="H176" s="59" t="n">
        <v>0.63</v>
      </c>
      <c r="I176" s="59" t="n">
        <v>7.4</v>
      </c>
      <c r="J176" s="30" t="n">
        <f aca="false">H176*I176</f>
        <v>4.662</v>
      </c>
      <c r="K176" s="1" t="n">
        <v>30</v>
      </c>
      <c r="S176" s="129"/>
      <c r="T176" s="130"/>
      <c r="U176" s="131"/>
      <c r="V176" s="132"/>
    </row>
    <row r="177" customFormat="false" ht="135.8" hidden="false" customHeight="false" outlineLevel="0" collapsed="false">
      <c r="B177" s="133" t="s">
        <v>913</v>
      </c>
      <c r="F177" s="57" t="s">
        <v>306</v>
      </c>
      <c r="H177" s="1" t="n">
        <v>0.336</v>
      </c>
      <c r="I177" s="59" t="n">
        <v>28.25</v>
      </c>
      <c r="J177" s="30" t="n">
        <f aca="false">H177*I177</f>
        <v>9.492</v>
      </c>
      <c r="K177" s="1" t="n">
        <v>30</v>
      </c>
      <c r="S177" s="129"/>
      <c r="T177" s="130"/>
      <c r="U177" s="131"/>
      <c r="V177" s="132"/>
    </row>
    <row r="178" customFormat="false" ht="15" hidden="false" customHeight="false" outlineLevel="0" collapsed="false">
      <c r="B178" s="1" t="s">
        <v>914</v>
      </c>
      <c r="F178" s="57" t="s">
        <v>132</v>
      </c>
      <c r="H178" s="59" t="n">
        <v>1.15</v>
      </c>
      <c r="I178" s="59" t="n">
        <v>24.9</v>
      </c>
      <c r="J178" s="30" t="n">
        <f aca="false">H178*I178</f>
        <v>28.635</v>
      </c>
      <c r="K178" s="1" t="n">
        <v>24</v>
      </c>
      <c r="S178" s="129"/>
      <c r="T178" s="130"/>
      <c r="U178" s="131"/>
      <c r="V178" s="132"/>
    </row>
    <row r="179" customFormat="false" ht="15" hidden="false" customHeight="true" outlineLevel="0" collapsed="false">
      <c r="B179" s="1" t="s">
        <v>915</v>
      </c>
      <c r="F179" s="57" t="s">
        <v>306</v>
      </c>
      <c r="H179" s="59" t="n">
        <v>0.2</v>
      </c>
      <c r="I179" s="59" t="n">
        <v>8.5</v>
      </c>
      <c r="J179" s="30" t="n">
        <f aca="false">H179*I179</f>
        <v>1.7</v>
      </c>
      <c r="K179" s="1" t="n">
        <v>43</v>
      </c>
      <c r="S179" s="129"/>
      <c r="T179" s="130"/>
      <c r="U179" s="131"/>
      <c r="V179" s="132"/>
    </row>
    <row r="180" customFormat="false" ht="15" hidden="false" customHeight="false" outlineLevel="0" collapsed="false">
      <c r="B180" s="1" t="s">
        <v>916</v>
      </c>
      <c r="F180" s="1" t="s">
        <v>148</v>
      </c>
      <c r="H180" s="1" t="n">
        <v>0.021</v>
      </c>
      <c r="I180" s="59" t="n">
        <v>112</v>
      </c>
      <c r="J180" s="30" t="n">
        <f aca="false">H180*I180</f>
        <v>2.352</v>
      </c>
      <c r="K180" s="1" t="n">
        <v>37</v>
      </c>
      <c r="S180" s="129"/>
      <c r="T180" s="130"/>
      <c r="U180" s="131"/>
      <c r="V180" s="132"/>
    </row>
    <row r="181" customFormat="false" ht="15" hidden="false" customHeight="false" outlineLevel="0" collapsed="false">
      <c r="B181" s="1" t="s">
        <v>662</v>
      </c>
      <c r="F181" s="57" t="s">
        <v>202</v>
      </c>
      <c r="H181" s="59" t="n">
        <v>0.006</v>
      </c>
      <c r="I181" s="59" t="n">
        <v>6.14</v>
      </c>
      <c r="J181" s="30" t="n">
        <f aca="false">H181*I181</f>
        <v>0.03684</v>
      </c>
      <c r="K181" s="1" t="n">
        <v>30</v>
      </c>
    </row>
    <row r="182" customFormat="false" ht="15" hidden="false" customHeight="false" outlineLevel="0" collapsed="false">
      <c r="F182" s="57"/>
      <c r="H182" s="59"/>
      <c r="I182" s="30"/>
      <c r="J182" s="55" t="n">
        <f aca="false">ROUND(SUM(J176:J181),2)</f>
        <v>46.88</v>
      </c>
    </row>
    <row r="183" customFormat="false" ht="15" hidden="false" customHeight="false" outlineLevel="0" collapsed="false">
      <c r="B183" s="56" t="s">
        <v>308</v>
      </c>
    </row>
    <row r="184" customFormat="false" ht="15" hidden="false" customHeight="false" outlineLevel="0" collapsed="false">
      <c r="B184" s="1" t="s">
        <v>309</v>
      </c>
      <c r="F184" s="57" t="s">
        <v>310</v>
      </c>
      <c r="H184" s="59" t="n">
        <v>3</v>
      </c>
      <c r="I184" s="30" t="n">
        <f aca="false">J174</f>
        <v>42.67</v>
      </c>
      <c r="J184" s="30" t="n">
        <f aca="false">H184%*I184</f>
        <v>1.2801</v>
      </c>
      <c r="K184" s="1" t="n">
        <v>37</v>
      </c>
    </row>
    <row r="185" customFormat="false" ht="15" hidden="false" customHeight="false" outlineLevel="0" collapsed="false">
      <c r="A185" s="62"/>
      <c r="B185" s="62"/>
      <c r="C185" s="62"/>
      <c r="D185" s="62"/>
      <c r="E185" s="62"/>
      <c r="F185" s="62"/>
      <c r="G185" s="62"/>
      <c r="H185" s="62"/>
      <c r="I185" s="83"/>
      <c r="J185" s="63" t="n">
        <f aca="false">ROUND(SUM(J184),2)</f>
        <v>1.28</v>
      </c>
    </row>
    <row r="187" customFormat="false" ht="15" hidden="false" customHeight="false" outlineLevel="0" collapsed="false">
      <c r="A187" s="14" t="s">
        <v>276</v>
      </c>
      <c r="B187" s="85" t="str">
        <f aca="false">ARQUITECTURA!A17</f>
        <v>03.02.03.01</v>
      </c>
      <c r="C187" s="14" t="s">
        <v>917</v>
      </c>
      <c r="D187" s="14"/>
    </row>
    <row r="188" customFormat="false" ht="15" hidden="false" customHeight="false" outlineLevel="0" collapsed="false">
      <c r="A188" s="14" t="s">
        <v>277</v>
      </c>
      <c r="B188" s="14" t="s">
        <v>278</v>
      </c>
      <c r="C188" s="38" t="s">
        <v>279</v>
      </c>
      <c r="D188" s="54" t="n">
        <v>15</v>
      </c>
      <c r="E188" s="38" t="s">
        <v>280</v>
      </c>
      <c r="F188" s="54" t="n">
        <f aca="false">D188</f>
        <v>15</v>
      </c>
      <c r="G188" s="14" t="s">
        <v>281</v>
      </c>
      <c r="I188" s="38" t="s">
        <v>132</v>
      </c>
      <c r="J188" s="55" t="n">
        <f aca="false">J196+J205+J209</f>
        <v>213.2</v>
      </c>
    </row>
    <row r="189" customFormat="false" ht="15" hidden="false" customHeight="false" outlineLevel="0" collapsed="false">
      <c r="A189" s="14" t="s">
        <v>282</v>
      </c>
      <c r="B189" s="14" t="s">
        <v>283</v>
      </c>
      <c r="F189" s="38" t="s">
        <v>121</v>
      </c>
      <c r="G189" s="38" t="s">
        <v>284</v>
      </c>
      <c r="H189" s="38" t="s">
        <v>285</v>
      </c>
      <c r="I189" s="38" t="s">
        <v>286</v>
      </c>
      <c r="J189" s="38" t="s">
        <v>287</v>
      </c>
    </row>
    <row r="190" customFormat="false" ht="15" hidden="false" customHeight="false" outlineLevel="0" collapsed="false">
      <c r="B190" s="56" t="s">
        <v>288</v>
      </c>
    </row>
    <row r="191" customFormat="false" ht="15" hidden="false" customHeight="false" outlineLevel="0" collapsed="false">
      <c r="F191" s="57"/>
      <c r="G191" s="58"/>
      <c r="H191" s="59"/>
      <c r="I191" s="49"/>
      <c r="J191" s="30"/>
    </row>
    <row r="192" customFormat="false" ht="15" hidden="false" customHeight="false" outlineLevel="0" collapsed="false">
      <c r="B192" s="1" t="s">
        <v>649</v>
      </c>
      <c r="F192" s="57" t="s">
        <v>290</v>
      </c>
      <c r="G192" s="58" t="n">
        <v>0.1</v>
      </c>
      <c r="H192" s="59" t="n">
        <f aca="false">G192*8/$D$188</f>
        <v>0.0533333333333333</v>
      </c>
      <c r="I192" s="30" t="n">
        <v>34.73</v>
      </c>
      <c r="J192" s="30" t="n">
        <f aca="false">H192*I192</f>
        <v>1.85226666666667</v>
      </c>
      <c r="K192" s="1" t="n">
        <v>47</v>
      </c>
    </row>
    <row r="193" customFormat="false" ht="15" hidden="false" customHeight="false" outlineLevel="0" collapsed="false">
      <c r="B193" s="1" t="s">
        <v>289</v>
      </c>
      <c r="F193" s="57" t="s">
        <v>290</v>
      </c>
      <c r="G193" s="58" t="n">
        <v>1</v>
      </c>
      <c r="H193" s="59" t="n">
        <f aca="false">G193*8/$D$188</f>
        <v>0.533333333333333</v>
      </c>
      <c r="I193" s="30" t="n">
        <v>28.94</v>
      </c>
      <c r="J193" s="30" t="n">
        <f aca="false">H193*I193</f>
        <v>15.4346666666667</v>
      </c>
      <c r="K193" s="1" t="n">
        <v>47</v>
      </c>
    </row>
    <row r="194" customFormat="false" ht="15" hidden="false" customHeight="false" outlineLevel="0" collapsed="false">
      <c r="B194" s="1" t="s">
        <v>675</v>
      </c>
      <c r="F194" s="57" t="s">
        <v>290</v>
      </c>
      <c r="G194" s="58" t="n">
        <v>1</v>
      </c>
      <c r="H194" s="59" t="n">
        <f aca="false">G194*8/$D$188</f>
        <v>0.533333333333333</v>
      </c>
      <c r="I194" s="30" t="n">
        <v>22.66</v>
      </c>
      <c r="J194" s="30" t="n">
        <f aca="false">H194*I194</f>
        <v>12.0853333333333</v>
      </c>
      <c r="K194" s="1" t="n">
        <v>47</v>
      </c>
    </row>
    <row r="195" customFormat="false" ht="15" hidden="false" customHeight="false" outlineLevel="0" collapsed="false">
      <c r="B195" s="1" t="s">
        <v>292</v>
      </c>
      <c r="F195" s="57" t="s">
        <v>290</v>
      </c>
      <c r="G195" s="58" t="n">
        <v>1</v>
      </c>
      <c r="H195" s="59" t="n">
        <f aca="false">G195*8/$D$188</f>
        <v>0.533333333333333</v>
      </c>
      <c r="I195" s="30" t="n">
        <v>20.51</v>
      </c>
      <c r="J195" s="30" t="n">
        <f aca="false">H195*I195</f>
        <v>10.9386666666667</v>
      </c>
      <c r="K195" s="1" t="n">
        <v>47</v>
      </c>
    </row>
    <row r="196" customFormat="false" ht="15" hidden="false" customHeight="false" outlineLevel="0" collapsed="false">
      <c r="F196" s="57"/>
      <c r="J196" s="55" t="n">
        <f aca="false">ROUND(SUM(J192:J195),2)</f>
        <v>40.31</v>
      </c>
    </row>
    <row r="197" customFormat="false" ht="15" hidden="false" customHeight="false" outlineLevel="0" collapsed="false">
      <c r="B197" s="56" t="s">
        <v>652</v>
      </c>
    </row>
    <row r="198" customFormat="false" ht="15" hidden="false" customHeight="false" outlineLevel="0" collapsed="false">
      <c r="B198" s="1" t="s">
        <v>918</v>
      </c>
      <c r="F198" s="57" t="s">
        <v>295</v>
      </c>
      <c r="H198" s="1" t="n">
        <v>0.046</v>
      </c>
      <c r="I198" s="1" t="n">
        <v>0.37</v>
      </c>
      <c r="J198" s="30" t="n">
        <f aca="false">H198*I198</f>
        <v>0.01702</v>
      </c>
      <c r="K198" s="1" t="n">
        <v>2</v>
      </c>
    </row>
    <row r="199" customFormat="false" ht="15" hidden="false" customHeight="false" outlineLevel="0" collapsed="false">
      <c r="B199" s="1" t="s">
        <v>919</v>
      </c>
      <c r="F199" s="57" t="s">
        <v>330</v>
      </c>
      <c r="H199" s="1" t="n">
        <v>0.3577</v>
      </c>
      <c r="I199" s="1" t="n">
        <v>5.59</v>
      </c>
      <c r="J199" s="30" t="n">
        <f aca="false">H199*I199</f>
        <v>1.999543</v>
      </c>
      <c r="K199" s="1" t="n">
        <v>39</v>
      </c>
    </row>
    <row r="200" customFormat="false" ht="15" hidden="false" customHeight="false" outlineLevel="0" collapsed="false">
      <c r="B200" s="1" t="s">
        <v>920</v>
      </c>
      <c r="F200" s="57" t="s">
        <v>330</v>
      </c>
      <c r="H200" s="1" t="n">
        <v>1.4583</v>
      </c>
      <c r="I200" s="1" t="n">
        <v>1.27</v>
      </c>
      <c r="J200" s="30" t="n">
        <f aca="false">H200*I200</f>
        <v>1.852041</v>
      </c>
      <c r="K200" s="1" t="n">
        <v>39</v>
      </c>
    </row>
    <row r="201" customFormat="false" ht="15" hidden="false" customHeight="false" outlineLevel="0" collapsed="false">
      <c r="B201" s="1" t="s">
        <v>921</v>
      </c>
      <c r="F201" s="57" t="s">
        <v>330</v>
      </c>
      <c r="H201" s="1" t="n">
        <v>1.4583</v>
      </c>
      <c r="I201" s="1" t="n">
        <v>2.54</v>
      </c>
      <c r="J201" s="30" t="n">
        <f aca="false">H201*I201</f>
        <v>3.704082</v>
      </c>
      <c r="K201" s="1" t="n">
        <v>39</v>
      </c>
    </row>
    <row r="202" customFormat="false" ht="15" hidden="false" customHeight="false" outlineLevel="0" collapsed="false">
      <c r="B202" s="1" t="s">
        <v>922</v>
      </c>
      <c r="F202" s="57" t="s">
        <v>330</v>
      </c>
      <c r="H202" s="1" t="n">
        <v>0.2917</v>
      </c>
      <c r="I202" s="1" t="n">
        <v>9.32</v>
      </c>
      <c r="J202" s="30" t="n">
        <f aca="false">H202*I202</f>
        <v>2.718644</v>
      </c>
      <c r="K202" s="1" t="n">
        <v>39</v>
      </c>
    </row>
    <row r="203" customFormat="false" ht="15" hidden="false" customHeight="false" outlineLevel="0" collapsed="false">
      <c r="B203" s="1" t="s">
        <v>923</v>
      </c>
      <c r="F203" s="57" t="s">
        <v>148</v>
      </c>
      <c r="H203" s="1" t="n">
        <v>1.6458</v>
      </c>
      <c r="I203" s="1" t="n">
        <v>0.58</v>
      </c>
      <c r="J203" s="30" t="n">
        <f aca="false">H203*I203</f>
        <v>0.954564</v>
      </c>
      <c r="K203" s="1" t="n">
        <v>26</v>
      </c>
    </row>
    <row r="204" customFormat="false" ht="15" hidden="false" customHeight="false" outlineLevel="0" collapsed="false">
      <c r="B204" s="1" t="s">
        <v>924</v>
      </c>
      <c r="F204" s="57" t="s">
        <v>132</v>
      </c>
      <c r="H204" s="1" t="n">
        <v>1.05</v>
      </c>
      <c r="I204" s="1" t="n">
        <v>150</v>
      </c>
      <c r="J204" s="30" t="n">
        <f aca="false">H204*I204</f>
        <v>157.5</v>
      </c>
      <c r="K204" s="1" t="n">
        <v>39</v>
      </c>
    </row>
    <row r="205" customFormat="false" ht="15" hidden="false" customHeight="false" outlineLevel="0" collapsed="false">
      <c r="H205" s="59"/>
      <c r="I205" s="30"/>
      <c r="J205" s="55" t="n">
        <f aca="false">ROUND(SUM(J198:J204),2)</f>
        <v>168.75</v>
      </c>
    </row>
    <row r="206" customFormat="false" ht="15" hidden="false" customHeight="false" outlineLevel="0" collapsed="false">
      <c r="B206" s="56" t="s">
        <v>308</v>
      </c>
    </row>
    <row r="207" customFormat="false" ht="15" hidden="false" customHeight="false" outlineLevel="0" collapsed="false">
      <c r="B207" s="1" t="s">
        <v>925</v>
      </c>
      <c r="F207" s="57" t="s">
        <v>337</v>
      </c>
      <c r="G207" s="58" t="n">
        <v>1</v>
      </c>
      <c r="H207" s="59" t="n">
        <f aca="false">G207*8/$D$188</f>
        <v>0.533333333333333</v>
      </c>
      <c r="I207" s="30" t="n">
        <v>5.5</v>
      </c>
      <c r="J207" s="30" t="n">
        <f aca="false">H207*I207</f>
        <v>2.93333333333333</v>
      </c>
      <c r="K207" s="1" t="n">
        <v>39</v>
      </c>
    </row>
    <row r="208" customFormat="false" ht="15" hidden="false" customHeight="false" outlineLevel="0" collapsed="false">
      <c r="B208" s="1" t="s">
        <v>309</v>
      </c>
      <c r="F208" s="57" t="s">
        <v>310</v>
      </c>
      <c r="H208" s="59" t="n">
        <v>3</v>
      </c>
      <c r="I208" s="30" t="n">
        <f aca="false">J196</f>
        <v>40.31</v>
      </c>
      <c r="J208" s="30" t="n">
        <f aca="false">H208%*I208</f>
        <v>1.2093</v>
      </c>
      <c r="K208" s="1" t="n">
        <v>37</v>
      </c>
    </row>
    <row r="209" customFormat="false" ht="15" hidden="false" customHeight="false" outlineLevel="0" collapsed="false">
      <c r="A209" s="62"/>
      <c r="B209" s="62"/>
      <c r="C209" s="62"/>
      <c r="D209" s="62"/>
      <c r="E209" s="62"/>
      <c r="F209" s="62"/>
      <c r="G209" s="62"/>
      <c r="H209" s="62"/>
      <c r="I209" s="83"/>
      <c r="J209" s="63" t="n">
        <f aca="false">ROUND(SUM(J207:J208),2)</f>
        <v>4.14</v>
      </c>
    </row>
    <row r="210" customFormat="false" ht="15" hidden="false" customHeight="false" outlineLevel="0" collapsed="false">
      <c r="I210" s="14"/>
      <c r="J210" s="55"/>
    </row>
    <row r="211" customFormat="false" ht="15" hidden="false" customHeight="false" outlineLevel="0" collapsed="false">
      <c r="A211" s="85" t="s">
        <v>276</v>
      </c>
      <c r="B211" s="85" t="str">
        <f aca="false">ARQUITECTURA!A18</f>
        <v>03.02.03.02</v>
      </c>
      <c r="C211" s="85" t="s">
        <v>778</v>
      </c>
    </row>
    <row r="212" customFormat="false" ht="15" hidden="false" customHeight="false" outlineLevel="0" collapsed="false">
      <c r="A212" s="85" t="s">
        <v>277</v>
      </c>
      <c r="B212" s="85" t="s">
        <v>926</v>
      </c>
      <c r="C212" s="87" t="s">
        <v>279</v>
      </c>
      <c r="D212" s="88" t="n">
        <v>8</v>
      </c>
      <c r="E212" s="87" t="s">
        <v>280</v>
      </c>
      <c r="F212" s="88" t="n">
        <f aca="false">D212</f>
        <v>8</v>
      </c>
      <c r="G212" s="85" t="s">
        <v>281</v>
      </c>
      <c r="I212" s="87" t="s">
        <v>132</v>
      </c>
      <c r="J212" s="89" t="n">
        <f aca="false">J218+J225+J229</f>
        <v>61.77</v>
      </c>
    </row>
    <row r="213" customFormat="false" ht="15" hidden="false" customHeight="false" outlineLevel="0" collapsed="false">
      <c r="A213" s="85" t="s">
        <v>282</v>
      </c>
      <c r="B213" s="85" t="s">
        <v>283</v>
      </c>
      <c r="F213" s="87" t="s">
        <v>121</v>
      </c>
      <c r="G213" s="87" t="s">
        <v>284</v>
      </c>
      <c r="H213" s="87" t="s">
        <v>285</v>
      </c>
      <c r="I213" s="87" t="s">
        <v>286</v>
      </c>
      <c r="J213" s="87" t="s">
        <v>287</v>
      </c>
      <c r="M213" s="85"/>
      <c r="N213" s="85"/>
    </row>
    <row r="214" customFormat="false" ht="15" hidden="false" customHeight="false" outlineLevel="0" collapsed="false">
      <c r="B214" s="90" t="s">
        <v>288</v>
      </c>
      <c r="G214" s="58"/>
      <c r="N214" s="85"/>
    </row>
    <row r="215" customFormat="false" ht="15" hidden="false" customHeight="false" outlineLevel="0" collapsed="false">
      <c r="B215" s="1" t="s">
        <v>649</v>
      </c>
      <c r="F215" s="57" t="s">
        <v>290</v>
      </c>
      <c r="G215" s="58" t="n">
        <v>0.1</v>
      </c>
      <c r="H215" s="59" t="n">
        <f aca="false">G215*8/$D$212</f>
        <v>0.1</v>
      </c>
      <c r="I215" s="30" t="n">
        <v>34.73</v>
      </c>
      <c r="J215" s="30" t="n">
        <f aca="false">H215*I215</f>
        <v>3.473</v>
      </c>
      <c r="K215" s="1" t="n">
        <v>47</v>
      </c>
      <c r="M215" s="85"/>
      <c r="N215" s="85"/>
    </row>
    <row r="216" customFormat="false" ht="15" hidden="false" customHeight="false" outlineLevel="0" collapsed="false">
      <c r="B216" s="1" t="s">
        <v>404</v>
      </c>
      <c r="F216" s="57" t="s">
        <v>290</v>
      </c>
      <c r="G216" s="58" t="n">
        <v>1</v>
      </c>
      <c r="H216" s="59" t="n">
        <f aca="false">G216*8/$D$212</f>
        <v>1</v>
      </c>
      <c r="I216" s="1" t="n">
        <v>28.94</v>
      </c>
      <c r="J216" s="30" t="n">
        <f aca="false">H216*I216</f>
        <v>28.94</v>
      </c>
      <c r="K216" s="1" t="n">
        <v>47</v>
      </c>
      <c r="N216" s="85"/>
    </row>
    <row r="217" customFormat="false" ht="15" hidden="false" customHeight="false" outlineLevel="0" collapsed="false">
      <c r="B217" s="1" t="s">
        <v>292</v>
      </c>
      <c r="F217" s="57" t="s">
        <v>290</v>
      </c>
      <c r="G217" s="58" t="n">
        <v>0.5</v>
      </c>
      <c r="H217" s="59" t="n">
        <f aca="false">G217*8/$D$212</f>
        <v>0.5</v>
      </c>
      <c r="I217" s="1" t="n">
        <v>20.51</v>
      </c>
      <c r="J217" s="30" t="n">
        <f aca="false">H217*I217</f>
        <v>10.255</v>
      </c>
      <c r="K217" s="1" t="n">
        <v>47</v>
      </c>
      <c r="N217" s="85"/>
    </row>
    <row r="218" customFormat="false" ht="15" hidden="false" customHeight="false" outlineLevel="0" collapsed="false">
      <c r="F218" s="57"/>
      <c r="G218" s="58"/>
      <c r="J218" s="89" t="n">
        <f aca="false">ROUND(SUM(J215:J217),2)</f>
        <v>42.67</v>
      </c>
      <c r="N218" s="85"/>
      <c r="Q218" s="124"/>
      <c r="R218" s="124"/>
      <c r="S218" s="124"/>
    </row>
    <row r="219" customFormat="false" ht="15" hidden="false" customHeight="false" outlineLevel="0" collapsed="false">
      <c r="B219" s="90" t="s">
        <v>293</v>
      </c>
      <c r="F219" s="57"/>
      <c r="G219" s="58"/>
      <c r="H219" s="101"/>
    </row>
    <row r="220" customFormat="false" ht="15" hidden="false" customHeight="false" outlineLevel="0" collapsed="false">
      <c r="B220" s="1" t="s">
        <v>927</v>
      </c>
      <c r="F220" s="57" t="s">
        <v>202</v>
      </c>
      <c r="H220" s="101" t="n">
        <v>0.0177</v>
      </c>
      <c r="I220" s="30" t="n">
        <v>65</v>
      </c>
      <c r="J220" s="30" t="n">
        <f aca="false">H220*I220</f>
        <v>1.1505</v>
      </c>
      <c r="K220" s="1" t="n">
        <v>4</v>
      </c>
    </row>
    <row r="221" customFormat="false" ht="15" hidden="false" customHeight="false" outlineLevel="0" collapsed="false">
      <c r="B221" s="1" t="s">
        <v>662</v>
      </c>
      <c r="F221" s="57" t="s">
        <v>202</v>
      </c>
      <c r="H221" s="101" t="n">
        <v>0.0044</v>
      </c>
      <c r="I221" s="1" t="n">
        <v>6.14</v>
      </c>
      <c r="J221" s="30" t="n">
        <f aca="false">H221*I221</f>
        <v>0.027016</v>
      </c>
      <c r="K221" s="1" t="n">
        <v>30</v>
      </c>
    </row>
    <row r="222" customFormat="false" ht="15" hidden="false" customHeight="false" outlineLevel="0" collapsed="false">
      <c r="B222" s="1" t="s">
        <v>928</v>
      </c>
      <c r="F222" s="57" t="s">
        <v>295</v>
      </c>
      <c r="G222" s="58"/>
      <c r="H222" s="101" t="n">
        <v>0.022</v>
      </c>
      <c r="I222" s="30" t="n">
        <v>3.51</v>
      </c>
      <c r="J222" s="30" t="n">
        <f aca="false">H222*I222</f>
        <v>0.07722</v>
      </c>
      <c r="K222" s="1" t="n">
        <v>2</v>
      </c>
    </row>
    <row r="223" customFormat="false" ht="15" hidden="false" customHeight="false" outlineLevel="0" collapsed="false">
      <c r="B223" s="1" t="s">
        <v>698</v>
      </c>
      <c r="F223" s="57" t="s">
        <v>306</v>
      </c>
      <c r="H223" s="101" t="n">
        <v>0.1446</v>
      </c>
      <c r="I223" s="1" t="n">
        <v>24.52</v>
      </c>
      <c r="J223" s="30" t="n">
        <f aca="false">H223*I223</f>
        <v>3.545592</v>
      </c>
      <c r="K223" s="1" t="n">
        <v>21</v>
      </c>
    </row>
    <row r="224" customFormat="false" ht="15" hidden="false" customHeight="false" outlineLevel="0" collapsed="false">
      <c r="B224" s="1" t="s">
        <v>667</v>
      </c>
      <c r="F224" s="57" t="s">
        <v>304</v>
      </c>
      <c r="G224" s="58"/>
      <c r="H224" s="101" t="n">
        <v>0.201</v>
      </c>
      <c r="I224" s="30" t="n">
        <v>5.8</v>
      </c>
      <c r="J224" s="30" t="n">
        <f aca="false">H224*I224</f>
        <v>1.1658</v>
      </c>
      <c r="K224" s="1" t="n">
        <v>43</v>
      </c>
    </row>
    <row r="225" customFormat="false" ht="15" hidden="false" customHeight="false" outlineLevel="0" collapsed="false">
      <c r="F225" s="57"/>
      <c r="G225" s="58"/>
      <c r="J225" s="89" t="n">
        <f aca="false">ROUND(SUM(J220:J224),2)</f>
        <v>5.97</v>
      </c>
    </row>
    <row r="226" customFormat="false" ht="15" hidden="false" customHeight="false" outlineLevel="0" collapsed="false">
      <c r="B226" s="90" t="s">
        <v>317</v>
      </c>
      <c r="F226" s="57"/>
      <c r="G226" s="58"/>
    </row>
    <row r="227" customFormat="false" ht="15" hidden="false" customHeight="false" outlineLevel="0" collapsed="false">
      <c r="B227" s="1" t="s">
        <v>309</v>
      </c>
      <c r="F227" s="57" t="s">
        <v>310</v>
      </c>
      <c r="H227" s="59" t="n">
        <v>5</v>
      </c>
      <c r="I227" s="30" t="n">
        <f aca="false">J218</f>
        <v>42.67</v>
      </c>
      <c r="J227" s="30" t="n">
        <f aca="false">H227%*I227</f>
        <v>2.1335</v>
      </c>
      <c r="K227" s="1" t="n">
        <v>37</v>
      </c>
    </row>
    <row r="228" customFormat="false" ht="15" hidden="false" customHeight="false" outlineLevel="0" collapsed="false">
      <c r="B228" s="1" t="s">
        <v>925</v>
      </c>
      <c r="C228" s="134"/>
      <c r="D228" s="134"/>
      <c r="E228" s="134"/>
      <c r="F228" s="57" t="s">
        <v>337</v>
      </c>
      <c r="G228" s="58" t="n">
        <v>2</v>
      </c>
      <c r="H228" s="59" t="n">
        <f aca="false">G228*8/$D$212</f>
        <v>2</v>
      </c>
      <c r="I228" s="30" t="n">
        <v>5.5</v>
      </c>
      <c r="J228" s="30" t="n">
        <f aca="false">H228*I228</f>
        <v>11</v>
      </c>
      <c r="K228" s="1" t="n">
        <v>39</v>
      </c>
    </row>
    <row r="229" customFormat="false" ht="15" hidden="false" customHeight="false" outlineLevel="0" collapsed="false">
      <c r="A229" s="62"/>
      <c r="B229" s="62"/>
      <c r="C229" s="62"/>
      <c r="D229" s="62"/>
      <c r="E229" s="62"/>
      <c r="F229" s="62"/>
      <c r="G229" s="62"/>
      <c r="H229" s="62"/>
      <c r="I229" s="62"/>
      <c r="J229" s="91" t="n">
        <f aca="false">ROUND(SUM(J227:J228),2)</f>
        <v>13.13</v>
      </c>
    </row>
    <row r="230" customFormat="false" ht="15" hidden="false" customHeight="false" outlineLevel="0" collapsed="false">
      <c r="I230" s="14"/>
      <c r="J230" s="55"/>
    </row>
    <row r="231" customFormat="false" ht="15" hidden="false" customHeight="false" outlineLevel="0" collapsed="false">
      <c r="A231" s="85" t="s">
        <v>276</v>
      </c>
      <c r="B231" s="85" t="str">
        <f aca="false">ARQUITECTURA!A20</f>
        <v>03.03.01</v>
      </c>
      <c r="C231" s="85" t="s">
        <v>781</v>
      </c>
      <c r="D231" s="85"/>
    </row>
    <row r="232" customFormat="false" ht="15" hidden="false" customHeight="false" outlineLevel="0" collapsed="false">
      <c r="A232" s="85" t="s">
        <v>277</v>
      </c>
      <c r="B232" s="85" t="s">
        <v>278</v>
      </c>
      <c r="C232" s="87" t="s">
        <v>279</v>
      </c>
      <c r="D232" s="88" t="n">
        <v>80</v>
      </c>
      <c r="E232" s="87" t="s">
        <v>280</v>
      </c>
      <c r="F232" s="88" t="n">
        <f aca="false">D232</f>
        <v>80</v>
      </c>
      <c r="G232" s="85" t="s">
        <v>281</v>
      </c>
      <c r="I232" s="87" t="s">
        <v>132</v>
      </c>
      <c r="J232" s="89" t="n">
        <f aca="false">J239+J245+J249</f>
        <v>49.7</v>
      </c>
    </row>
    <row r="233" customFormat="false" ht="15" hidden="false" customHeight="false" outlineLevel="0" collapsed="false">
      <c r="A233" s="85" t="s">
        <v>282</v>
      </c>
      <c r="B233" s="85" t="s">
        <v>283</v>
      </c>
      <c r="F233" s="87" t="s">
        <v>121</v>
      </c>
      <c r="G233" s="87" t="s">
        <v>284</v>
      </c>
      <c r="H233" s="87" t="n">
        <v>0.0556</v>
      </c>
      <c r="I233" s="87" t="s">
        <v>286</v>
      </c>
      <c r="J233" s="87" t="s">
        <v>287</v>
      </c>
    </row>
    <row r="234" customFormat="false" ht="15" hidden="false" customHeight="false" outlineLevel="0" collapsed="false">
      <c r="B234" s="90" t="s">
        <v>288</v>
      </c>
    </row>
    <row r="235" customFormat="false" ht="15" hidden="false" customHeight="false" outlineLevel="0" collapsed="false">
      <c r="B235" s="1" t="s">
        <v>649</v>
      </c>
      <c r="F235" s="57" t="s">
        <v>290</v>
      </c>
      <c r="G235" s="58" t="n">
        <v>0.3</v>
      </c>
      <c r="H235" s="59" t="n">
        <f aca="false">G235*8/$D$232</f>
        <v>0.03</v>
      </c>
      <c r="I235" s="30" t="n">
        <v>34.73</v>
      </c>
      <c r="J235" s="30" t="n">
        <f aca="false">H235*I235</f>
        <v>1.0419</v>
      </c>
      <c r="K235" s="1" t="n">
        <v>47</v>
      </c>
    </row>
    <row r="236" customFormat="false" ht="15" hidden="false" customHeight="false" outlineLevel="0" collapsed="false">
      <c r="B236" s="1" t="s">
        <v>289</v>
      </c>
      <c r="F236" s="57" t="s">
        <v>290</v>
      </c>
      <c r="G236" s="58" t="n">
        <v>3</v>
      </c>
      <c r="H236" s="59" t="n">
        <f aca="false">G236*8/$D$232</f>
        <v>0.3</v>
      </c>
      <c r="I236" s="30" t="n">
        <v>28.94</v>
      </c>
      <c r="J236" s="30" t="n">
        <f aca="false">H236*I236</f>
        <v>8.682</v>
      </c>
      <c r="K236" s="1" t="n">
        <v>47</v>
      </c>
    </row>
    <row r="237" customFormat="false" ht="15" hidden="false" customHeight="false" outlineLevel="0" collapsed="false">
      <c r="B237" s="1" t="s">
        <v>675</v>
      </c>
      <c r="F237" s="57" t="s">
        <v>290</v>
      </c>
      <c r="G237" s="58" t="n">
        <v>1</v>
      </c>
      <c r="H237" s="59" t="n">
        <f aca="false">G237*8/$D$232</f>
        <v>0.1</v>
      </c>
      <c r="I237" s="30" t="n">
        <v>22.66</v>
      </c>
      <c r="J237" s="30" t="n">
        <f aca="false">H237*I237</f>
        <v>2.266</v>
      </c>
      <c r="K237" s="1" t="n">
        <v>47</v>
      </c>
    </row>
    <row r="238" customFormat="false" ht="15" hidden="false" customHeight="false" outlineLevel="0" collapsed="false">
      <c r="B238" s="1" t="s">
        <v>292</v>
      </c>
      <c r="F238" s="57" t="s">
        <v>290</v>
      </c>
      <c r="G238" s="58" t="n">
        <v>5</v>
      </c>
      <c r="H238" s="59" t="n">
        <f aca="false">G238*8/$D$232</f>
        <v>0.5</v>
      </c>
      <c r="I238" s="30" t="n">
        <v>20.51</v>
      </c>
      <c r="J238" s="30" t="n">
        <f aca="false">H238*I238</f>
        <v>10.255</v>
      </c>
      <c r="K238" s="1" t="n">
        <v>47</v>
      </c>
    </row>
    <row r="239" customFormat="false" ht="15" hidden="false" customHeight="false" outlineLevel="0" collapsed="false">
      <c r="F239" s="57"/>
      <c r="G239" s="58"/>
      <c r="H239" s="59"/>
      <c r="I239" s="30"/>
      <c r="J239" s="89" t="n">
        <f aca="false">ROUND(SUM(J235:J238),2)</f>
        <v>22.24</v>
      </c>
    </row>
    <row r="240" customFormat="false" ht="15" hidden="false" customHeight="false" outlineLevel="0" collapsed="false">
      <c r="B240" s="90" t="s">
        <v>652</v>
      </c>
      <c r="F240" s="57"/>
      <c r="G240" s="58"/>
      <c r="H240" s="59"/>
      <c r="J240" s="30"/>
    </row>
    <row r="241" customFormat="false" ht="15" hidden="false" customHeight="false" outlineLevel="0" collapsed="false">
      <c r="B241" s="1" t="s">
        <v>671</v>
      </c>
      <c r="F241" s="57" t="s">
        <v>202</v>
      </c>
      <c r="H241" s="59" t="n">
        <v>0.0556</v>
      </c>
      <c r="I241" s="30" t="n">
        <v>47</v>
      </c>
      <c r="J241" s="30" t="n">
        <f aca="false">H241*I241</f>
        <v>2.6132</v>
      </c>
      <c r="K241" s="1" t="n">
        <v>4</v>
      </c>
    </row>
    <row r="242" customFormat="false" ht="15" hidden="false" customHeight="false" outlineLevel="0" collapsed="false">
      <c r="B242" s="1" t="s">
        <v>305</v>
      </c>
      <c r="F242" s="57" t="s">
        <v>306</v>
      </c>
      <c r="H242" s="1" t="n">
        <v>0.4505</v>
      </c>
      <c r="I242" s="30" t="n">
        <v>24.52</v>
      </c>
      <c r="J242" s="30" t="n">
        <f aca="false">H242*I242</f>
        <v>11.04626</v>
      </c>
      <c r="K242" s="1" t="n">
        <v>21</v>
      </c>
    </row>
    <row r="243" customFormat="false" ht="15" hidden="false" customHeight="false" outlineLevel="0" collapsed="false">
      <c r="B243" s="1" t="s">
        <v>916</v>
      </c>
      <c r="F243" s="57" t="s">
        <v>202</v>
      </c>
      <c r="H243" s="1" t="n">
        <v>0.0021</v>
      </c>
      <c r="I243" s="30" t="n">
        <v>112</v>
      </c>
      <c r="J243" s="30" t="n">
        <f aca="false">H243*I243</f>
        <v>0.2352</v>
      </c>
      <c r="K243" s="1" t="n">
        <v>37</v>
      </c>
    </row>
    <row r="244" customFormat="false" ht="15" hidden="false" customHeight="false" outlineLevel="0" collapsed="false">
      <c r="B244" s="1" t="s">
        <v>654</v>
      </c>
      <c r="F244" s="57" t="s">
        <v>202</v>
      </c>
      <c r="H244" s="59" t="n">
        <v>0.014</v>
      </c>
      <c r="I244" s="1" t="n">
        <v>6.14</v>
      </c>
      <c r="J244" s="30" t="n">
        <f aca="false">H244*I244</f>
        <v>0.08596</v>
      </c>
      <c r="K244" s="1" t="n">
        <v>30</v>
      </c>
    </row>
    <row r="245" customFormat="false" ht="15" hidden="false" customHeight="false" outlineLevel="0" collapsed="false">
      <c r="F245" s="57"/>
      <c r="H245" s="59"/>
      <c r="I245" s="30"/>
      <c r="J245" s="89" t="n">
        <f aca="false">ROUND(SUM(J241:J244),2)</f>
        <v>13.98</v>
      </c>
    </row>
    <row r="246" customFormat="false" ht="15" hidden="false" customHeight="false" outlineLevel="0" collapsed="false">
      <c r="B246" s="90" t="s">
        <v>308</v>
      </c>
    </row>
    <row r="247" customFormat="false" ht="15" hidden="false" customHeight="false" outlineLevel="0" collapsed="false">
      <c r="B247" s="1" t="s">
        <v>309</v>
      </c>
      <c r="F247" s="57" t="s">
        <v>310</v>
      </c>
      <c r="H247" s="59" t="n">
        <v>3</v>
      </c>
      <c r="I247" s="30" t="n">
        <f aca="false">J239</f>
        <v>22.24</v>
      </c>
      <c r="J247" s="30" t="n">
        <f aca="false">H247%*I247</f>
        <v>0.6672</v>
      </c>
      <c r="K247" s="1" t="n">
        <v>37</v>
      </c>
    </row>
    <row r="248" customFormat="false" ht="15" hidden="false" customHeight="false" outlineLevel="0" collapsed="false">
      <c r="B248" s="1" t="s">
        <v>929</v>
      </c>
      <c r="F248" s="57" t="s">
        <v>337</v>
      </c>
      <c r="G248" s="58" t="n">
        <v>5</v>
      </c>
      <c r="H248" s="59" t="n">
        <f aca="false">G248*8/$D$232</f>
        <v>0.5</v>
      </c>
      <c r="I248" s="30" t="n">
        <v>25.63</v>
      </c>
      <c r="J248" s="30" t="n">
        <f aca="false">H248*I248</f>
        <v>12.815</v>
      </c>
      <c r="K248" s="1" t="n">
        <v>48</v>
      </c>
    </row>
    <row r="249" customFormat="false" ht="15" hidden="false" customHeight="false" outlineLevel="0" collapsed="false">
      <c r="A249" s="62"/>
      <c r="B249" s="62"/>
      <c r="C249" s="62"/>
      <c r="D249" s="62"/>
      <c r="E249" s="62"/>
      <c r="F249" s="62"/>
      <c r="G249" s="62"/>
      <c r="H249" s="62"/>
      <c r="I249" s="62"/>
      <c r="J249" s="91" t="n">
        <f aca="false">ROUND(SUM(J247:J248),2)</f>
        <v>13.48</v>
      </c>
    </row>
    <row r="251" customFormat="false" ht="15" hidden="false" customHeight="false" outlineLevel="0" collapsed="false">
      <c r="A251" s="85" t="s">
        <v>276</v>
      </c>
      <c r="B251" s="85" t="str">
        <f aca="false">ARQUITECTURA!A21</f>
        <v>03.03.02</v>
      </c>
      <c r="C251" s="85" t="s">
        <v>783</v>
      </c>
      <c r="D251" s="85"/>
    </row>
    <row r="252" customFormat="false" ht="15" hidden="false" customHeight="false" outlineLevel="0" collapsed="false">
      <c r="A252" s="85" t="s">
        <v>277</v>
      </c>
      <c r="B252" s="85" t="s">
        <v>278</v>
      </c>
      <c r="C252" s="87" t="s">
        <v>279</v>
      </c>
      <c r="D252" s="88" t="n">
        <v>10</v>
      </c>
      <c r="E252" s="87" t="s">
        <v>280</v>
      </c>
      <c r="F252" s="88" t="n">
        <f aca="false">D252</f>
        <v>10</v>
      </c>
      <c r="G252" s="85" t="s">
        <v>281</v>
      </c>
      <c r="I252" s="87" t="s">
        <v>132</v>
      </c>
      <c r="J252" s="89" t="n">
        <f aca="false">J258+J266+J269</f>
        <v>206.77</v>
      </c>
    </row>
    <row r="253" customFormat="false" ht="15" hidden="false" customHeight="false" outlineLevel="0" collapsed="false">
      <c r="A253" s="85" t="s">
        <v>282</v>
      </c>
      <c r="B253" s="85" t="s">
        <v>283</v>
      </c>
      <c r="F253" s="87" t="s">
        <v>121</v>
      </c>
      <c r="G253" s="87" t="s">
        <v>284</v>
      </c>
      <c r="H253" s="87" t="n">
        <v>0.0556</v>
      </c>
      <c r="I253" s="87" t="s">
        <v>286</v>
      </c>
      <c r="J253" s="87" t="s">
        <v>287</v>
      </c>
    </row>
    <row r="254" customFormat="false" ht="15" hidden="false" customHeight="false" outlineLevel="0" collapsed="false">
      <c r="B254" s="90" t="s">
        <v>288</v>
      </c>
    </row>
    <row r="255" customFormat="false" ht="15" hidden="false" customHeight="false" outlineLevel="0" collapsed="false">
      <c r="B255" s="1" t="s">
        <v>649</v>
      </c>
      <c r="F255" s="57" t="s">
        <v>290</v>
      </c>
      <c r="G255" s="58" t="n">
        <v>0.3</v>
      </c>
      <c r="H255" s="59" t="n">
        <f aca="false">G255*8/$D$252</f>
        <v>0.24</v>
      </c>
      <c r="I255" s="30" t="n">
        <v>34.73</v>
      </c>
      <c r="J255" s="30" t="n">
        <f aca="false">H255*I255</f>
        <v>8.3352</v>
      </c>
      <c r="K255" s="1" t="n">
        <v>47</v>
      </c>
    </row>
    <row r="256" customFormat="false" ht="15" hidden="false" customHeight="false" outlineLevel="0" collapsed="false">
      <c r="B256" s="1" t="s">
        <v>289</v>
      </c>
      <c r="F256" s="57" t="s">
        <v>290</v>
      </c>
      <c r="G256" s="58" t="n">
        <v>3</v>
      </c>
      <c r="H256" s="59" t="n">
        <f aca="false">G256*8/$D$252</f>
        <v>2.4</v>
      </c>
      <c r="I256" s="30" t="n">
        <v>28.94</v>
      </c>
      <c r="J256" s="30" t="n">
        <f aca="false">H256*I256</f>
        <v>69.456</v>
      </c>
      <c r="K256" s="1" t="n">
        <v>47</v>
      </c>
    </row>
    <row r="257" customFormat="false" ht="15" hidden="false" customHeight="false" outlineLevel="0" collapsed="false">
      <c r="B257" s="1" t="s">
        <v>292</v>
      </c>
      <c r="F257" s="57" t="s">
        <v>290</v>
      </c>
      <c r="G257" s="58" t="n">
        <v>4</v>
      </c>
      <c r="H257" s="59" t="n">
        <f aca="false">G257*8/$D$252</f>
        <v>3.2</v>
      </c>
      <c r="I257" s="30" t="n">
        <v>20.51</v>
      </c>
      <c r="J257" s="30" t="n">
        <f aca="false">H257*I257</f>
        <v>65.632</v>
      </c>
      <c r="K257" s="1" t="n">
        <v>47</v>
      </c>
    </row>
    <row r="258" customFormat="false" ht="15" hidden="false" customHeight="false" outlineLevel="0" collapsed="false">
      <c r="F258" s="57"/>
      <c r="G258" s="58"/>
      <c r="H258" s="59"/>
      <c r="I258" s="30"/>
      <c r="J258" s="89" t="n">
        <f aca="false">ROUND(SUM(J255:J257),2)</f>
        <v>143.42</v>
      </c>
    </row>
    <row r="259" customFormat="false" ht="15" hidden="false" customHeight="false" outlineLevel="0" collapsed="false">
      <c r="B259" s="90" t="s">
        <v>652</v>
      </c>
      <c r="F259" s="57"/>
      <c r="G259" s="58"/>
      <c r="H259" s="59"/>
      <c r="J259" s="30"/>
    </row>
    <row r="260" customFormat="false" ht="15" hidden="false" customHeight="false" outlineLevel="0" collapsed="false">
      <c r="B260" s="1" t="s">
        <v>912</v>
      </c>
      <c r="F260" s="57" t="s">
        <v>295</v>
      </c>
      <c r="H260" s="59" t="n">
        <v>0.63</v>
      </c>
      <c r="I260" s="30" t="n">
        <v>7.4</v>
      </c>
      <c r="J260" s="30" t="n">
        <f aca="false">H260*I260</f>
        <v>4.662</v>
      </c>
      <c r="K260" s="1" t="n">
        <v>30</v>
      </c>
    </row>
    <row r="261" customFormat="false" ht="15" hidden="false" customHeight="false" outlineLevel="0" collapsed="false">
      <c r="B261" s="1" t="s">
        <v>930</v>
      </c>
      <c r="F261" s="57" t="s">
        <v>931</v>
      </c>
      <c r="H261" s="59" t="n">
        <v>0.336</v>
      </c>
      <c r="I261" s="30" t="n">
        <v>22.9</v>
      </c>
      <c r="J261" s="30" t="n">
        <f aca="false">H261*I261</f>
        <v>7.6944</v>
      </c>
      <c r="K261" s="1" t="n">
        <v>39</v>
      </c>
    </row>
    <row r="262" customFormat="false" ht="15" hidden="false" customHeight="false" outlineLevel="0" collapsed="false">
      <c r="B262" s="1" t="s">
        <v>932</v>
      </c>
      <c r="F262" s="57" t="s">
        <v>132</v>
      </c>
      <c r="H262" s="59" t="n">
        <v>1.15</v>
      </c>
      <c r="I262" s="30" t="n">
        <v>38.9</v>
      </c>
      <c r="J262" s="30" t="n">
        <f aca="false">H262*I262</f>
        <v>44.735</v>
      </c>
      <c r="K262" s="1" t="n">
        <v>30</v>
      </c>
    </row>
    <row r="263" customFormat="false" ht="15" hidden="false" customHeight="false" outlineLevel="0" collapsed="false">
      <c r="B263" s="1" t="s">
        <v>933</v>
      </c>
      <c r="F263" s="57" t="s">
        <v>429</v>
      </c>
      <c r="H263" s="59" t="n">
        <v>0.2</v>
      </c>
      <c r="I263" s="30" t="n">
        <v>8.5</v>
      </c>
      <c r="J263" s="30" t="n">
        <f aca="false">H263*I263</f>
        <v>1.7</v>
      </c>
      <c r="K263" s="1" t="n">
        <v>43</v>
      </c>
    </row>
    <row r="264" customFormat="false" ht="15" hidden="false" customHeight="false" outlineLevel="0" collapsed="false">
      <c r="B264" s="1" t="s">
        <v>916</v>
      </c>
      <c r="F264" s="57" t="s">
        <v>148</v>
      </c>
      <c r="H264" s="59" t="n">
        <v>0.0021</v>
      </c>
      <c r="I264" s="30" t="n">
        <v>112</v>
      </c>
      <c r="J264" s="30" t="n">
        <f aca="false">H264*I264</f>
        <v>0.2352</v>
      </c>
      <c r="K264" s="1" t="n">
        <v>37</v>
      </c>
    </row>
    <row r="265" customFormat="false" ht="15" hidden="false" customHeight="false" outlineLevel="0" collapsed="false">
      <c r="B265" s="1" t="s">
        <v>662</v>
      </c>
      <c r="F265" s="57" t="s">
        <v>202</v>
      </c>
      <c r="H265" s="59" t="n">
        <v>0.0034</v>
      </c>
      <c r="I265" s="30" t="n">
        <v>6.14</v>
      </c>
      <c r="J265" s="30" t="n">
        <f aca="false">H265*I265</f>
        <v>0.020876</v>
      </c>
      <c r="K265" s="1" t="n">
        <v>30</v>
      </c>
    </row>
    <row r="266" customFormat="false" ht="15" hidden="false" customHeight="false" outlineLevel="0" collapsed="false">
      <c r="F266" s="57"/>
      <c r="H266" s="59"/>
      <c r="I266" s="30"/>
      <c r="J266" s="89" t="n">
        <f aca="false">ROUND(SUM(J260:J265),2)</f>
        <v>59.05</v>
      </c>
    </row>
    <row r="267" customFormat="false" ht="15" hidden="false" customHeight="false" outlineLevel="0" collapsed="false">
      <c r="B267" s="90" t="s">
        <v>308</v>
      </c>
    </row>
    <row r="268" customFormat="false" ht="15" hidden="false" customHeight="false" outlineLevel="0" collapsed="false">
      <c r="B268" s="1" t="s">
        <v>309</v>
      </c>
      <c r="F268" s="57" t="s">
        <v>310</v>
      </c>
      <c r="H268" s="59" t="n">
        <v>3</v>
      </c>
      <c r="I268" s="30" t="n">
        <f aca="false">J258</f>
        <v>143.42</v>
      </c>
      <c r="J268" s="30" t="n">
        <f aca="false">H268%*I268</f>
        <v>4.3026</v>
      </c>
      <c r="K268" s="1" t="n">
        <v>37</v>
      </c>
    </row>
    <row r="269" customFormat="false" ht="15" hidden="false" customHeight="false" outlineLevel="0" collapsed="false">
      <c r="A269" s="62"/>
      <c r="B269" s="62"/>
      <c r="C269" s="62"/>
      <c r="D269" s="62"/>
      <c r="E269" s="62"/>
      <c r="F269" s="62"/>
      <c r="G269" s="62"/>
      <c r="H269" s="62"/>
      <c r="I269" s="62"/>
      <c r="J269" s="91" t="n">
        <f aca="false">ROUND(SUM(J268:J268),2)</f>
        <v>4.3</v>
      </c>
    </row>
    <row r="271" customFormat="false" ht="15" hidden="false" customHeight="false" outlineLevel="0" collapsed="false">
      <c r="A271" s="85" t="s">
        <v>276</v>
      </c>
      <c r="B271" s="85" t="str">
        <f aca="false">ARQUITECTURA!A22</f>
        <v>03.03.03</v>
      </c>
      <c r="C271" s="85" t="s">
        <v>785</v>
      </c>
      <c r="D271" s="85"/>
    </row>
    <row r="272" customFormat="false" ht="15" hidden="false" customHeight="false" outlineLevel="0" collapsed="false">
      <c r="A272" s="85" t="s">
        <v>277</v>
      </c>
      <c r="B272" s="85" t="s">
        <v>278</v>
      </c>
      <c r="C272" s="87" t="s">
        <v>279</v>
      </c>
      <c r="D272" s="88" t="n">
        <v>10</v>
      </c>
      <c r="E272" s="87" t="s">
        <v>280</v>
      </c>
      <c r="F272" s="88" t="n">
        <f aca="false">D272</f>
        <v>10</v>
      </c>
      <c r="G272" s="85" t="s">
        <v>281</v>
      </c>
      <c r="I272" s="87" t="s">
        <v>132</v>
      </c>
      <c r="J272" s="89" t="n">
        <f aca="false">J278+J286+J289</f>
        <v>102.66</v>
      </c>
    </row>
    <row r="273" customFormat="false" ht="15" hidden="false" customHeight="false" outlineLevel="0" collapsed="false">
      <c r="A273" s="85" t="s">
        <v>282</v>
      </c>
      <c r="B273" s="85" t="s">
        <v>283</v>
      </c>
      <c r="F273" s="87" t="s">
        <v>121</v>
      </c>
      <c r="G273" s="87" t="s">
        <v>284</v>
      </c>
      <c r="H273" s="87" t="n">
        <v>0.0556</v>
      </c>
      <c r="I273" s="87" t="s">
        <v>286</v>
      </c>
      <c r="J273" s="87" t="s">
        <v>287</v>
      </c>
    </row>
    <row r="274" customFormat="false" ht="15" hidden="false" customHeight="false" outlineLevel="0" collapsed="false">
      <c r="B274" s="90" t="s">
        <v>288</v>
      </c>
    </row>
    <row r="275" customFormat="false" ht="15" hidden="false" customHeight="false" outlineLevel="0" collapsed="false">
      <c r="B275" s="1" t="s">
        <v>649</v>
      </c>
      <c r="F275" s="57" t="s">
        <v>290</v>
      </c>
      <c r="G275" s="58" t="n">
        <v>0.1</v>
      </c>
      <c r="H275" s="59" t="n">
        <f aca="false">G275*8/$D$272</f>
        <v>0.08</v>
      </c>
      <c r="I275" s="30" t="n">
        <v>34.73</v>
      </c>
      <c r="J275" s="30" t="n">
        <f aca="false">H275*I275</f>
        <v>2.7784</v>
      </c>
      <c r="K275" s="1" t="n">
        <v>47</v>
      </c>
    </row>
    <row r="276" customFormat="false" ht="15" hidden="false" customHeight="false" outlineLevel="0" collapsed="false">
      <c r="B276" s="1" t="s">
        <v>289</v>
      </c>
      <c r="F276" s="57" t="s">
        <v>290</v>
      </c>
      <c r="G276" s="58" t="n">
        <v>1</v>
      </c>
      <c r="H276" s="59" t="n">
        <f aca="false">G276*8/$D$272</f>
        <v>0.8</v>
      </c>
      <c r="I276" s="30" t="n">
        <v>28.94</v>
      </c>
      <c r="J276" s="30" t="n">
        <f aca="false">H276*I276</f>
        <v>23.152</v>
      </c>
      <c r="K276" s="1" t="n">
        <v>47</v>
      </c>
    </row>
    <row r="277" customFormat="false" ht="15" hidden="false" customHeight="false" outlineLevel="0" collapsed="false">
      <c r="B277" s="1" t="s">
        <v>292</v>
      </c>
      <c r="F277" s="57" t="s">
        <v>290</v>
      </c>
      <c r="G277" s="58" t="n">
        <v>1</v>
      </c>
      <c r="H277" s="59" t="n">
        <f aca="false">G277*8/$D$272</f>
        <v>0.8</v>
      </c>
      <c r="I277" s="30" t="n">
        <v>20.51</v>
      </c>
      <c r="J277" s="30" t="n">
        <f aca="false">H277*I277</f>
        <v>16.408</v>
      </c>
      <c r="K277" s="1" t="n">
        <v>47</v>
      </c>
    </row>
    <row r="278" customFormat="false" ht="15" hidden="false" customHeight="false" outlineLevel="0" collapsed="false">
      <c r="F278" s="57"/>
      <c r="G278" s="58"/>
      <c r="H278" s="59"/>
      <c r="I278" s="30"/>
      <c r="J278" s="89" t="n">
        <f aca="false">ROUND(SUM(J275:J277),2)</f>
        <v>42.34</v>
      </c>
    </row>
    <row r="279" customFormat="false" ht="15" hidden="false" customHeight="false" outlineLevel="0" collapsed="false">
      <c r="B279" s="90" t="s">
        <v>652</v>
      </c>
      <c r="F279" s="57"/>
      <c r="G279" s="58"/>
      <c r="H279" s="59"/>
      <c r="J279" s="30"/>
    </row>
    <row r="280" customFormat="false" ht="15" hidden="false" customHeight="false" outlineLevel="0" collapsed="false">
      <c r="B280" s="1" t="s">
        <v>912</v>
      </c>
      <c r="F280" s="57" t="s">
        <v>295</v>
      </c>
      <c r="H280" s="59" t="n">
        <v>0.63</v>
      </c>
      <c r="I280" s="30" t="n">
        <v>7.4</v>
      </c>
      <c r="J280" s="30" t="n">
        <f aca="false">H280*I280</f>
        <v>4.662</v>
      </c>
      <c r="K280" s="1" t="n">
        <v>30</v>
      </c>
    </row>
    <row r="281" customFormat="false" ht="15" hidden="false" customHeight="false" outlineLevel="0" collapsed="false">
      <c r="B281" s="1" t="s">
        <v>930</v>
      </c>
      <c r="F281" s="57" t="s">
        <v>931</v>
      </c>
      <c r="H281" s="59" t="n">
        <v>0.336</v>
      </c>
      <c r="I281" s="30" t="n">
        <v>22.9</v>
      </c>
      <c r="J281" s="30" t="n">
        <f aca="false">H281*I281</f>
        <v>7.6944</v>
      </c>
      <c r="K281" s="1" t="n">
        <v>39</v>
      </c>
    </row>
    <row r="282" customFormat="false" ht="15" hidden="false" customHeight="false" outlineLevel="0" collapsed="false">
      <c r="B282" s="1" t="s">
        <v>932</v>
      </c>
      <c r="F282" s="57" t="s">
        <v>132</v>
      </c>
      <c r="H282" s="59" t="n">
        <v>1.15</v>
      </c>
      <c r="I282" s="30" t="n">
        <v>38.9</v>
      </c>
      <c r="J282" s="30" t="n">
        <f aca="false">H282*I282</f>
        <v>44.735</v>
      </c>
      <c r="K282" s="1" t="n">
        <v>30</v>
      </c>
    </row>
    <row r="283" customFormat="false" ht="15" hidden="false" customHeight="false" outlineLevel="0" collapsed="false">
      <c r="B283" s="1" t="s">
        <v>933</v>
      </c>
      <c r="F283" s="57" t="s">
        <v>429</v>
      </c>
      <c r="H283" s="59" t="n">
        <v>0.2</v>
      </c>
      <c r="I283" s="30" t="n">
        <v>8.5</v>
      </c>
      <c r="J283" s="30" t="n">
        <f aca="false">H283*I283</f>
        <v>1.7</v>
      </c>
      <c r="K283" s="1" t="n">
        <v>43</v>
      </c>
    </row>
    <row r="284" customFormat="false" ht="15" hidden="false" customHeight="false" outlineLevel="0" collapsed="false">
      <c r="B284" s="1" t="s">
        <v>916</v>
      </c>
      <c r="F284" s="57" t="s">
        <v>148</v>
      </c>
      <c r="H284" s="59" t="n">
        <v>0.0021</v>
      </c>
      <c r="I284" s="30" t="n">
        <v>112</v>
      </c>
      <c r="J284" s="30" t="n">
        <f aca="false">H284*I284</f>
        <v>0.2352</v>
      </c>
      <c r="K284" s="1" t="n">
        <v>37</v>
      </c>
    </row>
    <row r="285" customFormat="false" ht="15" hidden="false" customHeight="false" outlineLevel="0" collapsed="false">
      <c r="B285" s="1" t="s">
        <v>662</v>
      </c>
      <c r="F285" s="57" t="s">
        <v>202</v>
      </c>
      <c r="H285" s="59" t="n">
        <v>0.0034</v>
      </c>
      <c r="I285" s="30" t="n">
        <v>6.14</v>
      </c>
      <c r="J285" s="30" t="n">
        <f aca="false">H285*I285</f>
        <v>0.020876</v>
      </c>
      <c r="K285" s="1" t="n">
        <v>30</v>
      </c>
    </row>
    <row r="286" customFormat="false" ht="15" hidden="false" customHeight="false" outlineLevel="0" collapsed="false">
      <c r="F286" s="57"/>
      <c r="H286" s="59"/>
      <c r="I286" s="30"/>
      <c r="J286" s="89" t="n">
        <f aca="false">ROUND(SUM(J280:J285),2)</f>
        <v>59.05</v>
      </c>
    </row>
    <row r="287" customFormat="false" ht="15" hidden="false" customHeight="false" outlineLevel="0" collapsed="false">
      <c r="B287" s="90" t="s">
        <v>308</v>
      </c>
    </row>
    <row r="288" customFormat="false" ht="15" hidden="false" customHeight="false" outlineLevel="0" collapsed="false">
      <c r="B288" s="1" t="s">
        <v>309</v>
      </c>
      <c r="F288" s="57" t="s">
        <v>310</v>
      </c>
      <c r="H288" s="59" t="n">
        <v>3</v>
      </c>
      <c r="I288" s="30" t="n">
        <f aca="false">J278</f>
        <v>42.34</v>
      </c>
      <c r="J288" s="30" t="n">
        <f aca="false">H288%*I288</f>
        <v>1.2702</v>
      </c>
      <c r="K288" s="1" t="n">
        <v>37</v>
      </c>
    </row>
    <row r="289" customFormat="false" ht="15" hidden="false" customHeight="false" outlineLevel="0" collapsed="false">
      <c r="A289" s="62"/>
      <c r="B289" s="62"/>
      <c r="C289" s="62"/>
      <c r="D289" s="62"/>
      <c r="E289" s="62"/>
      <c r="F289" s="62"/>
      <c r="G289" s="62"/>
      <c r="H289" s="62"/>
      <c r="I289" s="62"/>
      <c r="J289" s="91" t="n">
        <f aca="false">ROUND(SUM(J288:J288),2)</f>
        <v>1.27</v>
      </c>
    </row>
    <row r="290" customFormat="false" ht="15" hidden="false" customHeight="false" outlineLevel="0" collapsed="false">
      <c r="J290" s="89"/>
    </row>
    <row r="291" customFormat="false" ht="15" hidden="false" customHeight="false" outlineLevel="0" collapsed="false">
      <c r="A291" s="85" t="s">
        <v>276</v>
      </c>
      <c r="B291" s="85" t="str">
        <f aca="false">ARQUITECTURA!A23</f>
        <v>03.03.04</v>
      </c>
      <c r="C291" s="85" t="s">
        <v>787</v>
      </c>
      <c r="D291" s="85"/>
    </row>
    <row r="292" customFormat="false" ht="15" hidden="false" customHeight="false" outlineLevel="0" collapsed="false">
      <c r="A292" s="85" t="s">
        <v>277</v>
      </c>
      <c r="B292" s="85" t="s">
        <v>278</v>
      </c>
      <c r="C292" s="87" t="s">
        <v>279</v>
      </c>
      <c r="D292" s="88" t="n">
        <v>90</v>
      </c>
      <c r="E292" s="87" t="s">
        <v>280</v>
      </c>
      <c r="F292" s="88" t="n">
        <f aca="false">D292</f>
        <v>90</v>
      </c>
      <c r="G292" s="85" t="s">
        <v>281</v>
      </c>
      <c r="I292" s="87" t="s">
        <v>132</v>
      </c>
      <c r="J292" s="89" t="n">
        <f aca="false">J300+J309+J314</f>
        <v>47.44</v>
      </c>
      <c r="P292" s="124"/>
      <c r="Q292" s="124"/>
      <c r="R292" s="124"/>
    </row>
    <row r="293" customFormat="false" ht="15" hidden="false" customHeight="false" outlineLevel="0" collapsed="false">
      <c r="A293" s="85" t="s">
        <v>282</v>
      </c>
      <c r="B293" s="85" t="s">
        <v>283</v>
      </c>
      <c r="F293" s="87" t="s">
        <v>121</v>
      </c>
      <c r="G293" s="87" t="s">
        <v>284</v>
      </c>
      <c r="H293" s="87" t="n">
        <v>0.0556</v>
      </c>
      <c r="I293" s="87" t="s">
        <v>286</v>
      </c>
      <c r="J293" s="87" t="s">
        <v>287</v>
      </c>
      <c r="P293" s="124"/>
      <c r="Q293" s="124"/>
      <c r="R293" s="124"/>
    </row>
    <row r="294" customFormat="false" ht="15" hidden="false" customHeight="false" outlineLevel="0" collapsed="false">
      <c r="B294" s="90" t="s">
        <v>288</v>
      </c>
      <c r="P294" s="124"/>
      <c r="Q294" s="124"/>
      <c r="R294" s="124"/>
    </row>
    <row r="295" customFormat="false" ht="15" hidden="false" customHeight="false" outlineLevel="0" collapsed="false">
      <c r="B295" s="1" t="s">
        <v>649</v>
      </c>
      <c r="F295" s="57" t="s">
        <v>290</v>
      </c>
      <c r="G295" s="58" t="n">
        <v>0.1</v>
      </c>
      <c r="H295" s="59" t="n">
        <f aca="false">G295*8/$D$292</f>
        <v>0.00888888888888889</v>
      </c>
      <c r="I295" s="30" t="n">
        <v>34.73</v>
      </c>
      <c r="J295" s="30" t="n">
        <f aca="false">H295*I295</f>
        <v>0.308711111111111</v>
      </c>
      <c r="K295" s="1" t="n">
        <v>47</v>
      </c>
      <c r="P295" s="135"/>
      <c r="Q295" s="135"/>
      <c r="R295" s="135"/>
    </row>
    <row r="296" customFormat="false" ht="15" hidden="false" customHeight="false" outlineLevel="0" collapsed="false">
      <c r="B296" s="1" t="s">
        <v>289</v>
      </c>
      <c r="F296" s="57" t="s">
        <v>290</v>
      </c>
      <c r="G296" s="58" t="n">
        <v>1</v>
      </c>
      <c r="H296" s="59" t="n">
        <f aca="false">G296*8/$D$292</f>
        <v>0.0888888888888889</v>
      </c>
      <c r="I296" s="30" t="n">
        <v>28.94</v>
      </c>
      <c r="J296" s="30" t="n">
        <f aca="false">H296*I296</f>
        <v>2.57244444444444</v>
      </c>
      <c r="K296" s="1" t="n">
        <v>47</v>
      </c>
      <c r="N296" s="124"/>
      <c r="O296" s="124"/>
      <c r="P296" s="124"/>
      <c r="Q296" s="124"/>
      <c r="R296" s="124"/>
    </row>
    <row r="297" customFormat="false" ht="15" hidden="false" customHeight="false" outlineLevel="0" collapsed="false">
      <c r="B297" s="1" t="s">
        <v>675</v>
      </c>
      <c r="F297" s="57" t="s">
        <v>290</v>
      </c>
      <c r="G297" s="58" t="n">
        <v>2</v>
      </c>
      <c r="H297" s="59" t="n">
        <f aca="false">G297*8/$D$292</f>
        <v>0.177777777777778</v>
      </c>
      <c r="I297" s="30" t="n">
        <v>22.66</v>
      </c>
      <c r="J297" s="30" t="n">
        <f aca="false">H297*I297</f>
        <v>4.02844444444444</v>
      </c>
      <c r="K297" s="1" t="n">
        <v>47</v>
      </c>
    </row>
    <row r="298" customFormat="false" ht="15" hidden="false" customHeight="false" outlineLevel="0" collapsed="false">
      <c r="B298" s="1" t="s">
        <v>292</v>
      </c>
      <c r="F298" s="57" t="s">
        <v>290</v>
      </c>
      <c r="G298" s="58" t="n">
        <v>2</v>
      </c>
      <c r="H298" s="59" t="n">
        <f aca="false">G298*8/$D$292</f>
        <v>0.177777777777778</v>
      </c>
      <c r="I298" s="30" t="n">
        <v>20.51</v>
      </c>
      <c r="J298" s="30" t="n">
        <f aca="false">H298*I298</f>
        <v>3.64622222222222</v>
      </c>
      <c r="K298" s="1" t="n">
        <v>47</v>
      </c>
    </row>
    <row r="299" customFormat="false" ht="15" hidden="false" customHeight="false" outlineLevel="0" collapsed="false">
      <c r="B299" s="1" t="s">
        <v>651</v>
      </c>
      <c r="F299" s="57" t="s">
        <v>290</v>
      </c>
      <c r="G299" s="58" t="n">
        <v>1</v>
      </c>
      <c r="H299" s="59" t="n">
        <f aca="false">G299*8/$D$292</f>
        <v>0.0888888888888889</v>
      </c>
      <c r="I299" s="1" t="n">
        <v>29.94</v>
      </c>
      <c r="J299" s="30" t="n">
        <f aca="false">H299*I299</f>
        <v>2.66133333333333</v>
      </c>
      <c r="K299" s="1" t="n">
        <v>47</v>
      </c>
    </row>
    <row r="300" customFormat="false" ht="15" hidden="false" customHeight="false" outlineLevel="0" collapsed="false">
      <c r="F300" s="57"/>
      <c r="G300" s="58"/>
      <c r="H300" s="59"/>
      <c r="I300" s="30"/>
      <c r="J300" s="89" t="n">
        <f aca="false">ROUND(SUM(J295:J299),2)</f>
        <v>13.22</v>
      </c>
    </row>
    <row r="301" customFormat="false" ht="15" hidden="false" customHeight="false" outlineLevel="0" collapsed="false">
      <c r="B301" s="90" t="s">
        <v>652</v>
      </c>
      <c r="F301" s="57"/>
      <c r="G301" s="58"/>
      <c r="H301" s="59"/>
      <c r="J301" s="30"/>
    </row>
    <row r="302" customFormat="false" ht="15" hidden="false" customHeight="false" outlineLevel="0" collapsed="false">
      <c r="B302" s="1" t="s">
        <v>928</v>
      </c>
      <c r="F302" s="57" t="s">
        <v>295</v>
      </c>
      <c r="G302" s="58"/>
      <c r="H302" s="59" t="n">
        <v>0.006</v>
      </c>
      <c r="I302" s="30" t="n">
        <v>3.51</v>
      </c>
      <c r="J302" s="30" t="n">
        <f aca="false">H302*I302</f>
        <v>0.02106</v>
      </c>
      <c r="K302" s="1" t="n">
        <v>2</v>
      </c>
    </row>
    <row r="303" customFormat="false" ht="15" hidden="false" customHeight="false" outlineLevel="0" collapsed="false">
      <c r="B303" s="1" t="s">
        <v>670</v>
      </c>
      <c r="F303" s="57" t="s">
        <v>202</v>
      </c>
      <c r="H303" s="59" t="n">
        <v>0.049</v>
      </c>
      <c r="I303" s="30" t="n">
        <v>55.08</v>
      </c>
      <c r="J303" s="30" t="n">
        <f aca="false">H303*I303</f>
        <v>2.69892</v>
      </c>
      <c r="K303" s="1" t="n">
        <v>5</v>
      </c>
    </row>
    <row r="304" customFormat="false" ht="15" hidden="false" customHeight="false" outlineLevel="0" collapsed="false">
      <c r="B304" s="1" t="s">
        <v>892</v>
      </c>
      <c r="F304" s="57" t="s">
        <v>202</v>
      </c>
      <c r="G304" s="58"/>
      <c r="H304" s="59" t="n">
        <v>0.014</v>
      </c>
      <c r="I304" s="30" t="n">
        <v>65</v>
      </c>
      <c r="J304" s="30" t="n">
        <f aca="false">H304*I304</f>
        <v>0.91</v>
      </c>
      <c r="K304" s="1" t="n">
        <v>4</v>
      </c>
    </row>
    <row r="305" customFormat="false" ht="15" hidden="false" customHeight="false" outlineLevel="0" collapsed="false">
      <c r="B305" s="1" t="s">
        <v>671</v>
      </c>
      <c r="F305" s="57" t="s">
        <v>202</v>
      </c>
      <c r="H305" s="59" t="n">
        <v>0.048</v>
      </c>
      <c r="I305" s="30" t="n">
        <v>47</v>
      </c>
      <c r="J305" s="30" t="n">
        <f aca="false">H305*I305</f>
        <v>2.256</v>
      </c>
      <c r="K305" s="1" t="n">
        <v>4</v>
      </c>
    </row>
    <row r="306" customFormat="false" ht="15" hidden="false" customHeight="false" outlineLevel="0" collapsed="false">
      <c r="B306" s="1" t="s">
        <v>916</v>
      </c>
      <c r="F306" s="57" t="s">
        <v>202</v>
      </c>
      <c r="H306" s="59" t="n">
        <v>0.0021</v>
      </c>
      <c r="I306" s="30" t="n">
        <v>112</v>
      </c>
      <c r="J306" s="30" t="n">
        <f aca="false">H306*I306</f>
        <v>0.2352</v>
      </c>
      <c r="K306" s="1" t="n">
        <v>37</v>
      </c>
    </row>
    <row r="307" customFormat="false" ht="15" hidden="false" customHeight="false" outlineLevel="0" collapsed="false">
      <c r="B307" s="1" t="s">
        <v>305</v>
      </c>
      <c r="F307" s="57" t="s">
        <v>306</v>
      </c>
      <c r="H307" s="59" t="n">
        <v>0.995</v>
      </c>
      <c r="I307" s="30" t="n">
        <v>24.52</v>
      </c>
      <c r="J307" s="30" t="n">
        <f aca="false">H307*I307</f>
        <v>24.3974</v>
      </c>
      <c r="K307" s="1" t="n">
        <v>21</v>
      </c>
    </row>
    <row r="308" customFormat="false" ht="15" hidden="false" customHeight="false" outlineLevel="0" collapsed="false">
      <c r="B308" s="1" t="s">
        <v>654</v>
      </c>
      <c r="F308" s="57" t="s">
        <v>202</v>
      </c>
      <c r="H308" s="59" t="n">
        <v>0.021</v>
      </c>
      <c r="I308" s="1" t="n">
        <v>6.14</v>
      </c>
      <c r="J308" s="30" t="n">
        <f aca="false">H308*I308</f>
        <v>0.12894</v>
      </c>
      <c r="K308" s="1" t="n">
        <v>30</v>
      </c>
    </row>
    <row r="309" customFormat="false" ht="15" hidden="false" customHeight="false" outlineLevel="0" collapsed="false">
      <c r="F309" s="57"/>
      <c r="H309" s="59"/>
      <c r="I309" s="30"/>
      <c r="J309" s="89" t="n">
        <f aca="false">ROUND(SUM(J302:J308),2)</f>
        <v>30.65</v>
      </c>
    </row>
    <row r="310" customFormat="false" ht="15" hidden="false" customHeight="false" outlineLevel="0" collapsed="false">
      <c r="B310" s="90" t="s">
        <v>308</v>
      </c>
    </row>
    <row r="311" customFormat="false" ht="15" hidden="false" customHeight="false" outlineLevel="0" collapsed="false">
      <c r="B311" s="1" t="s">
        <v>309</v>
      </c>
      <c r="F311" s="57" t="s">
        <v>310</v>
      </c>
      <c r="H311" s="59" t="n">
        <v>5</v>
      </c>
      <c r="I311" s="30" t="n">
        <f aca="false">J300</f>
        <v>13.22</v>
      </c>
      <c r="J311" s="30" t="n">
        <f aca="false">H311%*I311</f>
        <v>0.661</v>
      </c>
      <c r="K311" s="1" t="n">
        <v>37</v>
      </c>
    </row>
    <row r="312" customFormat="false" ht="15" hidden="false" customHeight="false" outlineLevel="0" collapsed="false">
      <c r="B312" s="1" t="s">
        <v>673</v>
      </c>
      <c r="F312" s="57" t="s">
        <v>337</v>
      </c>
      <c r="G312" s="58" t="n">
        <v>1</v>
      </c>
      <c r="H312" s="59" t="n">
        <f aca="false">G312*8/$D$292</f>
        <v>0.0888888888888889</v>
      </c>
      <c r="I312" s="30" t="n">
        <v>7.07</v>
      </c>
      <c r="J312" s="30" t="n">
        <f aca="false">H312*I312</f>
        <v>0.628444444444445</v>
      </c>
      <c r="K312" s="1" t="n">
        <v>49</v>
      </c>
    </row>
    <row r="313" customFormat="false" ht="15" hidden="false" customHeight="false" outlineLevel="0" collapsed="false">
      <c r="B313" s="1" t="s">
        <v>929</v>
      </c>
      <c r="F313" s="57" t="s">
        <v>337</v>
      </c>
      <c r="G313" s="58" t="n">
        <v>1</v>
      </c>
      <c r="H313" s="59" t="n">
        <f aca="false">G313*8/$D$292</f>
        <v>0.0888888888888889</v>
      </c>
      <c r="I313" s="30" t="n">
        <v>25.63</v>
      </c>
      <c r="J313" s="30" t="n">
        <f aca="false">H313*I313</f>
        <v>2.27822222222222</v>
      </c>
      <c r="K313" s="1" t="n">
        <v>48</v>
      </c>
    </row>
    <row r="314" customFormat="false" ht="15" hidden="false" customHeight="false" outlineLevel="0" collapsed="false">
      <c r="A314" s="62"/>
      <c r="B314" s="62"/>
      <c r="C314" s="62"/>
      <c r="D314" s="62"/>
      <c r="E314" s="62"/>
      <c r="F314" s="62"/>
      <c r="G314" s="62"/>
      <c r="H314" s="62"/>
      <c r="I314" s="62"/>
      <c r="J314" s="91" t="n">
        <f aca="false">ROUND(SUM(J311:J313),2)</f>
        <v>3.57</v>
      </c>
    </row>
    <row r="315" customFormat="false" ht="15" hidden="false" customHeight="false" outlineLevel="0" collapsed="false">
      <c r="J315" s="89"/>
    </row>
    <row r="316" customFormat="false" ht="15" hidden="false" customHeight="false" outlineLevel="0" collapsed="false">
      <c r="J316" s="89"/>
    </row>
    <row r="317" customFormat="false" ht="15" hidden="false" customHeight="false" outlineLevel="0" collapsed="false">
      <c r="A317" s="85" t="s">
        <v>276</v>
      </c>
      <c r="B317" s="85" t="str">
        <f aca="false">ARQUITECTURA!A24</f>
        <v>03.03.05</v>
      </c>
      <c r="C317" s="85" t="s">
        <v>934</v>
      </c>
      <c r="D317" s="85"/>
    </row>
    <row r="318" customFormat="false" ht="15" hidden="false" customHeight="false" outlineLevel="0" collapsed="false">
      <c r="A318" s="85" t="s">
        <v>277</v>
      </c>
      <c r="B318" s="85" t="s">
        <v>278</v>
      </c>
      <c r="C318" s="87" t="s">
        <v>279</v>
      </c>
      <c r="D318" s="88" t="n">
        <v>40</v>
      </c>
      <c r="E318" s="87" t="s">
        <v>280</v>
      </c>
      <c r="F318" s="88" t="n">
        <f aca="false">D318</f>
        <v>40</v>
      </c>
      <c r="G318" s="85" t="s">
        <v>281</v>
      </c>
      <c r="I318" s="87" t="s">
        <v>132</v>
      </c>
      <c r="J318" s="89" t="n">
        <f aca="false">J325+J332+J337</f>
        <v>51.99</v>
      </c>
    </row>
    <row r="319" customFormat="false" ht="15" hidden="false" customHeight="false" outlineLevel="0" collapsed="false">
      <c r="A319" s="85" t="s">
        <v>282</v>
      </c>
      <c r="B319" s="85" t="s">
        <v>283</v>
      </c>
      <c r="F319" s="87" t="s">
        <v>121</v>
      </c>
      <c r="G319" s="87" t="s">
        <v>284</v>
      </c>
      <c r="H319" s="87" t="n">
        <v>0.0556</v>
      </c>
      <c r="I319" s="87" t="s">
        <v>286</v>
      </c>
      <c r="J319" s="87" t="s">
        <v>287</v>
      </c>
    </row>
    <row r="320" customFormat="false" ht="15" hidden="false" customHeight="false" outlineLevel="0" collapsed="false">
      <c r="B320" s="90" t="s">
        <v>288</v>
      </c>
    </row>
    <row r="321" customFormat="false" ht="15" hidden="false" customHeight="false" outlineLevel="0" collapsed="false">
      <c r="B321" s="1" t="s">
        <v>649</v>
      </c>
      <c r="F321" s="57" t="s">
        <v>290</v>
      </c>
      <c r="G321" s="58" t="n">
        <v>0.1</v>
      </c>
      <c r="H321" s="59" t="n">
        <f aca="false">G321*8/$D$318</f>
        <v>0.02</v>
      </c>
      <c r="I321" s="30" t="n">
        <v>34.73</v>
      </c>
      <c r="J321" s="30" t="n">
        <f aca="false">H321*I321</f>
        <v>0.6946</v>
      </c>
      <c r="K321" s="1" t="n">
        <v>47</v>
      </c>
    </row>
    <row r="322" customFormat="false" ht="15" hidden="false" customHeight="false" outlineLevel="0" collapsed="false">
      <c r="B322" s="1" t="s">
        <v>289</v>
      </c>
      <c r="F322" s="57" t="s">
        <v>290</v>
      </c>
      <c r="G322" s="58" t="n">
        <v>1</v>
      </c>
      <c r="H322" s="59" t="n">
        <f aca="false">G322*8/$D$318</f>
        <v>0.2</v>
      </c>
      <c r="I322" s="30" t="n">
        <v>28.94</v>
      </c>
      <c r="J322" s="30" t="n">
        <f aca="false">H322*I322</f>
        <v>5.788</v>
      </c>
      <c r="K322" s="1" t="n">
        <v>47</v>
      </c>
    </row>
    <row r="323" customFormat="false" ht="15" hidden="false" customHeight="false" outlineLevel="0" collapsed="false">
      <c r="B323" s="1" t="s">
        <v>675</v>
      </c>
      <c r="F323" s="57" t="s">
        <v>290</v>
      </c>
      <c r="G323" s="58" t="n">
        <v>2</v>
      </c>
      <c r="H323" s="59" t="n">
        <f aca="false">G323*8/$D$318</f>
        <v>0.4</v>
      </c>
      <c r="I323" s="30" t="n">
        <v>22.66</v>
      </c>
      <c r="J323" s="30" t="n">
        <f aca="false">H323*I323</f>
        <v>9.064</v>
      </c>
      <c r="K323" s="1" t="n">
        <v>47</v>
      </c>
    </row>
    <row r="324" customFormat="false" ht="15" hidden="false" customHeight="false" outlineLevel="0" collapsed="false">
      <c r="B324" s="1" t="s">
        <v>292</v>
      </c>
      <c r="F324" s="57" t="s">
        <v>290</v>
      </c>
      <c r="G324" s="58" t="n">
        <v>2</v>
      </c>
      <c r="H324" s="59" t="n">
        <f aca="false">G324*8/$D$318</f>
        <v>0.4</v>
      </c>
      <c r="I324" s="30" t="n">
        <v>20.51</v>
      </c>
      <c r="J324" s="30" t="n">
        <f aca="false">H324*I324</f>
        <v>8.204</v>
      </c>
      <c r="K324" s="1" t="n">
        <v>47</v>
      </c>
    </row>
    <row r="325" customFormat="false" ht="15" hidden="false" customHeight="false" outlineLevel="0" collapsed="false">
      <c r="F325" s="57"/>
      <c r="G325" s="58"/>
      <c r="H325" s="59"/>
      <c r="I325" s="30"/>
      <c r="J325" s="89" t="n">
        <f aca="false">ROUND(SUM(J321:J324),2)</f>
        <v>23.75</v>
      </c>
    </row>
    <row r="326" customFormat="false" ht="15" hidden="false" customHeight="false" outlineLevel="0" collapsed="false">
      <c r="B326" s="90" t="s">
        <v>652</v>
      </c>
      <c r="F326" s="57"/>
      <c r="G326" s="58"/>
      <c r="H326" s="59"/>
      <c r="J326" s="30"/>
    </row>
    <row r="327" customFormat="false" ht="15" hidden="false" customHeight="false" outlineLevel="0" collapsed="false">
      <c r="B327" s="1" t="s">
        <v>892</v>
      </c>
      <c r="F327" s="57" t="s">
        <v>202</v>
      </c>
      <c r="G327" s="58"/>
      <c r="H327" s="59" t="n">
        <v>0.009</v>
      </c>
      <c r="I327" s="30" t="n">
        <v>65</v>
      </c>
      <c r="J327" s="30" t="n">
        <f aca="false">H327*I327</f>
        <v>0.585</v>
      </c>
      <c r="K327" s="1" t="n">
        <v>4</v>
      </c>
    </row>
    <row r="328" customFormat="false" ht="15" hidden="false" customHeight="false" outlineLevel="0" collapsed="false">
      <c r="B328" s="1" t="s">
        <v>671</v>
      </c>
      <c r="F328" s="57" t="s">
        <v>202</v>
      </c>
      <c r="H328" s="59" t="n">
        <v>0.058</v>
      </c>
      <c r="I328" s="30" t="n">
        <v>47</v>
      </c>
      <c r="J328" s="30" t="n">
        <f aca="false">H328*I328</f>
        <v>2.726</v>
      </c>
      <c r="K328" s="1" t="n">
        <v>4</v>
      </c>
    </row>
    <row r="329" customFormat="false" ht="15" hidden="false" customHeight="false" outlineLevel="0" collapsed="false">
      <c r="B329" s="1" t="s">
        <v>305</v>
      </c>
      <c r="F329" s="57" t="s">
        <v>306</v>
      </c>
      <c r="H329" s="1" t="n">
        <v>0.482</v>
      </c>
      <c r="I329" s="30" t="n">
        <v>24.52</v>
      </c>
      <c r="J329" s="30" t="n">
        <f aca="false">H329*I329</f>
        <v>11.81864</v>
      </c>
      <c r="K329" s="1" t="n">
        <v>21</v>
      </c>
    </row>
    <row r="330" customFormat="false" ht="15" hidden="false" customHeight="false" outlineLevel="0" collapsed="false">
      <c r="B330" s="1" t="s">
        <v>916</v>
      </c>
      <c r="F330" s="57" t="s">
        <v>202</v>
      </c>
      <c r="H330" s="1" t="n">
        <v>0.05</v>
      </c>
      <c r="I330" s="30" t="n">
        <v>112</v>
      </c>
      <c r="J330" s="30" t="n">
        <f aca="false">H330*I330</f>
        <v>5.6</v>
      </c>
      <c r="K330" s="1" t="n">
        <v>37</v>
      </c>
    </row>
    <row r="331" customFormat="false" ht="15" hidden="false" customHeight="false" outlineLevel="0" collapsed="false">
      <c r="B331" s="1" t="s">
        <v>654</v>
      </c>
      <c r="F331" s="57" t="s">
        <v>202</v>
      </c>
      <c r="H331" s="59" t="n">
        <v>0.011</v>
      </c>
      <c r="I331" s="1" t="n">
        <v>6.14</v>
      </c>
      <c r="J331" s="30" t="n">
        <f aca="false">H331*I331</f>
        <v>0.06754</v>
      </c>
      <c r="K331" s="1" t="n">
        <v>30</v>
      </c>
    </row>
    <row r="332" customFormat="false" ht="15" hidden="false" customHeight="false" outlineLevel="0" collapsed="false">
      <c r="F332" s="57"/>
      <c r="H332" s="59"/>
      <c r="I332" s="30"/>
      <c r="J332" s="89" t="n">
        <f aca="false">ROUND(SUM(J327:J331),2)</f>
        <v>20.8</v>
      </c>
    </row>
    <row r="333" customFormat="false" ht="15" hidden="false" customHeight="false" outlineLevel="0" collapsed="false">
      <c r="B333" s="90" t="s">
        <v>308</v>
      </c>
    </row>
    <row r="334" customFormat="false" ht="15" hidden="false" customHeight="false" outlineLevel="0" collapsed="false">
      <c r="B334" s="1" t="s">
        <v>309</v>
      </c>
      <c r="F334" s="57" t="s">
        <v>310</v>
      </c>
      <c r="H334" s="59" t="n">
        <v>3</v>
      </c>
      <c r="I334" s="30" t="n">
        <f aca="false">J325</f>
        <v>23.75</v>
      </c>
      <c r="J334" s="30" t="n">
        <f aca="false">H334%*I334</f>
        <v>0.7125</v>
      </c>
      <c r="K334" s="1" t="n">
        <v>37</v>
      </c>
    </row>
    <row r="335" customFormat="false" ht="15" hidden="false" customHeight="false" outlineLevel="0" collapsed="false">
      <c r="B335" s="1" t="s">
        <v>935</v>
      </c>
      <c r="F335" s="57" t="s">
        <v>337</v>
      </c>
      <c r="G335" s="58" t="n">
        <v>1</v>
      </c>
      <c r="H335" s="59" t="n">
        <f aca="false">G335*8/$D$318</f>
        <v>0.2</v>
      </c>
      <c r="I335" s="30" t="n">
        <v>8</v>
      </c>
      <c r="J335" s="30" t="n">
        <f aca="false">H335*I335</f>
        <v>1.6</v>
      </c>
      <c r="K335" s="1" t="n">
        <v>39</v>
      </c>
    </row>
    <row r="336" customFormat="false" ht="15" hidden="false" customHeight="false" outlineLevel="0" collapsed="false">
      <c r="B336" s="1" t="s">
        <v>929</v>
      </c>
      <c r="F336" s="57" t="s">
        <v>337</v>
      </c>
      <c r="G336" s="58" t="n">
        <v>1</v>
      </c>
      <c r="H336" s="59" t="n">
        <f aca="false">G336*8/$D$318</f>
        <v>0.2</v>
      </c>
      <c r="I336" s="30" t="n">
        <v>25.63</v>
      </c>
      <c r="J336" s="30" t="n">
        <f aca="false">H336*I336</f>
        <v>5.126</v>
      </c>
      <c r="K336" s="1" t="n">
        <v>48</v>
      </c>
    </row>
    <row r="337" customFormat="false" ht="15" hidden="false" customHeight="false" outlineLevel="0" collapsed="false">
      <c r="A337" s="62"/>
      <c r="B337" s="62"/>
      <c r="C337" s="62"/>
      <c r="D337" s="62"/>
      <c r="E337" s="62"/>
      <c r="F337" s="62"/>
      <c r="G337" s="62"/>
      <c r="H337" s="62"/>
      <c r="I337" s="62"/>
      <c r="J337" s="91" t="n">
        <f aca="false">ROUND(SUM(J334:J336),2)</f>
        <v>7.44</v>
      </c>
    </row>
    <row r="338" customFormat="false" ht="15" hidden="false" customHeight="false" outlineLevel="0" collapsed="false">
      <c r="J338" s="89"/>
    </row>
    <row r="339" customFormat="false" ht="15" hidden="false" customHeight="false" outlineLevel="0" collapsed="false">
      <c r="A339" s="85" t="s">
        <v>276</v>
      </c>
      <c r="B339" s="85" t="str">
        <f aca="false">ARQUITECTURA!A25</f>
        <v>03.03.06</v>
      </c>
      <c r="C339" s="85" t="s">
        <v>936</v>
      </c>
      <c r="D339" s="85"/>
    </row>
    <row r="340" customFormat="false" ht="15" hidden="false" customHeight="false" outlineLevel="0" collapsed="false">
      <c r="A340" s="85" t="s">
        <v>277</v>
      </c>
      <c r="B340" s="85" t="s">
        <v>278</v>
      </c>
      <c r="C340" s="87" t="s">
        <v>279</v>
      </c>
      <c r="D340" s="88" t="n">
        <v>1</v>
      </c>
      <c r="E340" s="87" t="s">
        <v>280</v>
      </c>
      <c r="F340" s="88" t="n">
        <f aca="false">D340</f>
        <v>1</v>
      </c>
      <c r="G340" s="85" t="s">
        <v>281</v>
      </c>
      <c r="I340" s="87" t="s">
        <v>132</v>
      </c>
      <c r="J340" s="89" t="n">
        <f aca="false">J344</f>
        <v>201.23</v>
      </c>
    </row>
    <row r="341" customFormat="false" ht="15" hidden="false" customHeight="false" outlineLevel="0" collapsed="false">
      <c r="A341" s="85" t="s">
        <v>282</v>
      </c>
      <c r="B341" s="85" t="s">
        <v>283</v>
      </c>
      <c r="F341" s="87" t="s">
        <v>121</v>
      </c>
      <c r="G341" s="87" t="s">
        <v>284</v>
      </c>
      <c r="H341" s="87" t="n">
        <v>0.0556</v>
      </c>
      <c r="I341" s="87" t="s">
        <v>286</v>
      </c>
      <c r="J341" s="87" t="s">
        <v>287</v>
      </c>
    </row>
    <row r="342" customFormat="false" ht="15" hidden="false" customHeight="false" outlineLevel="0" collapsed="false">
      <c r="B342" s="90" t="s">
        <v>652</v>
      </c>
    </row>
    <row r="343" customFormat="false" ht="15" hidden="false" customHeight="false" outlineLevel="0" collapsed="false">
      <c r="B343" s="1" t="s">
        <v>937</v>
      </c>
      <c r="F343" s="57" t="s">
        <v>132</v>
      </c>
      <c r="G343" s="58"/>
      <c r="H343" s="59" t="n">
        <v>1</v>
      </c>
      <c r="I343" s="30" t="n">
        <v>201.23</v>
      </c>
      <c r="J343" s="30" t="n">
        <f aca="false">H343*I343</f>
        <v>201.23</v>
      </c>
      <c r="K343" s="1" t="n">
        <v>39</v>
      </c>
    </row>
    <row r="344" customFormat="false" ht="15" hidden="false" customHeight="false" outlineLevel="0" collapsed="false">
      <c r="A344" s="62"/>
      <c r="B344" s="62"/>
      <c r="C344" s="62"/>
      <c r="D344" s="62"/>
      <c r="E344" s="62"/>
      <c r="F344" s="62"/>
      <c r="G344" s="62"/>
      <c r="H344" s="62"/>
      <c r="I344" s="62"/>
      <c r="J344" s="91" t="n">
        <f aca="false">ROUND(SUM(J343),2)</f>
        <v>201.23</v>
      </c>
    </row>
    <row r="345" customFormat="false" ht="15" hidden="false" customHeight="false" outlineLevel="0" collapsed="false">
      <c r="J345" s="89"/>
    </row>
    <row r="346" customFormat="false" ht="15" hidden="false" customHeight="false" outlineLevel="0" collapsed="false">
      <c r="A346" s="85" t="s">
        <v>276</v>
      </c>
      <c r="B346" s="85" t="str">
        <f aca="false">ARQUITECTURA!A27</f>
        <v>03.04.01</v>
      </c>
      <c r="C346" s="85" t="s">
        <v>794</v>
      </c>
      <c r="D346" s="85"/>
    </row>
    <row r="347" customFormat="false" ht="15" hidden="false" customHeight="false" outlineLevel="0" collapsed="false">
      <c r="A347" s="85" t="s">
        <v>277</v>
      </c>
      <c r="B347" s="85" t="s">
        <v>313</v>
      </c>
      <c r="C347" s="87" t="s">
        <v>279</v>
      </c>
      <c r="D347" s="88" t="n">
        <v>20</v>
      </c>
      <c r="E347" s="87" t="s">
        <v>280</v>
      </c>
      <c r="F347" s="88" t="n">
        <f aca="false">D347</f>
        <v>20</v>
      </c>
      <c r="G347" s="85" t="s">
        <v>281</v>
      </c>
      <c r="I347" s="87" t="s">
        <v>143</v>
      </c>
      <c r="J347" s="89" t="n">
        <f aca="false">J353+J358+J361</f>
        <v>20.57</v>
      </c>
    </row>
    <row r="348" customFormat="false" ht="15" hidden="false" customHeight="false" outlineLevel="0" collapsed="false">
      <c r="A348" s="85" t="s">
        <v>282</v>
      </c>
      <c r="B348" s="85" t="s">
        <v>283</v>
      </c>
      <c r="F348" s="87" t="s">
        <v>121</v>
      </c>
      <c r="G348" s="87" t="s">
        <v>284</v>
      </c>
      <c r="H348" s="87" t="n">
        <v>0.0556</v>
      </c>
      <c r="I348" s="87" t="s">
        <v>286</v>
      </c>
      <c r="J348" s="87" t="s">
        <v>287</v>
      </c>
    </row>
    <row r="349" customFormat="false" ht="15" hidden="false" customHeight="false" outlineLevel="0" collapsed="false">
      <c r="B349" s="90" t="s">
        <v>288</v>
      </c>
    </row>
    <row r="350" customFormat="false" ht="15" hidden="false" customHeight="false" outlineLevel="0" collapsed="false">
      <c r="B350" s="1" t="s">
        <v>649</v>
      </c>
      <c r="F350" s="57" t="s">
        <v>290</v>
      </c>
      <c r="G350" s="58" t="n">
        <v>0.1</v>
      </c>
      <c r="H350" s="59" t="n">
        <f aca="false">G350*8/$D$347</f>
        <v>0.04</v>
      </c>
      <c r="I350" s="30" t="n">
        <v>34.73</v>
      </c>
      <c r="J350" s="30" t="n">
        <f aca="false">H350*I350</f>
        <v>1.3892</v>
      </c>
      <c r="K350" s="1" t="n">
        <v>47</v>
      </c>
    </row>
    <row r="351" customFormat="false" ht="15" hidden="false" customHeight="false" outlineLevel="0" collapsed="false">
      <c r="B351" s="1" t="s">
        <v>289</v>
      </c>
      <c r="F351" s="57" t="s">
        <v>290</v>
      </c>
      <c r="G351" s="58" t="n">
        <v>1</v>
      </c>
      <c r="H351" s="59" t="n">
        <f aca="false">G351*8/$D$347</f>
        <v>0.4</v>
      </c>
      <c r="I351" s="30" t="n">
        <v>28.94</v>
      </c>
      <c r="J351" s="30" t="n">
        <f aca="false">H351*I351</f>
        <v>11.576</v>
      </c>
      <c r="K351" s="1" t="n">
        <v>47</v>
      </c>
    </row>
    <row r="352" customFormat="false" ht="15" hidden="false" customHeight="false" outlineLevel="0" collapsed="false">
      <c r="B352" s="1" t="s">
        <v>292</v>
      </c>
      <c r="F352" s="57" t="s">
        <v>290</v>
      </c>
      <c r="G352" s="58" t="n">
        <v>0.3</v>
      </c>
      <c r="H352" s="59" t="n">
        <f aca="false">G352*8/$D$347</f>
        <v>0.12</v>
      </c>
      <c r="I352" s="30" t="n">
        <v>20.51</v>
      </c>
      <c r="J352" s="30" t="n">
        <f aca="false">H352*I352</f>
        <v>2.4612</v>
      </c>
      <c r="K352" s="1" t="n">
        <v>47</v>
      </c>
    </row>
    <row r="353" customFormat="false" ht="15" hidden="false" customHeight="false" outlineLevel="0" collapsed="false">
      <c r="F353" s="57"/>
      <c r="G353" s="58"/>
      <c r="H353" s="59"/>
      <c r="I353" s="30"/>
      <c r="J353" s="89" t="n">
        <f aca="false">ROUND(SUM(J350:J352),2)</f>
        <v>15.43</v>
      </c>
    </row>
    <row r="354" customFormat="false" ht="15" hidden="false" customHeight="false" outlineLevel="0" collapsed="false">
      <c r="B354" s="90" t="s">
        <v>652</v>
      </c>
      <c r="F354" s="57"/>
      <c r="G354" s="58"/>
      <c r="H354" s="59"/>
      <c r="J354" s="30"/>
    </row>
    <row r="355" customFormat="false" ht="15" hidden="false" customHeight="false" outlineLevel="0" collapsed="false">
      <c r="B355" s="1" t="s">
        <v>938</v>
      </c>
      <c r="F355" s="57" t="s">
        <v>429</v>
      </c>
      <c r="H355" s="59" t="n">
        <v>0.35</v>
      </c>
      <c r="I355" s="30" t="n">
        <v>12.5</v>
      </c>
      <c r="J355" s="30" t="n">
        <f aca="false">H355*I355</f>
        <v>4.375</v>
      </c>
      <c r="K355" s="1" t="n">
        <v>39</v>
      </c>
    </row>
    <row r="356" customFormat="false" ht="15" hidden="false" customHeight="false" outlineLevel="0" collapsed="false">
      <c r="B356" s="1" t="s">
        <v>916</v>
      </c>
      <c r="F356" s="57" t="s">
        <v>148</v>
      </c>
      <c r="H356" s="59" t="n">
        <v>0.0025</v>
      </c>
      <c r="I356" s="30" t="n">
        <v>112</v>
      </c>
      <c r="J356" s="30" t="n">
        <f aca="false">H356*I356</f>
        <v>0.28</v>
      </c>
      <c r="K356" s="1" t="n">
        <v>37</v>
      </c>
    </row>
    <row r="357" customFormat="false" ht="15" hidden="false" customHeight="false" outlineLevel="0" collapsed="false">
      <c r="B357" s="1" t="s">
        <v>662</v>
      </c>
      <c r="F357" s="57" t="s">
        <v>202</v>
      </c>
      <c r="H357" s="59" t="n">
        <v>0.0042</v>
      </c>
      <c r="I357" s="30" t="n">
        <v>6.14</v>
      </c>
      <c r="J357" s="30" t="n">
        <f aca="false">H357*I357</f>
        <v>0.025788</v>
      </c>
      <c r="K357" s="1" t="n">
        <v>30</v>
      </c>
    </row>
    <row r="358" customFormat="false" ht="15" hidden="false" customHeight="false" outlineLevel="0" collapsed="false">
      <c r="F358" s="57"/>
      <c r="H358" s="59"/>
      <c r="I358" s="30"/>
      <c r="J358" s="89" t="n">
        <f aca="false">ROUND(SUM(J355:J357),2)</f>
        <v>4.68</v>
      </c>
    </row>
    <row r="359" customFormat="false" ht="15" hidden="false" customHeight="false" outlineLevel="0" collapsed="false">
      <c r="B359" s="90" t="s">
        <v>308</v>
      </c>
    </row>
    <row r="360" customFormat="false" ht="15" hidden="false" customHeight="false" outlineLevel="0" collapsed="false">
      <c r="B360" s="1" t="s">
        <v>309</v>
      </c>
      <c r="F360" s="57" t="s">
        <v>310</v>
      </c>
      <c r="H360" s="59" t="n">
        <v>3</v>
      </c>
      <c r="I360" s="30" t="n">
        <f aca="false">J353</f>
        <v>15.43</v>
      </c>
      <c r="J360" s="30" t="n">
        <f aca="false">H360%*I360</f>
        <v>0.4629</v>
      </c>
      <c r="K360" s="1" t="n">
        <v>37</v>
      </c>
    </row>
    <row r="361" customFormat="false" ht="15" hidden="false" customHeight="false" outlineLevel="0" collapsed="false">
      <c r="A361" s="62"/>
      <c r="B361" s="62"/>
      <c r="C361" s="62"/>
      <c r="D361" s="62"/>
      <c r="E361" s="62"/>
      <c r="F361" s="62"/>
      <c r="G361" s="62"/>
      <c r="H361" s="62"/>
      <c r="I361" s="62"/>
      <c r="J361" s="91" t="n">
        <f aca="false">ROUND(SUM(J360:J360),2)</f>
        <v>0.46</v>
      </c>
    </row>
    <row r="363" customFormat="false" ht="15" hidden="false" customHeight="false" outlineLevel="0" collapsed="false">
      <c r="A363" s="85" t="s">
        <v>276</v>
      </c>
      <c r="B363" s="85" t="str">
        <f aca="false">ARQUITECTURA!A28</f>
        <v>03.04.02</v>
      </c>
      <c r="C363" s="85" t="s">
        <v>796</v>
      </c>
      <c r="D363" s="85"/>
    </row>
    <row r="364" customFormat="false" ht="15" hidden="false" customHeight="false" outlineLevel="0" collapsed="false">
      <c r="A364" s="85" t="s">
        <v>277</v>
      </c>
      <c r="B364" s="85" t="s">
        <v>313</v>
      </c>
      <c r="C364" s="87" t="s">
        <v>279</v>
      </c>
      <c r="D364" s="88" t="n">
        <v>20</v>
      </c>
      <c r="E364" s="87" t="s">
        <v>280</v>
      </c>
      <c r="F364" s="88" t="n">
        <f aca="false">D364</f>
        <v>20</v>
      </c>
      <c r="G364" s="85" t="s">
        <v>281</v>
      </c>
      <c r="I364" s="87" t="s">
        <v>143</v>
      </c>
      <c r="J364" s="89" t="n">
        <f aca="false">J370+J377+J380</f>
        <v>26.69</v>
      </c>
    </row>
    <row r="365" customFormat="false" ht="15" hidden="false" customHeight="false" outlineLevel="0" collapsed="false">
      <c r="A365" s="85" t="s">
        <v>282</v>
      </c>
      <c r="B365" s="85" t="s">
        <v>283</v>
      </c>
      <c r="F365" s="87" t="s">
        <v>121</v>
      </c>
      <c r="G365" s="87" t="s">
        <v>284</v>
      </c>
      <c r="H365" s="87" t="n">
        <v>0.0556</v>
      </c>
      <c r="I365" s="87" t="s">
        <v>286</v>
      </c>
      <c r="J365" s="87" t="s">
        <v>287</v>
      </c>
    </row>
    <row r="366" customFormat="false" ht="15" hidden="false" customHeight="false" outlineLevel="0" collapsed="false">
      <c r="B366" s="90" t="s">
        <v>288</v>
      </c>
    </row>
    <row r="367" customFormat="false" ht="15" hidden="false" customHeight="false" outlineLevel="0" collapsed="false">
      <c r="B367" s="1" t="s">
        <v>649</v>
      </c>
      <c r="F367" s="57" t="s">
        <v>290</v>
      </c>
      <c r="G367" s="58" t="n">
        <v>0.1</v>
      </c>
      <c r="H367" s="59" t="n">
        <f aca="false">G367*8/$D$364</f>
        <v>0.04</v>
      </c>
      <c r="I367" s="30" t="n">
        <v>34.73</v>
      </c>
      <c r="J367" s="30" t="n">
        <f aca="false">H367*I367</f>
        <v>1.3892</v>
      </c>
      <c r="K367" s="1" t="n">
        <v>47</v>
      </c>
    </row>
    <row r="368" customFormat="false" ht="15" hidden="false" customHeight="false" outlineLevel="0" collapsed="false">
      <c r="B368" s="1" t="s">
        <v>289</v>
      </c>
      <c r="F368" s="57" t="s">
        <v>290</v>
      </c>
      <c r="G368" s="58" t="n">
        <v>1</v>
      </c>
      <c r="H368" s="59" t="n">
        <f aca="false">G368*8/$D$364</f>
        <v>0.4</v>
      </c>
      <c r="I368" s="30" t="n">
        <v>28.94</v>
      </c>
      <c r="J368" s="30" t="n">
        <f aca="false">H368*I368</f>
        <v>11.576</v>
      </c>
      <c r="K368" s="1" t="n">
        <v>47</v>
      </c>
    </row>
    <row r="369" customFormat="false" ht="15" hidden="false" customHeight="false" outlineLevel="0" collapsed="false">
      <c r="B369" s="1" t="s">
        <v>292</v>
      </c>
      <c r="F369" s="57" t="s">
        <v>290</v>
      </c>
      <c r="G369" s="58" t="n">
        <v>0.3</v>
      </c>
      <c r="H369" s="59" t="n">
        <f aca="false">G369*8/$D$364</f>
        <v>0.12</v>
      </c>
      <c r="I369" s="30" t="n">
        <v>20.51</v>
      </c>
      <c r="J369" s="30" t="n">
        <f aca="false">H369*I369</f>
        <v>2.4612</v>
      </c>
      <c r="K369" s="1" t="n">
        <v>47</v>
      </c>
    </row>
    <row r="370" customFormat="false" ht="15" hidden="false" customHeight="false" outlineLevel="0" collapsed="false">
      <c r="F370" s="57"/>
      <c r="G370" s="58"/>
      <c r="H370" s="59"/>
      <c r="I370" s="30"/>
      <c r="J370" s="89" t="n">
        <f aca="false">ROUND(SUM(J367:J369),2)</f>
        <v>15.43</v>
      </c>
    </row>
    <row r="371" customFormat="false" ht="15" hidden="false" customHeight="false" outlineLevel="0" collapsed="false">
      <c r="B371" s="90" t="s">
        <v>652</v>
      </c>
      <c r="F371" s="57"/>
      <c r="G371" s="58"/>
      <c r="H371" s="59"/>
      <c r="J371" s="30"/>
    </row>
    <row r="372" customFormat="false" ht="15" hidden="false" customHeight="false" outlineLevel="0" collapsed="false">
      <c r="B372" s="1" t="s">
        <v>938</v>
      </c>
      <c r="F372" s="57" t="s">
        <v>429</v>
      </c>
      <c r="H372" s="59" t="n">
        <v>0.3508</v>
      </c>
      <c r="I372" s="30" t="n">
        <v>12.5</v>
      </c>
      <c r="J372" s="30" t="n">
        <f aca="false">H372*I372</f>
        <v>4.385</v>
      </c>
      <c r="K372" s="1" t="n">
        <v>39</v>
      </c>
    </row>
    <row r="373" customFormat="false" ht="15" hidden="false" customHeight="false" outlineLevel="0" collapsed="false">
      <c r="B373" s="1" t="s">
        <v>939</v>
      </c>
      <c r="F373" s="57" t="s">
        <v>940</v>
      </c>
      <c r="H373" s="59" t="n">
        <v>0.0127</v>
      </c>
      <c r="I373" s="30" t="n">
        <v>125</v>
      </c>
      <c r="J373" s="30" t="n">
        <f aca="false">H373*I373</f>
        <v>1.5875</v>
      </c>
      <c r="K373" s="1" t="n">
        <v>30</v>
      </c>
    </row>
    <row r="374" customFormat="false" ht="15" hidden="false" customHeight="false" outlineLevel="0" collapsed="false">
      <c r="B374" s="1" t="s">
        <v>941</v>
      </c>
      <c r="F374" s="57" t="s">
        <v>295</v>
      </c>
      <c r="H374" s="59" t="n">
        <v>0.8</v>
      </c>
      <c r="I374" s="30" t="n">
        <v>2.5</v>
      </c>
      <c r="J374" s="30" t="n">
        <f aca="false">H374*I374</f>
        <v>2</v>
      </c>
      <c r="K374" s="1" t="n">
        <v>39</v>
      </c>
    </row>
    <row r="375" customFormat="false" ht="15" hidden="false" customHeight="false" outlineLevel="0" collapsed="false">
      <c r="B375" s="1" t="s">
        <v>916</v>
      </c>
      <c r="F375" s="57" t="s">
        <v>148</v>
      </c>
      <c r="H375" s="1" t="n">
        <v>0.025</v>
      </c>
      <c r="I375" s="30" t="n">
        <v>112</v>
      </c>
      <c r="J375" s="30" t="n">
        <f aca="false">H375*I375</f>
        <v>2.8</v>
      </c>
      <c r="K375" s="1" t="n">
        <v>37</v>
      </c>
    </row>
    <row r="376" customFormat="false" ht="15" hidden="false" customHeight="false" outlineLevel="0" collapsed="false">
      <c r="B376" s="1" t="s">
        <v>662</v>
      </c>
      <c r="F376" s="57" t="s">
        <v>202</v>
      </c>
      <c r="H376" s="1" t="n">
        <v>0.0042</v>
      </c>
      <c r="I376" s="1" t="n">
        <v>6.14</v>
      </c>
      <c r="J376" s="30" t="n">
        <f aca="false">H376*I376</f>
        <v>0.025788</v>
      </c>
      <c r="K376" s="1" t="n">
        <v>30</v>
      </c>
    </row>
    <row r="377" customFormat="false" ht="15" hidden="false" customHeight="false" outlineLevel="0" collapsed="false">
      <c r="F377" s="57"/>
      <c r="H377" s="59"/>
      <c r="I377" s="30"/>
      <c r="J377" s="89" t="n">
        <f aca="false">ROUND(SUM(J372:J376),2)</f>
        <v>10.8</v>
      </c>
    </row>
    <row r="378" customFormat="false" ht="15" hidden="false" customHeight="false" outlineLevel="0" collapsed="false">
      <c r="B378" s="90" t="s">
        <v>308</v>
      </c>
    </row>
    <row r="379" customFormat="false" ht="15" hidden="false" customHeight="false" outlineLevel="0" collapsed="false">
      <c r="B379" s="1" t="s">
        <v>309</v>
      </c>
      <c r="F379" s="57" t="s">
        <v>310</v>
      </c>
      <c r="H379" s="59" t="n">
        <v>3</v>
      </c>
      <c r="I379" s="30" t="n">
        <f aca="false">J370</f>
        <v>15.43</v>
      </c>
      <c r="J379" s="30" t="n">
        <f aca="false">H379%*I379</f>
        <v>0.4629</v>
      </c>
      <c r="K379" s="1" t="n">
        <v>37</v>
      </c>
    </row>
    <row r="380" customFormat="false" ht="15" hidden="false" customHeight="false" outlineLevel="0" collapsed="false">
      <c r="A380" s="62"/>
      <c r="B380" s="62"/>
      <c r="C380" s="62"/>
      <c r="D380" s="62"/>
      <c r="E380" s="62"/>
      <c r="F380" s="62"/>
      <c r="G380" s="62"/>
      <c r="H380" s="62"/>
      <c r="I380" s="62"/>
      <c r="J380" s="91" t="n">
        <f aca="false">ROUND(SUM(J379:J379),2)</f>
        <v>0.46</v>
      </c>
    </row>
    <row r="382" customFormat="false" ht="15" hidden="false" customHeight="false" outlineLevel="0" collapsed="false">
      <c r="A382" s="85" t="s">
        <v>276</v>
      </c>
      <c r="B382" s="85" t="str">
        <f aca="false">ARQUITECTURA!A29</f>
        <v>03.04.03</v>
      </c>
      <c r="C382" s="85" t="s">
        <v>798</v>
      </c>
      <c r="D382" s="85"/>
    </row>
    <row r="383" customFormat="false" ht="15" hidden="false" customHeight="false" outlineLevel="0" collapsed="false">
      <c r="A383" s="85" t="s">
        <v>277</v>
      </c>
      <c r="B383" s="85" t="s">
        <v>313</v>
      </c>
      <c r="C383" s="87" t="s">
        <v>279</v>
      </c>
      <c r="D383" s="88" t="n">
        <v>20</v>
      </c>
      <c r="E383" s="87" t="s">
        <v>280</v>
      </c>
      <c r="F383" s="88" t="n">
        <f aca="false">D383</f>
        <v>20</v>
      </c>
      <c r="G383" s="85" t="s">
        <v>281</v>
      </c>
      <c r="I383" s="87" t="s">
        <v>143</v>
      </c>
      <c r="J383" s="89" t="n">
        <f aca="false">J389+J397+J400</f>
        <v>36.53</v>
      </c>
    </row>
    <row r="384" customFormat="false" ht="15" hidden="false" customHeight="false" outlineLevel="0" collapsed="false">
      <c r="A384" s="85" t="s">
        <v>282</v>
      </c>
      <c r="B384" s="85" t="s">
        <v>283</v>
      </c>
      <c r="F384" s="87" t="s">
        <v>121</v>
      </c>
      <c r="G384" s="87" t="s">
        <v>284</v>
      </c>
      <c r="H384" s="87" t="n">
        <v>0.0556</v>
      </c>
      <c r="I384" s="87" t="s">
        <v>286</v>
      </c>
      <c r="J384" s="87" t="s">
        <v>287</v>
      </c>
    </row>
    <row r="385" customFormat="false" ht="15" hidden="false" customHeight="false" outlineLevel="0" collapsed="false">
      <c r="B385" s="90" t="s">
        <v>288</v>
      </c>
    </row>
    <row r="386" customFormat="false" ht="15" hidden="false" customHeight="false" outlineLevel="0" collapsed="false">
      <c r="B386" s="1" t="s">
        <v>649</v>
      </c>
      <c r="F386" s="57" t="s">
        <v>290</v>
      </c>
      <c r="G386" s="58" t="n">
        <v>0.1</v>
      </c>
      <c r="H386" s="59" t="n">
        <f aca="false">G386*8/$D$383</f>
        <v>0.04</v>
      </c>
      <c r="I386" s="30" t="n">
        <v>34.73</v>
      </c>
      <c r="J386" s="30" t="n">
        <f aca="false">H386*I386</f>
        <v>1.3892</v>
      </c>
      <c r="K386" s="1" t="n">
        <v>47</v>
      </c>
    </row>
    <row r="387" customFormat="false" ht="15" hidden="false" customHeight="false" outlineLevel="0" collapsed="false">
      <c r="B387" s="1" t="s">
        <v>289</v>
      </c>
      <c r="F387" s="57" t="s">
        <v>290</v>
      </c>
      <c r="G387" s="58" t="n">
        <v>1</v>
      </c>
      <c r="H387" s="59" t="n">
        <f aca="false">G387*8/$D$383</f>
        <v>0.4</v>
      </c>
      <c r="I387" s="30" t="n">
        <v>28.94</v>
      </c>
      <c r="J387" s="30" t="n">
        <f aca="false">H387*I387</f>
        <v>11.576</v>
      </c>
      <c r="K387" s="1" t="n">
        <v>47</v>
      </c>
    </row>
    <row r="388" customFormat="false" ht="15" hidden="false" customHeight="false" outlineLevel="0" collapsed="false">
      <c r="B388" s="1" t="s">
        <v>292</v>
      </c>
      <c r="F388" s="57" t="s">
        <v>290</v>
      </c>
      <c r="G388" s="58" t="n">
        <v>2</v>
      </c>
      <c r="H388" s="59" t="n">
        <f aca="false">G388*8/$D$383</f>
        <v>0.8</v>
      </c>
      <c r="I388" s="30" t="n">
        <v>20.51</v>
      </c>
      <c r="J388" s="30" t="n">
        <f aca="false">H388*I388</f>
        <v>16.408</v>
      </c>
      <c r="K388" s="1" t="n">
        <v>47</v>
      </c>
    </row>
    <row r="389" customFormat="false" ht="15" hidden="false" customHeight="false" outlineLevel="0" collapsed="false">
      <c r="F389" s="57"/>
      <c r="G389" s="58"/>
      <c r="H389" s="59"/>
      <c r="I389" s="30"/>
      <c r="J389" s="89" t="n">
        <f aca="false">ROUND(SUM(J386:J388),2)</f>
        <v>29.37</v>
      </c>
    </row>
    <row r="390" customFormat="false" ht="15" hidden="false" customHeight="false" outlineLevel="0" collapsed="false">
      <c r="B390" s="90" t="s">
        <v>652</v>
      </c>
      <c r="F390" s="57"/>
      <c r="G390" s="58"/>
      <c r="H390" s="59"/>
      <c r="J390" s="30"/>
    </row>
    <row r="391" customFormat="false" ht="15" hidden="false" customHeight="false" outlineLevel="0" collapsed="false">
      <c r="B391" s="1" t="s">
        <v>912</v>
      </c>
      <c r="F391" s="57" t="s">
        <v>295</v>
      </c>
      <c r="H391" s="59" t="n">
        <v>0.063</v>
      </c>
      <c r="I391" s="30" t="n">
        <v>7.4</v>
      </c>
      <c r="J391" s="30" t="n">
        <f aca="false">H391*I391</f>
        <v>0.4662</v>
      </c>
      <c r="K391" s="1" t="n">
        <v>30</v>
      </c>
    </row>
    <row r="392" customFormat="false" ht="15" hidden="false" customHeight="false" outlineLevel="0" collapsed="false">
      <c r="B392" s="1" t="s">
        <v>930</v>
      </c>
      <c r="F392" s="57" t="s">
        <v>931</v>
      </c>
      <c r="H392" s="59" t="n">
        <v>0.05</v>
      </c>
      <c r="I392" s="30" t="n">
        <v>22.9</v>
      </c>
      <c r="J392" s="30" t="n">
        <f aca="false">H392*I392</f>
        <v>1.145</v>
      </c>
      <c r="K392" s="1" t="n">
        <v>39</v>
      </c>
    </row>
    <row r="393" customFormat="false" ht="15" hidden="false" customHeight="false" outlineLevel="0" collapsed="false">
      <c r="B393" s="1" t="s">
        <v>932</v>
      </c>
      <c r="F393" s="57" t="s">
        <v>132</v>
      </c>
      <c r="H393" s="59" t="n">
        <v>0.115</v>
      </c>
      <c r="I393" s="30" t="n">
        <v>38.9</v>
      </c>
      <c r="J393" s="30" t="n">
        <f aca="false">H393*I393</f>
        <v>4.4735</v>
      </c>
      <c r="K393" s="1" t="n">
        <v>30</v>
      </c>
    </row>
    <row r="394" customFormat="false" ht="15" hidden="false" customHeight="false" outlineLevel="0" collapsed="false">
      <c r="B394" s="1" t="s">
        <v>933</v>
      </c>
      <c r="F394" s="57" t="s">
        <v>429</v>
      </c>
      <c r="H394" s="59" t="n">
        <v>0.02</v>
      </c>
      <c r="I394" s="30" t="n">
        <v>8.5</v>
      </c>
      <c r="J394" s="30" t="n">
        <f aca="false">H394*I394</f>
        <v>0.17</v>
      </c>
      <c r="K394" s="1" t="n">
        <v>43</v>
      </c>
    </row>
    <row r="395" customFormat="false" ht="15" hidden="false" customHeight="false" outlineLevel="0" collapsed="false">
      <c r="B395" s="1" t="s">
        <v>916</v>
      </c>
      <c r="F395" s="57" t="s">
        <v>148</v>
      </c>
      <c r="H395" s="59" t="n">
        <v>0.0002</v>
      </c>
      <c r="I395" s="30" t="n">
        <v>112</v>
      </c>
      <c r="J395" s="30" t="n">
        <f aca="false">H395*I395</f>
        <v>0.0224</v>
      </c>
      <c r="K395" s="1" t="n">
        <v>37</v>
      </c>
    </row>
    <row r="396" customFormat="false" ht="15" hidden="false" customHeight="false" outlineLevel="0" collapsed="false">
      <c r="B396" s="1" t="s">
        <v>662</v>
      </c>
      <c r="F396" s="57" t="s">
        <v>202</v>
      </c>
      <c r="H396" s="59" t="n">
        <v>0.0009</v>
      </c>
      <c r="I396" s="30" t="n">
        <v>6.14</v>
      </c>
      <c r="J396" s="30" t="n">
        <f aca="false">H396*I396</f>
        <v>0.005526</v>
      </c>
      <c r="K396" s="1" t="n">
        <v>30</v>
      </c>
    </row>
    <row r="397" customFormat="false" ht="15" hidden="false" customHeight="false" outlineLevel="0" collapsed="false">
      <c r="F397" s="57"/>
      <c r="H397" s="59"/>
      <c r="I397" s="30"/>
      <c r="J397" s="89" t="n">
        <f aca="false">ROUND(SUM(J391:J396),2)</f>
        <v>6.28</v>
      </c>
    </row>
    <row r="398" customFormat="false" ht="15" hidden="false" customHeight="false" outlineLevel="0" collapsed="false">
      <c r="B398" s="90" t="s">
        <v>308</v>
      </c>
    </row>
    <row r="399" customFormat="false" ht="15" hidden="false" customHeight="false" outlineLevel="0" collapsed="false">
      <c r="B399" s="1" t="s">
        <v>309</v>
      </c>
      <c r="F399" s="57" t="s">
        <v>310</v>
      </c>
      <c r="H399" s="59" t="n">
        <v>3</v>
      </c>
      <c r="I399" s="30" t="n">
        <f aca="false">J389</f>
        <v>29.37</v>
      </c>
      <c r="J399" s="30" t="n">
        <f aca="false">H399%*I399</f>
        <v>0.8811</v>
      </c>
      <c r="K399" s="1" t="n">
        <v>37</v>
      </c>
    </row>
    <row r="400" customFormat="false" ht="15" hidden="false" customHeight="false" outlineLevel="0" collapsed="false">
      <c r="A400" s="62"/>
      <c r="B400" s="62"/>
      <c r="C400" s="62"/>
      <c r="D400" s="62"/>
      <c r="E400" s="62"/>
      <c r="F400" s="62"/>
      <c r="G400" s="62"/>
      <c r="H400" s="62"/>
      <c r="I400" s="62"/>
      <c r="J400" s="91" t="n">
        <f aca="false">ROUND(SUM(J399:J399),2)</f>
        <v>0.88</v>
      </c>
    </row>
    <row r="402" customFormat="false" ht="15" hidden="false" customHeight="false" outlineLevel="0" collapsed="false">
      <c r="A402" s="85" t="s">
        <v>276</v>
      </c>
      <c r="B402" s="85" t="str">
        <f aca="false">ARQUITECTURA!A30</f>
        <v>03.04.04</v>
      </c>
      <c r="C402" s="85" t="s">
        <v>800</v>
      </c>
      <c r="D402" s="85"/>
    </row>
    <row r="403" customFormat="false" ht="15" hidden="false" customHeight="false" outlineLevel="0" collapsed="false">
      <c r="A403" s="85" t="s">
        <v>277</v>
      </c>
      <c r="B403" s="85" t="s">
        <v>313</v>
      </c>
      <c r="C403" s="87" t="s">
        <v>279</v>
      </c>
      <c r="D403" s="88" t="n">
        <v>8</v>
      </c>
      <c r="E403" s="87" t="s">
        <v>280</v>
      </c>
      <c r="F403" s="88" t="n">
        <f aca="false">D403</f>
        <v>8</v>
      </c>
      <c r="G403" s="85" t="s">
        <v>281</v>
      </c>
      <c r="I403" s="87" t="s">
        <v>143</v>
      </c>
      <c r="J403" s="89" t="n">
        <f aca="false">J407</f>
        <v>25</v>
      </c>
    </row>
    <row r="404" customFormat="false" ht="15" hidden="false" customHeight="false" outlineLevel="0" collapsed="false">
      <c r="A404" s="85" t="s">
        <v>282</v>
      </c>
      <c r="B404" s="85" t="s">
        <v>283</v>
      </c>
      <c r="F404" s="87" t="s">
        <v>121</v>
      </c>
      <c r="G404" s="87" t="s">
        <v>284</v>
      </c>
      <c r="H404" s="87" t="n">
        <v>0.0556</v>
      </c>
      <c r="I404" s="87" t="s">
        <v>286</v>
      </c>
      <c r="J404" s="87" t="s">
        <v>287</v>
      </c>
    </row>
    <row r="405" customFormat="false" ht="15" hidden="false" customHeight="false" outlineLevel="0" collapsed="false">
      <c r="B405" s="90" t="s">
        <v>293</v>
      </c>
    </row>
    <row r="406" customFormat="false" ht="15" hidden="false" customHeight="false" outlineLevel="0" collapsed="false">
      <c r="B406" s="1" t="s">
        <v>800</v>
      </c>
      <c r="F406" s="57" t="s">
        <v>143</v>
      </c>
      <c r="G406" s="58"/>
      <c r="H406" s="59" t="n">
        <v>1</v>
      </c>
      <c r="I406" s="30" t="n">
        <v>25</v>
      </c>
      <c r="J406" s="30" t="n">
        <f aca="false">H406*I406</f>
        <v>25</v>
      </c>
      <c r="K406" s="1" t="n">
        <v>43</v>
      </c>
    </row>
    <row r="407" customFormat="false" ht="15" hidden="false" customHeight="false" outlineLevel="0" collapsed="false">
      <c r="A407" s="62"/>
      <c r="B407" s="62"/>
      <c r="C407" s="62"/>
      <c r="D407" s="62"/>
      <c r="E407" s="62"/>
      <c r="F407" s="62"/>
      <c r="G407" s="62"/>
      <c r="H407" s="62"/>
      <c r="I407" s="62"/>
      <c r="J407" s="91" t="n">
        <f aca="false">ROUND(SUM(J406:J406),2)</f>
        <v>25</v>
      </c>
    </row>
    <row r="408" customFormat="false" ht="15" hidden="false" customHeight="false" outlineLevel="0" collapsed="false">
      <c r="J408" s="89"/>
    </row>
    <row r="409" customFormat="false" ht="15" hidden="false" customHeight="false" outlineLevel="0" collapsed="false">
      <c r="A409" s="85" t="s">
        <v>276</v>
      </c>
      <c r="B409" s="85" t="str">
        <f aca="false">ARQUITECTURA!A31</f>
        <v>03.04.05</v>
      </c>
      <c r="C409" s="85" t="s">
        <v>802</v>
      </c>
      <c r="D409" s="85"/>
    </row>
    <row r="410" customFormat="false" ht="15" hidden="false" customHeight="false" outlineLevel="0" collapsed="false">
      <c r="A410" s="85" t="s">
        <v>277</v>
      </c>
      <c r="B410" s="85" t="s">
        <v>313</v>
      </c>
      <c r="C410" s="87" t="s">
        <v>279</v>
      </c>
      <c r="D410" s="88" t="n">
        <v>12</v>
      </c>
      <c r="E410" s="87" t="s">
        <v>280</v>
      </c>
      <c r="F410" s="88" t="n">
        <f aca="false">D410</f>
        <v>12</v>
      </c>
      <c r="G410" s="85" t="s">
        <v>281</v>
      </c>
      <c r="I410" s="87" t="s">
        <v>143</v>
      </c>
      <c r="J410" s="89" t="n">
        <f aca="false">J416+J424+J427</f>
        <v>44.19</v>
      </c>
    </row>
    <row r="411" customFormat="false" ht="15" hidden="false" customHeight="false" outlineLevel="0" collapsed="false">
      <c r="A411" s="85" t="s">
        <v>282</v>
      </c>
      <c r="B411" s="85" t="s">
        <v>283</v>
      </c>
      <c r="F411" s="87" t="s">
        <v>121</v>
      </c>
      <c r="G411" s="87" t="s">
        <v>284</v>
      </c>
      <c r="H411" s="87" t="n">
        <v>0.0556</v>
      </c>
      <c r="I411" s="87" t="s">
        <v>286</v>
      </c>
      <c r="J411" s="87" t="s">
        <v>287</v>
      </c>
    </row>
    <row r="412" customFormat="false" ht="15" hidden="false" customHeight="false" outlineLevel="0" collapsed="false">
      <c r="B412" s="90" t="s">
        <v>288</v>
      </c>
    </row>
    <row r="413" customFormat="false" ht="15" hidden="false" customHeight="false" outlineLevel="0" collapsed="false">
      <c r="B413" s="1" t="s">
        <v>649</v>
      </c>
      <c r="F413" s="57" t="s">
        <v>290</v>
      </c>
      <c r="G413" s="58" t="n">
        <v>0.1</v>
      </c>
      <c r="H413" s="59" t="n">
        <f aca="false">G413*8/$D$410</f>
        <v>0.0666666666666667</v>
      </c>
      <c r="I413" s="30" t="n">
        <v>34.73</v>
      </c>
      <c r="J413" s="30" t="n">
        <f aca="false">H413*I413</f>
        <v>2.31533333333333</v>
      </c>
      <c r="K413" s="1" t="n">
        <v>47</v>
      </c>
    </row>
    <row r="414" customFormat="false" ht="15" hidden="false" customHeight="false" outlineLevel="0" collapsed="false">
      <c r="B414" s="1" t="s">
        <v>289</v>
      </c>
      <c r="F414" s="57" t="s">
        <v>290</v>
      </c>
      <c r="G414" s="58" t="n">
        <v>1</v>
      </c>
      <c r="H414" s="59" t="n">
        <f aca="false">G414*8/$D$410</f>
        <v>0.666666666666667</v>
      </c>
      <c r="I414" s="30" t="n">
        <v>28.94</v>
      </c>
      <c r="J414" s="30" t="n">
        <f aca="false">H414*I414</f>
        <v>19.2933333333333</v>
      </c>
      <c r="K414" s="1" t="n">
        <v>47</v>
      </c>
    </row>
    <row r="415" customFormat="false" ht="15" hidden="false" customHeight="false" outlineLevel="0" collapsed="false">
      <c r="B415" s="1" t="s">
        <v>292</v>
      </c>
      <c r="F415" s="57" t="s">
        <v>290</v>
      </c>
      <c r="G415" s="58" t="n">
        <v>0.3</v>
      </c>
      <c r="H415" s="59" t="n">
        <f aca="false">G415*8/$D$410</f>
        <v>0.2</v>
      </c>
      <c r="I415" s="30" t="n">
        <v>20.51</v>
      </c>
      <c r="J415" s="30" t="n">
        <f aca="false">H415*I415</f>
        <v>4.102</v>
      </c>
      <c r="K415" s="1" t="n">
        <v>47</v>
      </c>
    </row>
    <row r="416" customFormat="false" ht="15" hidden="false" customHeight="false" outlineLevel="0" collapsed="false">
      <c r="F416" s="57"/>
      <c r="G416" s="58"/>
      <c r="H416" s="59"/>
      <c r="I416" s="30"/>
      <c r="J416" s="89" t="n">
        <f aca="false">ROUND(SUM(J413:J415),2)</f>
        <v>25.71</v>
      </c>
    </row>
    <row r="417" customFormat="false" ht="15" hidden="false" customHeight="false" outlineLevel="0" collapsed="false">
      <c r="B417" s="90" t="s">
        <v>652</v>
      </c>
      <c r="F417" s="57"/>
      <c r="G417" s="58"/>
      <c r="H417" s="59"/>
      <c r="J417" s="30"/>
    </row>
    <row r="418" customFormat="false" ht="15" hidden="false" customHeight="false" outlineLevel="0" collapsed="false">
      <c r="B418" s="1" t="s">
        <v>912</v>
      </c>
      <c r="F418" s="57" t="s">
        <v>295</v>
      </c>
      <c r="H418" s="59" t="n">
        <v>0.189</v>
      </c>
      <c r="I418" s="30" t="n">
        <v>7.4</v>
      </c>
      <c r="J418" s="30" t="n">
        <f aca="false">H418*I418</f>
        <v>1.3986</v>
      </c>
      <c r="K418" s="1" t="n">
        <v>30</v>
      </c>
    </row>
    <row r="419" customFormat="false" ht="15" hidden="false" customHeight="false" outlineLevel="0" collapsed="false">
      <c r="B419" s="1" t="s">
        <v>930</v>
      </c>
      <c r="F419" s="57" t="s">
        <v>931</v>
      </c>
      <c r="H419" s="59" t="n">
        <v>0.1008</v>
      </c>
      <c r="I419" s="30" t="n">
        <v>22.9</v>
      </c>
      <c r="J419" s="30" t="n">
        <f aca="false">H419*I419</f>
        <v>2.30832</v>
      </c>
      <c r="K419" s="1" t="n">
        <v>39</v>
      </c>
    </row>
    <row r="420" customFormat="false" ht="15" hidden="false" customHeight="false" outlineLevel="0" collapsed="false">
      <c r="B420" s="1" t="s">
        <v>932</v>
      </c>
      <c r="F420" s="57" t="s">
        <v>132</v>
      </c>
      <c r="H420" s="59" t="n">
        <v>0.345</v>
      </c>
      <c r="I420" s="30" t="n">
        <v>38.9</v>
      </c>
      <c r="J420" s="30" t="n">
        <f aca="false">H420*I420</f>
        <v>13.4205</v>
      </c>
      <c r="K420" s="1" t="n">
        <v>30</v>
      </c>
    </row>
    <row r="421" customFormat="false" ht="15" hidden="false" customHeight="false" outlineLevel="0" collapsed="false">
      <c r="B421" s="1" t="s">
        <v>933</v>
      </c>
      <c r="F421" s="57" t="s">
        <v>429</v>
      </c>
      <c r="H421" s="59" t="n">
        <v>0.06</v>
      </c>
      <c r="I421" s="30" t="n">
        <v>8.5</v>
      </c>
      <c r="J421" s="30" t="n">
        <f aca="false">H421*I421</f>
        <v>0.51</v>
      </c>
      <c r="K421" s="1" t="n">
        <v>43</v>
      </c>
    </row>
    <row r="422" customFormat="false" ht="15" hidden="false" customHeight="false" outlineLevel="0" collapsed="false">
      <c r="B422" s="1" t="s">
        <v>916</v>
      </c>
      <c r="F422" s="57" t="s">
        <v>148</v>
      </c>
      <c r="H422" s="59" t="n">
        <v>0.0006</v>
      </c>
      <c r="I422" s="30" t="n">
        <v>112</v>
      </c>
      <c r="J422" s="30" t="n">
        <f aca="false">H422*I422</f>
        <v>0.0672</v>
      </c>
      <c r="K422" s="1" t="n">
        <v>37</v>
      </c>
    </row>
    <row r="423" customFormat="false" ht="15" hidden="false" customHeight="false" outlineLevel="0" collapsed="false">
      <c r="B423" s="1" t="s">
        <v>662</v>
      </c>
      <c r="F423" s="57" t="s">
        <v>202</v>
      </c>
      <c r="H423" s="59" t="n">
        <v>0.001</v>
      </c>
      <c r="I423" s="30" t="n">
        <v>6.14</v>
      </c>
      <c r="J423" s="30" t="n">
        <f aca="false">H423*I423</f>
        <v>0.00614</v>
      </c>
      <c r="K423" s="1" t="n">
        <v>30</v>
      </c>
    </row>
    <row r="424" customFormat="false" ht="15" hidden="false" customHeight="false" outlineLevel="0" collapsed="false">
      <c r="F424" s="57"/>
      <c r="H424" s="59"/>
      <c r="I424" s="30"/>
      <c r="J424" s="89" t="n">
        <f aca="false">ROUND(SUM(J418:J423),2)</f>
        <v>17.71</v>
      </c>
    </row>
    <row r="425" customFormat="false" ht="15" hidden="false" customHeight="false" outlineLevel="0" collapsed="false">
      <c r="B425" s="90" t="s">
        <v>308</v>
      </c>
    </row>
    <row r="426" customFormat="false" ht="15" hidden="false" customHeight="false" outlineLevel="0" collapsed="false">
      <c r="B426" s="1" t="s">
        <v>309</v>
      </c>
      <c r="F426" s="57" t="s">
        <v>310</v>
      </c>
      <c r="H426" s="59" t="n">
        <v>3</v>
      </c>
      <c r="I426" s="30" t="n">
        <f aca="false">J416</f>
        <v>25.71</v>
      </c>
      <c r="J426" s="30" t="n">
        <f aca="false">H426%*I426</f>
        <v>0.7713</v>
      </c>
      <c r="K426" s="1" t="n">
        <v>37</v>
      </c>
    </row>
    <row r="427" customFormat="false" ht="15" hidden="false" customHeight="false" outlineLevel="0" collapsed="false">
      <c r="A427" s="62"/>
      <c r="B427" s="62"/>
      <c r="C427" s="62"/>
      <c r="D427" s="62"/>
      <c r="E427" s="62"/>
      <c r="F427" s="62"/>
      <c r="G427" s="62"/>
      <c r="H427" s="62"/>
      <c r="I427" s="62"/>
      <c r="J427" s="91" t="n">
        <f aca="false">ROUND(SUM(J426:J426),2)</f>
        <v>0.77</v>
      </c>
    </row>
    <row r="428" customFormat="false" ht="15" hidden="false" customHeight="false" outlineLevel="0" collapsed="false">
      <c r="F428" s="57"/>
      <c r="G428" s="58"/>
      <c r="H428" s="59"/>
      <c r="I428" s="30"/>
      <c r="J428" s="30"/>
    </row>
    <row r="429" customFormat="false" ht="15" hidden="false" customHeight="false" outlineLevel="0" collapsed="false">
      <c r="A429" s="85" t="s">
        <v>276</v>
      </c>
      <c r="B429" s="85" t="str">
        <f aca="false">ARQUITECTURA!A32</f>
        <v>03.04.06</v>
      </c>
      <c r="C429" s="85" t="s">
        <v>804</v>
      </c>
      <c r="D429" s="85"/>
    </row>
    <row r="430" customFormat="false" ht="15" hidden="false" customHeight="false" outlineLevel="0" collapsed="false">
      <c r="A430" s="85" t="s">
        <v>277</v>
      </c>
      <c r="B430" s="85" t="s">
        <v>313</v>
      </c>
      <c r="C430" s="87" t="s">
        <v>279</v>
      </c>
      <c r="D430" s="88" t="n">
        <v>8</v>
      </c>
      <c r="E430" s="87" t="s">
        <v>280</v>
      </c>
      <c r="F430" s="88" t="n">
        <f aca="false">D430</f>
        <v>8</v>
      </c>
      <c r="G430" s="85" t="s">
        <v>281</v>
      </c>
      <c r="I430" s="87" t="s">
        <v>143</v>
      </c>
      <c r="J430" s="89" t="n">
        <f aca="false">J436+J443+J446</f>
        <v>84.43</v>
      </c>
    </row>
    <row r="431" customFormat="false" ht="15" hidden="false" customHeight="false" outlineLevel="0" collapsed="false">
      <c r="A431" s="85" t="s">
        <v>282</v>
      </c>
      <c r="B431" s="85" t="s">
        <v>283</v>
      </c>
      <c r="F431" s="87" t="s">
        <v>121</v>
      </c>
      <c r="G431" s="87" t="s">
        <v>284</v>
      </c>
      <c r="H431" s="87" t="n">
        <v>0.0556</v>
      </c>
      <c r="I431" s="87" t="s">
        <v>286</v>
      </c>
      <c r="J431" s="87" t="s">
        <v>287</v>
      </c>
    </row>
    <row r="432" customFormat="false" ht="15" hidden="false" customHeight="false" outlineLevel="0" collapsed="false">
      <c r="B432" s="90" t="s">
        <v>288</v>
      </c>
    </row>
    <row r="433" customFormat="false" ht="15" hidden="false" customHeight="false" outlineLevel="0" collapsed="false">
      <c r="B433" s="1" t="s">
        <v>649</v>
      </c>
      <c r="F433" s="57" t="s">
        <v>290</v>
      </c>
      <c r="G433" s="58" t="n">
        <v>0.1</v>
      </c>
      <c r="H433" s="59" t="n">
        <f aca="false">G433*8/$D$430</f>
        <v>0.1</v>
      </c>
      <c r="I433" s="30" t="n">
        <v>34.73</v>
      </c>
      <c r="J433" s="30" t="n">
        <f aca="false">H433*I433</f>
        <v>3.473</v>
      </c>
      <c r="K433" s="1" t="n">
        <v>47</v>
      </c>
    </row>
    <row r="434" customFormat="false" ht="15" hidden="false" customHeight="false" outlineLevel="0" collapsed="false">
      <c r="B434" s="1" t="s">
        <v>289</v>
      </c>
      <c r="F434" s="57" t="s">
        <v>290</v>
      </c>
      <c r="G434" s="58" t="n">
        <v>1</v>
      </c>
      <c r="H434" s="59" t="n">
        <f aca="false">G434*8/$D$430</f>
        <v>1</v>
      </c>
      <c r="I434" s="30" t="n">
        <v>28.94</v>
      </c>
      <c r="J434" s="30" t="n">
        <f aca="false">H434*I434</f>
        <v>28.94</v>
      </c>
      <c r="K434" s="1" t="n">
        <v>47</v>
      </c>
    </row>
    <row r="435" customFormat="false" ht="15" hidden="false" customHeight="false" outlineLevel="0" collapsed="false">
      <c r="B435" s="1" t="s">
        <v>292</v>
      </c>
      <c r="F435" s="57" t="s">
        <v>290</v>
      </c>
      <c r="G435" s="58" t="n">
        <v>2</v>
      </c>
      <c r="H435" s="59" t="n">
        <f aca="false">G435*8/$D$430</f>
        <v>2</v>
      </c>
      <c r="I435" s="30" t="n">
        <v>20.51</v>
      </c>
      <c r="J435" s="30" t="n">
        <f aca="false">H435*I435</f>
        <v>41.02</v>
      </c>
      <c r="K435" s="1" t="n">
        <v>47</v>
      </c>
    </row>
    <row r="436" customFormat="false" ht="15" hidden="false" customHeight="false" outlineLevel="0" collapsed="false">
      <c r="F436" s="57"/>
      <c r="G436" s="58"/>
      <c r="H436" s="59"/>
      <c r="I436" s="30"/>
      <c r="J436" s="89" t="n">
        <f aca="false">ROUND(SUM(J433:J435),2)</f>
        <v>73.43</v>
      </c>
    </row>
    <row r="437" customFormat="false" ht="15" hidden="false" customHeight="false" outlineLevel="0" collapsed="false">
      <c r="B437" s="90" t="s">
        <v>652</v>
      </c>
      <c r="F437" s="57"/>
      <c r="G437" s="58"/>
      <c r="H437" s="59"/>
      <c r="J437" s="30"/>
    </row>
    <row r="438" customFormat="false" ht="15" hidden="false" customHeight="false" outlineLevel="0" collapsed="false">
      <c r="B438" s="1" t="s">
        <v>892</v>
      </c>
      <c r="F438" s="57" t="s">
        <v>202</v>
      </c>
      <c r="H438" s="59" t="n">
        <v>0.063</v>
      </c>
      <c r="I438" s="30" t="n">
        <v>65</v>
      </c>
      <c r="J438" s="30" t="n">
        <f aca="false">H438*I438</f>
        <v>4.095</v>
      </c>
      <c r="K438" s="1" t="n">
        <v>4</v>
      </c>
    </row>
    <row r="439" customFormat="false" ht="15" hidden="false" customHeight="false" outlineLevel="0" collapsed="false">
      <c r="B439" s="1" t="s">
        <v>942</v>
      </c>
      <c r="F439" s="57" t="s">
        <v>429</v>
      </c>
      <c r="H439" s="59" t="n">
        <v>0.05</v>
      </c>
      <c r="I439" s="30" t="n">
        <v>70</v>
      </c>
      <c r="J439" s="30" t="n">
        <f aca="false">H439*I439</f>
        <v>3.5</v>
      </c>
      <c r="K439" s="1" t="n">
        <v>30</v>
      </c>
    </row>
    <row r="440" customFormat="false" ht="15" hidden="false" customHeight="false" outlineLevel="0" collapsed="false">
      <c r="B440" s="1" t="s">
        <v>662</v>
      </c>
      <c r="F440" s="57" t="s">
        <v>202</v>
      </c>
      <c r="H440" s="59" t="n">
        <v>0.115</v>
      </c>
      <c r="I440" s="30" t="n">
        <v>6.14</v>
      </c>
      <c r="J440" s="30" t="n">
        <f aca="false">H440*I440</f>
        <v>0.7061</v>
      </c>
      <c r="K440" s="1" t="n">
        <v>30</v>
      </c>
    </row>
    <row r="441" customFormat="false" ht="15" hidden="false" customHeight="false" outlineLevel="0" collapsed="false">
      <c r="B441" s="1" t="s">
        <v>943</v>
      </c>
      <c r="F441" s="57" t="s">
        <v>429</v>
      </c>
      <c r="H441" s="59" t="n">
        <v>0.02</v>
      </c>
      <c r="I441" s="30" t="n">
        <v>25</v>
      </c>
      <c r="J441" s="30" t="n">
        <f aca="false">H441*I441</f>
        <v>0.5</v>
      </c>
      <c r="K441" s="1" t="n">
        <v>39</v>
      </c>
    </row>
    <row r="442" customFormat="false" ht="15" hidden="false" customHeight="false" outlineLevel="0" collapsed="false">
      <c r="B442" s="1" t="s">
        <v>944</v>
      </c>
      <c r="F442" s="57" t="s">
        <v>295</v>
      </c>
      <c r="H442" s="59" t="n">
        <v>0.0002</v>
      </c>
      <c r="I442" s="30" t="n">
        <v>7</v>
      </c>
      <c r="J442" s="30" t="n">
        <f aca="false">H442*I442</f>
        <v>0.0014</v>
      </c>
      <c r="K442" s="1" t="n">
        <v>39</v>
      </c>
    </row>
    <row r="443" customFormat="false" ht="15" hidden="false" customHeight="false" outlineLevel="0" collapsed="false">
      <c r="F443" s="57"/>
      <c r="H443" s="59"/>
      <c r="I443" s="30"/>
      <c r="J443" s="89" t="n">
        <f aca="false">ROUND(SUM(J438:J442),2)</f>
        <v>8.8</v>
      </c>
    </row>
    <row r="444" customFormat="false" ht="15" hidden="false" customHeight="false" outlineLevel="0" collapsed="false">
      <c r="B444" s="90" t="s">
        <v>308</v>
      </c>
    </row>
    <row r="445" customFormat="false" ht="15" hidden="false" customHeight="false" outlineLevel="0" collapsed="false">
      <c r="B445" s="1" t="s">
        <v>309</v>
      </c>
      <c r="F445" s="57" t="s">
        <v>310</v>
      </c>
      <c r="H445" s="59" t="n">
        <v>3</v>
      </c>
      <c r="I445" s="30" t="n">
        <f aca="false">J436</f>
        <v>73.43</v>
      </c>
      <c r="J445" s="30" t="n">
        <f aca="false">H445%*I445</f>
        <v>2.2029</v>
      </c>
      <c r="K445" s="1" t="n">
        <v>37</v>
      </c>
    </row>
    <row r="446" customFormat="false" ht="15" hidden="false" customHeight="false" outlineLevel="0" collapsed="false">
      <c r="A446" s="62"/>
      <c r="B446" s="62"/>
      <c r="C446" s="62"/>
      <c r="D446" s="62"/>
      <c r="E446" s="62"/>
      <c r="F446" s="62"/>
      <c r="G446" s="62"/>
      <c r="H446" s="62"/>
      <c r="I446" s="62"/>
      <c r="J446" s="91" t="n">
        <f aca="false">ROUND(SUM(J445:J445),2)</f>
        <v>2.2</v>
      </c>
    </row>
    <row r="447" customFormat="false" ht="15" hidden="false" customHeight="false" outlineLevel="0" collapsed="false">
      <c r="J447" s="89"/>
    </row>
    <row r="448" customFormat="false" ht="15" hidden="false" customHeight="false" outlineLevel="0" collapsed="false">
      <c r="A448" s="85" t="s">
        <v>276</v>
      </c>
      <c r="B448" s="85" t="str">
        <f aca="false">ARQUITECTURA!A34</f>
        <v>03.05.01</v>
      </c>
      <c r="C448" s="85" t="s">
        <v>807</v>
      </c>
      <c r="D448" s="85"/>
      <c r="N448" s="85"/>
    </row>
    <row r="449" customFormat="false" ht="15" hidden="false" customHeight="false" outlineLevel="0" collapsed="false">
      <c r="A449" s="85" t="s">
        <v>277</v>
      </c>
      <c r="B449" s="85" t="s">
        <v>278</v>
      </c>
      <c r="C449" s="87" t="s">
        <v>279</v>
      </c>
      <c r="D449" s="88" t="n">
        <v>1</v>
      </c>
      <c r="E449" s="87" t="s">
        <v>280</v>
      </c>
      <c r="F449" s="88" t="n">
        <f aca="false">D449</f>
        <v>1</v>
      </c>
      <c r="G449" s="85" t="s">
        <v>281</v>
      </c>
      <c r="I449" s="87" t="s">
        <v>132</v>
      </c>
      <c r="J449" s="89" t="n">
        <f aca="false">J453</f>
        <v>560.62</v>
      </c>
      <c r="M449" s="85"/>
      <c r="N449" s="85"/>
    </row>
    <row r="450" customFormat="false" ht="15" hidden="false" customHeight="false" outlineLevel="0" collapsed="false">
      <c r="A450" s="85" t="s">
        <v>282</v>
      </c>
      <c r="B450" s="85" t="s">
        <v>283</v>
      </c>
      <c r="F450" s="87" t="s">
        <v>121</v>
      </c>
      <c r="G450" s="87" t="s">
        <v>284</v>
      </c>
      <c r="H450" s="87" t="n">
        <v>0.0556</v>
      </c>
      <c r="I450" s="87" t="s">
        <v>286</v>
      </c>
      <c r="J450" s="87" t="s">
        <v>287</v>
      </c>
      <c r="N450" s="85"/>
    </row>
    <row r="451" customFormat="false" ht="15" hidden="false" customHeight="false" outlineLevel="0" collapsed="false">
      <c r="B451" s="90" t="s">
        <v>293</v>
      </c>
      <c r="N451" s="85"/>
    </row>
    <row r="452" customFormat="false" ht="15" hidden="false" customHeight="false" outlineLevel="0" collapsed="false">
      <c r="B452" s="1" t="s">
        <v>807</v>
      </c>
      <c r="F452" s="57" t="s">
        <v>148</v>
      </c>
      <c r="G452" s="58"/>
      <c r="H452" s="59" t="n">
        <v>1</v>
      </c>
      <c r="I452" s="30" t="n">
        <v>560.6226</v>
      </c>
      <c r="J452" s="30" t="n">
        <f aca="false">H452*I452</f>
        <v>560.6226</v>
      </c>
      <c r="K452" s="1" t="n">
        <v>39</v>
      </c>
      <c r="N452" s="85"/>
    </row>
    <row r="453" customFormat="false" ht="15" hidden="false" customHeight="false" outlineLevel="0" collapsed="false">
      <c r="A453" s="62"/>
      <c r="B453" s="62"/>
      <c r="C453" s="62"/>
      <c r="D453" s="62"/>
      <c r="E453" s="62"/>
      <c r="F453" s="62"/>
      <c r="G453" s="62"/>
      <c r="H453" s="62"/>
      <c r="I453" s="62"/>
      <c r="J453" s="91" t="n">
        <f aca="false">ROUND(SUM(J452),2)</f>
        <v>560.62</v>
      </c>
      <c r="N453" s="85"/>
    </row>
    <row r="454" customFormat="false" ht="15" hidden="false" customHeight="false" outlineLevel="0" collapsed="false">
      <c r="N454" s="85"/>
    </row>
    <row r="455" customFormat="false" ht="15" hidden="false" customHeight="false" outlineLevel="0" collapsed="false">
      <c r="A455" s="85" t="s">
        <v>276</v>
      </c>
      <c r="B455" s="85" t="str">
        <f aca="false">ARQUITECTURA!A35</f>
        <v>03.05.02</v>
      </c>
      <c r="C455" s="85" t="s">
        <v>809</v>
      </c>
      <c r="D455" s="85"/>
      <c r="N455" s="85"/>
    </row>
    <row r="456" customFormat="false" ht="15" hidden="false" customHeight="false" outlineLevel="0" collapsed="false">
      <c r="A456" s="85" t="s">
        <v>277</v>
      </c>
      <c r="B456" s="85" t="s">
        <v>278</v>
      </c>
      <c r="C456" s="87" t="s">
        <v>279</v>
      </c>
      <c r="D456" s="88" t="n">
        <v>1</v>
      </c>
      <c r="E456" s="87" t="s">
        <v>280</v>
      </c>
      <c r="F456" s="88" t="n">
        <f aca="false">D456</f>
        <v>1</v>
      </c>
      <c r="G456" s="85" t="s">
        <v>281</v>
      </c>
      <c r="I456" s="87" t="s">
        <v>132</v>
      </c>
      <c r="J456" s="89" t="n">
        <f aca="false">J460</f>
        <v>367.87</v>
      </c>
      <c r="M456" s="85"/>
      <c r="N456" s="85"/>
    </row>
    <row r="457" customFormat="false" ht="15" hidden="false" customHeight="false" outlineLevel="0" collapsed="false">
      <c r="A457" s="85" t="s">
        <v>282</v>
      </c>
      <c r="B457" s="85" t="s">
        <v>283</v>
      </c>
      <c r="F457" s="87" t="s">
        <v>121</v>
      </c>
      <c r="G457" s="87" t="s">
        <v>284</v>
      </c>
      <c r="H457" s="87" t="n">
        <v>0.0556</v>
      </c>
      <c r="I457" s="87" t="s">
        <v>286</v>
      </c>
      <c r="J457" s="87" t="s">
        <v>287</v>
      </c>
      <c r="N457" s="85"/>
    </row>
    <row r="458" customFormat="false" ht="15" hidden="false" customHeight="false" outlineLevel="0" collapsed="false">
      <c r="B458" s="90" t="s">
        <v>293</v>
      </c>
      <c r="N458" s="85"/>
    </row>
    <row r="459" customFormat="false" ht="15" hidden="false" customHeight="false" outlineLevel="0" collapsed="false">
      <c r="B459" s="1" t="s">
        <v>809</v>
      </c>
      <c r="F459" s="57" t="s">
        <v>148</v>
      </c>
      <c r="G459" s="58"/>
      <c r="H459" s="59" t="n">
        <v>1</v>
      </c>
      <c r="I459" s="1" t="n">
        <v>367.870834240906</v>
      </c>
      <c r="J459" s="30" t="n">
        <f aca="false">H459*I459</f>
        <v>367.870834240906</v>
      </c>
      <c r="K459" s="1" t="n">
        <v>39</v>
      </c>
      <c r="N459" s="85"/>
    </row>
    <row r="460" customFormat="false" ht="15" hidden="false" customHeight="false" outlineLevel="0" collapsed="false">
      <c r="A460" s="62"/>
      <c r="B460" s="62"/>
      <c r="C460" s="62"/>
      <c r="D460" s="62"/>
      <c r="E460" s="62"/>
      <c r="F460" s="62"/>
      <c r="G460" s="62"/>
      <c r="H460" s="62"/>
      <c r="I460" s="62"/>
      <c r="J460" s="91" t="n">
        <f aca="false">ROUND(SUM(J459),2)</f>
        <v>367.87</v>
      </c>
    </row>
    <row r="462" customFormat="false" ht="15" hidden="false" customHeight="false" outlineLevel="0" collapsed="false">
      <c r="A462" s="85" t="s">
        <v>276</v>
      </c>
      <c r="B462" s="85" t="str">
        <f aca="false">ARQUITECTURA!A36</f>
        <v>03.05.03</v>
      </c>
      <c r="C462" s="85" t="s">
        <v>811</v>
      </c>
      <c r="D462" s="85"/>
    </row>
    <row r="463" customFormat="false" ht="15" hidden="false" customHeight="false" outlineLevel="0" collapsed="false">
      <c r="A463" s="85" t="s">
        <v>277</v>
      </c>
      <c r="B463" s="85" t="s">
        <v>278</v>
      </c>
      <c r="C463" s="87" t="s">
        <v>279</v>
      </c>
      <c r="D463" s="88" t="n">
        <v>1</v>
      </c>
      <c r="E463" s="87" t="s">
        <v>280</v>
      </c>
      <c r="F463" s="88" t="n">
        <f aca="false">D463</f>
        <v>1</v>
      </c>
      <c r="G463" s="85" t="s">
        <v>281</v>
      </c>
      <c r="I463" s="87" t="s">
        <v>132</v>
      </c>
      <c r="J463" s="89" t="n">
        <f aca="false">J467</f>
        <v>514.54</v>
      </c>
    </row>
    <row r="464" customFormat="false" ht="15" hidden="false" customHeight="false" outlineLevel="0" collapsed="false">
      <c r="A464" s="85" t="s">
        <v>282</v>
      </c>
      <c r="B464" s="85" t="s">
        <v>283</v>
      </c>
      <c r="F464" s="87" t="s">
        <v>121</v>
      </c>
      <c r="G464" s="87" t="s">
        <v>284</v>
      </c>
      <c r="H464" s="87" t="n">
        <v>0.0556</v>
      </c>
      <c r="I464" s="87" t="s">
        <v>286</v>
      </c>
      <c r="J464" s="87" t="s">
        <v>287</v>
      </c>
    </row>
    <row r="465" customFormat="false" ht="15" hidden="false" customHeight="false" outlineLevel="0" collapsed="false">
      <c r="B465" s="90" t="s">
        <v>293</v>
      </c>
    </row>
    <row r="466" customFormat="false" ht="15" hidden="false" customHeight="false" outlineLevel="0" collapsed="false">
      <c r="B466" s="1" t="s">
        <v>811</v>
      </c>
      <c r="F466" s="57" t="s">
        <v>148</v>
      </c>
      <c r="G466" s="58"/>
      <c r="H466" s="59" t="n">
        <v>1</v>
      </c>
      <c r="I466" s="1" t="n">
        <v>514.54</v>
      </c>
      <c r="J466" s="30" t="n">
        <f aca="false">H466*I466</f>
        <v>514.54</v>
      </c>
      <c r="K466" s="1" t="n">
        <v>39</v>
      </c>
    </row>
    <row r="467" customFormat="false" ht="15" hidden="false" customHeight="false" outlineLevel="0" collapsed="false">
      <c r="A467" s="62"/>
      <c r="B467" s="62"/>
      <c r="C467" s="62"/>
      <c r="D467" s="62"/>
      <c r="E467" s="62"/>
      <c r="F467" s="62"/>
      <c r="G467" s="62"/>
      <c r="H467" s="62"/>
      <c r="I467" s="62"/>
      <c r="J467" s="91" t="n">
        <f aca="false">ROUND(SUM(J466),2)</f>
        <v>514.54</v>
      </c>
    </row>
    <row r="469" customFormat="false" ht="15" hidden="false" customHeight="false" outlineLevel="0" collapsed="false">
      <c r="A469" s="85" t="s">
        <v>276</v>
      </c>
      <c r="B469" s="85" t="str">
        <f aca="false">ARQUITECTURA!A37</f>
        <v>03.05.04</v>
      </c>
      <c r="C469" s="85" t="s">
        <v>813</v>
      </c>
      <c r="D469" s="85"/>
    </row>
    <row r="470" customFormat="false" ht="15" hidden="false" customHeight="false" outlineLevel="0" collapsed="false">
      <c r="A470" s="85" t="s">
        <v>277</v>
      </c>
      <c r="B470" s="85" t="s">
        <v>278</v>
      </c>
      <c r="C470" s="87" t="s">
        <v>279</v>
      </c>
      <c r="D470" s="88" t="n">
        <v>1</v>
      </c>
      <c r="E470" s="87" t="s">
        <v>280</v>
      </c>
      <c r="F470" s="88" t="n">
        <f aca="false">D470</f>
        <v>1</v>
      </c>
      <c r="G470" s="85" t="s">
        <v>281</v>
      </c>
      <c r="I470" s="87" t="s">
        <v>132</v>
      </c>
      <c r="J470" s="89" t="n">
        <f aca="false">J474</f>
        <v>622.13</v>
      </c>
    </row>
    <row r="471" customFormat="false" ht="15" hidden="false" customHeight="false" outlineLevel="0" collapsed="false">
      <c r="A471" s="85" t="s">
        <v>282</v>
      </c>
      <c r="B471" s="85" t="s">
        <v>283</v>
      </c>
      <c r="F471" s="87" t="s">
        <v>121</v>
      </c>
      <c r="G471" s="87" t="s">
        <v>284</v>
      </c>
      <c r="H471" s="87" t="n">
        <v>0.0556</v>
      </c>
      <c r="I471" s="87" t="s">
        <v>286</v>
      </c>
      <c r="J471" s="87" t="s">
        <v>287</v>
      </c>
    </row>
    <row r="472" customFormat="false" ht="15" hidden="false" customHeight="false" outlineLevel="0" collapsed="false">
      <c r="B472" s="90" t="s">
        <v>293</v>
      </c>
    </row>
    <row r="473" customFormat="false" ht="15" hidden="false" customHeight="false" outlineLevel="0" collapsed="false">
      <c r="B473" s="1" t="s">
        <v>813</v>
      </c>
      <c r="F473" s="57" t="s">
        <v>148</v>
      </c>
      <c r="G473" s="58"/>
      <c r="H473" s="59" t="n">
        <v>1</v>
      </c>
      <c r="I473" s="1" t="n">
        <v>622.13</v>
      </c>
      <c r="J473" s="30" t="n">
        <f aca="false">H473*I473</f>
        <v>622.13</v>
      </c>
      <c r="K473" s="1" t="n">
        <v>39</v>
      </c>
    </row>
    <row r="474" customFormat="false" ht="15" hidden="false" customHeight="false" outlineLevel="0" collapsed="false">
      <c r="A474" s="62"/>
      <c r="B474" s="62"/>
      <c r="C474" s="62"/>
      <c r="D474" s="62"/>
      <c r="E474" s="62"/>
      <c r="F474" s="62"/>
      <c r="G474" s="62"/>
      <c r="H474" s="62"/>
      <c r="I474" s="62"/>
      <c r="J474" s="91" t="n">
        <f aca="false">ROUND(SUM(J473),2)</f>
        <v>622.13</v>
      </c>
    </row>
    <row r="476" customFormat="false" ht="15" hidden="false" customHeight="false" outlineLevel="0" collapsed="false">
      <c r="A476" s="85" t="s">
        <v>276</v>
      </c>
      <c r="B476" s="85" t="str">
        <f aca="false">ARQUITECTURA!A38</f>
        <v>03.05.05</v>
      </c>
      <c r="C476" s="85" t="s">
        <v>815</v>
      </c>
      <c r="D476" s="85"/>
    </row>
    <row r="477" customFormat="false" ht="15" hidden="false" customHeight="false" outlineLevel="0" collapsed="false">
      <c r="A477" s="85" t="s">
        <v>277</v>
      </c>
      <c r="B477" s="85" t="s">
        <v>278</v>
      </c>
      <c r="C477" s="87" t="s">
        <v>279</v>
      </c>
      <c r="D477" s="88" t="n">
        <v>1</v>
      </c>
      <c r="E477" s="87" t="s">
        <v>280</v>
      </c>
      <c r="F477" s="88" t="n">
        <f aca="false">D477</f>
        <v>1</v>
      </c>
      <c r="G477" s="85" t="s">
        <v>281</v>
      </c>
      <c r="I477" s="87" t="s">
        <v>132</v>
      </c>
      <c r="J477" s="89" t="n">
        <f aca="false">J481</f>
        <v>54.78</v>
      </c>
    </row>
    <row r="478" customFormat="false" ht="15" hidden="false" customHeight="false" outlineLevel="0" collapsed="false">
      <c r="A478" s="85" t="s">
        <v>282</v>
      </c>
      <c r="B478" s="85" t="s">
        <v>283</v>
      </c>
      <c r="F478" s="87" t="s">
        <v>121</v>
      </c>
      <c r="G478" s="87" t="s">
        <v>284</v>
      </c>
      <c r="H478" s="87" t="n">
        <v>0.0556</v>
      </c>
      <c r="I478" s="87" t="s">
        <v>286</v>
      </c>
      <c r="J478" s="87" t="s">
        <v>287</v>
      </c>
    </row>
    <row r="479" customFormat="false" ht="15" hidden="false" customHeight="false" outlineLevel="0" collapsed="false">
      <c r="B479" s="90" t="s">
        <v>293</v>
      </c>
    </row>
    <row r="480" customFormat="false" ht="15" hidden="false" customHeight="false" outlineLevel="0" collapsed="false">
      <c r="B480" s="1" t="s">
        <v>815</v>
      </c>
      <c r="F480" s="57" t="s">
        <v>148</v>
      </c>
      <c r="G480" s="58"/>
      <c r="H480" s="59" t="n">
        <v>1</v>
      </c>
      <c r="I480" s="1" t="n">
        <v>54.78</v>
      </c>
      <c r="J480" s="30" t="n">
        <f aca="false">H480*I480</f>
        <v>54.78</v>
      </c>
      <c r="K480" s="1" t="n">
        <v>39</v>
      </c>
    </row>
    <row r="481" customFormat="false" ht="15" hidden="false" customHeight="false" outlineLevel="0" collapsed="false">
      <c r="A481" s="62"/>
      <c r="B481" s="62"/>
      <c r="C481" s="62"/>
      <c r="D481" s="62"/>
      <c r="E481" s="62"/>
      <c r="F481" s="62"/>
      <c r="G481" s="62"/>
      <c r="H481" s="62"/>
      <c r="I481" s="62"/>
      <c r="J481" s="91" t="n">
        <f aca="false">ROUND(SUM(J480),2)</f>
        <v>54.78</v>
      </c>
    </row>
    <row r="482" customFormat="false" ht="15" hidden="false" customHeight="false" outlineLevel="0" collapsed="false">
      <c r="J482" s="89"/>
    </row>
    <row r="483" customFormat="false" ht="15" hidden="false" customHeight="false" outlineLevel="0" collapsed="false">
      <c r="A483" s="14" t="s">
        <v>276</v>
      </c>
      <c r="B483" s="85" t="str">
        <f aca="false">ARQUITECTURA!A40</f>
        <v>03.06.01</v>
      </c>
      <c r="C483" s="14" t="s">
        <v>818</v>
      </c>
      <c r="D483" s="14"/>
    </row>
    <row r="484" customFormat="false" ht="15" hidden="false" customHeight="false" outlineLevel="0" collapsed="false">
      <c r="A484" s="14" t="s">
        <v>277</v>
      </c>
      <c r="B484" s="14" t="s">
        <v>278</v>
      </c>
      <c r="C484" s="38" t="s">
        <v>279</v>
      </c>
      <c r="D484" s="54" t="n">
        <v>50</v>
      </c>
      <c r="E484" s="38" t="s">
        <v>280</v>
      </c>
      <c r="F484" s="54" t="n">
        <f aca="false">D484</f>
        <v>50</v>
      </c>
      <c r="G484" s="14" t="s">
        <v>281</v>
      </c>
      <c r="I484" s="38" t="s">
        <v>132</v>
      </c>
      <c r="J484" s="55" t="n">
        <f aca="false">J490+J497+J501</f>
        <v>15.62</v>
      </c>
    </row>
    <row r="485" customFormat="false" ht="15" hidden="false" customHeight="false" outlineLevel="0" collapsed="false">
      <c r="A485" s="14" t="s">
        <v>282</v>
      </c>
      <c r="B485" s="14" t="s">
        <v>283</v>
      </c>
      <c r="F485" s="38" t="s">
        <v>121</v>
      </c>
      <c r="G485" s="38" t="s">
        <v>284</v>
      </c>
      <c r="H485" s="38" t="s">
        <v>285</v>
      </c>
      <c r="I485" s="38" t="s">
        <v>286</v>
      </c>
      <c r="J485" s="38" t="s">
        <v>287</v>
      </c>
    </row>
    <row r="486" customFormat="false" ht="15" hidden="false" customHeight="false" outlineLevel="0" collapsed="false">
      <c r="B486" s="56" t="s">
        <v>288</v>
      </c>
    </row>
    <row r="487" customFormat="false" ht="15" hidden="false" customHeight="false" outlineLevel="0" collapsed="false">
      <c r="B487" s="1" t="s">
        <v>649</v>
      </c>
      <c r="F487" s="57" t="s">
        <v>290</v>
      </c>
      <c r="G487" s="58" t="n">
        <v>0.1</v>
      </c>
      <c r="H487" s="59" t="n">
        <f aca="false">G487*8/$D$484</f>
        <v>0.016</v>
      </c>
      <c r="I487" s="30" t="n">
        <v>34.73</v>
      </c>
      <c r="J487" s="30" t="n">
        <f aca="false">H487*I487</f>
        <v>0.55568</v>
      </c>
      <c r="K487" s="1" t="n">
        <v>47</v>
      </c>
    </row>
    <row r="488" customFormat="false" ht="15" hidden="false" customHeight="false" outlineLevel="0" collapsed="false">
      <c r="B488" s="1" t="s">
        <v>289</v>
      </c>
      <c r="F488" s="57" t="s">
        <v>290</v>
      </c>
      <c r="G488" s="58" t="n">
        <v>1</v>
      </c>
      <c r="H488" s="59" t="n">
        <f aca="false">G488*8/$D$484</f>
        <v>0.16</v>
      </c>
      <c r="I488" s="30" t="n">
        <v>28.94</v>
      </c>
      <c r="J488" s="30" t="n">
        <f aca="false">H488*I488</f>
        <v>4.6304</v>
      </c>
      <c r="K488" s="1" t="n">
        <v>47</v>
      </c>
    </row>
    <row r="489" customFormat="false" ht="15" hidden="false" customHeight="false" outlineLevel="0" collapsed="false">
      <c r="B489" s="1" t="s">
        <v>292</v>
      </c>
      <c r="F489" s="57" t="s">
        <v>290</v>
      </c>
      <c r="G489" s="58" t="n">
        <v>1</v>
      </c>
      <c r="H489" s="59" t="n">
        <f aca="false">G489*8/$D$484</f>
        <v>0.16</v>
      </c>
      <c r="I489" s="1" t="n">
        <v>20.51</v>
      </c>
      <c r="J489" s="30" t="n">
        <f aca="false">H489*I489</f>
        <v>3.2816</v>
      </c>
      <c r="K489" s="1" t="n">
        <v>47</v>
      </c>
    </row>
    <row r="490" customFormat="false" ht="15" hidden="false" customHeight="false" outlineLevel="0" collapsed="false">
      <c r="F490" s="57"/>
      <c r="G490" s="58"/>
      <c r="H490" s="59"/>
      <c r="J490" s="55" t="n">
        <f aca="false">ROUND(SUM(J487:J489),2)</f>
        <v>8.47</v>
      </c>
    </row>
    <row r="491" customFormat="false" ht="15" hidden="false" customHeight="false" outlineLevel="0" collapsed="false">
      <c r="B491" s="56" t="s">
        <v>652</v>
      </c>
      <c r="F491" s="57"/>
      <c r="G491" s="58"/>
      <c r="H491" s="30"/>
      <c r="J491" s="30"/>
    </row>
    <row r="492" customFormat="false" ht="15" hidden="false" customHeight="false" outlineLevel="0" collapsed="false">
      <c r="B492" s="1" t="s">
        <v>945</v>
      </c>
      <c r="F492" s="57" t="s">
        <v>148</v>
      </c>
      <c r="H492" s="30" t="n">
        <v>0.2</v>
      </c>
      <c r="I492" s="30" t="n">
        <v>0.85</v>
      </c>
      <c r="J492" s="30" t="n">
        <f aca="false">H492*I492</f>
        <v>0.17</v>
      </c>
      <c r="K492" s="1" t="n">
        <v>39</v>
      </c>
    </row>
    <row r="493" customFormat="false" ht="15" hidden="false" customHeight="false" outlineLevel="0" collapsed="false">
      <c r="B493" s="1" t="s">
        <v>946</v>
      </c>
      <c r="F493" s="57" t="s">
        <v>437</v>
      </c>
      <c r="H493" s="30" t="n">
        <v>0.044</v>
      </c>
      <c r="I493" s="30" t="n">
        <v>39.9</v>
      </c>
      <c r="J493" s="30" t="n">
        <f aca="false">H493*I493</f>
        <v>1.7556</v>
      </c>
      <c r="K493" s="1" t="n">
        <v>54</v>
      </c>
    </row>
    <row r="494" customFormat="false" ht="15" hidden="false" customHeight="false" outlineLevel="0" collapsed="false">
      <c r="B494" s="1" t="s">
        <v>947</v>
      </c>
      <c r="F494" s="57" t="s">
        <v>437</v>
      </c>
      <c r="H494" s="30" t="n">
        <v>0.035</v>
      </c>
      <c r="I494" s="30" t="n">
        <v>25.5</v>
      </c>
      <c r="J494" s="30" t="n">
        <f aca="false">H494*I494</f>
        <v>0.8925</v>
      </c>
      <c r="K494" s="1" t="n">
        <v>30</v>
      </c>
    </row>
    <row r="495" customFormat="false" ht="15" hidden="false" customHeight="false" outlineLevel="0" collapsed="false">
      <c r="B495" s="1" t="s">
        <v>948</v>
      </c>
      <c r="F495" s="57" t="s">
        <v>330</v>
      </c>
      <c r="H495" s="30" t="n">
        <v>0.005</v>
      </c>
      <c r="I495" s="30" t="n">
        <v>30</v>
      </c>
      <c r="J495" s="30" t="n">
        <f aca="false">H495*I495</f>
        <v>0.15</v>
      </c>
      <c r="K495" s="1" t="n">
        <v>39</v>
      </c>
    </row>
    <row r="496" customFormat="false" ht="15" hidden="false" customHeight="false" outlineLevel="0" collapsed="false">
      <c r="B496" s="1" t="s">
        <v>949</v>
      </c>
      <c r="F496" s="57" t="s">
        <v>437</v>
      </c>
      <c r="H496" s="30" t="n">
        <v>0.059</v>
      </c>
      <c r="I496" s="30" t="n">
        <v>34</v>
      </c>
      <c r="J496" s="30" t="n">
        <f aca="false">H496*I496</f>
        <v>2.006</v>
      </c>
      <c r="K496" s="1" t="n">
        <v>39</v>
      </c>
    </row>
    <row r="497" customFormat="false" ht="15" hidden="false" customHeight="false" outlineLevel="0" collapsed="false">
      <c r="F497" s="57"/>
      <c r="H497" s="30"/>
      <c r="I497" s="30"/>
      <c r="J497" s="55" t="n">
        <f aca="false">ROUND(SUM(J492:J496),2)</f>
        <v>4.97</v>
      </c>
    </row>
    <row r="498" customFormat="false" ht="15" hidden="false" customHeight="false" outlineLevel="0" collapsed="false">
      <c r="B498" s="56" t="s">
        <v>308</v>
      </c>
    </row>
    <row r="499" customFormat="false" ht="15" hidden="false" customHeight="false" outlineLevel="0" collapsed="false">
      <c r="B499" s="1" t="s">
        <v>309</v>
      </c>
      <c r="F499" s="57" t="s">
        <v>310</v>
      </c>
      <c r="H499" s="59" t="n">
        <v>5</v>
      </c>
      <c r="I499" s="30" t="n">
        <f aca="false">J490</f>
        <v>8.47</v>
      </c>
      <c r="J499" s="30" t="n">
        <f aca="false">H499%*I499</f>
        <v>0.4235</v>
      </c>
      <c r="K499" s="1" t="n">
        <v>37</v>
      </c>
    </row>
    <row r="500" customFormat="false" ht="15" hidden="false" customHeight="false" outlineLevel="0" collapsed="false">
      <c r="B500" s="1" t="s">
        <v>925</v>
      </c>
      <c r="C500" s="134"/>
      <c r="D500" s="134"/>
      <c r="E500" s="134"/>
      <c r="F500" s="57" t="s">
        <v>337</v>
      </c>
      <c r="G500" s="58" t="n">
        <v>2</v>
      </c>
      <c r="H500" s="59" t="n">
        <f aca="false">G500*8/$D$484</f>
        <v>0.32</v>
      </c>
      <c r="I500" s="30" t="n">
        <v>5.5</v>
      </c>
      <c r="J500" s="30" t="n">
        <f aca="false">H500*I500</f>
        <v>1.76</v>
      </c>
      <c r="K500" s="1" t="n">
        <v>39</v>
      </c>
    </row>
    <row r="501" customFormat="false" ht="15" hidden="false" customHeight="false" outlineLevel="0" collapsed="false">
      <c r="A501" s="62"/>
      <c r="B501" s="62"/>
      <c r="C501" s="62"/>
      <c r="D501" s="62"/>
      <c r="E501" s="62"/>
      <c r="F501" s="62"/>
      <c r="G501" s="62"/>
      <c r="H501" s="62"/>
      <c r="I501" s="83"/>
      <c r="J501" s="63" t="n">
        <f aca="false">ROUND(SUM(J499:J500),2)</f>
        <v>2.18</v>
      </c>
    </row>
    <row r="503" customFormat="false" ht="15" hidden="false" customHeight="false" outlineLevel="0" collapsed="false">
      <c r="A503" s="14" t="s">
        <v>276</v>
      </c>
      <c r="B503" s="85" t="str">
        <f aca="false">ARQUITECTURA!A41</f>
        <v>03.06.02</v>
      </c>
      <c r="C503" s="14" t="s">
        <v>820</v>
      </c>
      <c r="D503" s="14"/>
    </row>
    <row r="504" customFormat="false" ht="15" hidden="false" customHeight="false" outlineLevel="0" collapsed="false">
      <c r="A504" s="14" t="s">
        <v>277</v>
      </c>
      <c r="B504" s="14" t="s">
        <v>278</v>
      </c>
      <c r="C504" s="38" t="s">
        <v>279</v>
      </c>
      <c r="D504" s="54" t="n">
        <v>55</v>
      </c>
      <c r="E504" s="38" t="s">
        <v>280</v>
      </c>
      <c r="F504" s="54" t="n">
        <f aca="false">D504</f>
        <v>55</v>
      </c>
      <c r="G504" s="14" t="s">
        <v>281</v>
      </c>
      <c r="I504" s="38" t="s">
        <v>132</v>
      </c>
      <c r="J504" s="55" t="n">
        <f aca="false">J510+J518+J522</f>
        <v>15.96</v>
      </c>
    </row>
    <row r="505" customFormat="false" ht="15" hidden="false" customHeight="false" outlineLevel="0" collapsed="false">
      <c r="A505" s="14" t="s">
        <v>282</v>
      </c>
      <c r="B505" s="14" t="s">
        <v>283</v>
      </c>
      <c r="F505" s="38" t="s">
        <v>121</v>
      </c>
      <c r="G505" s="38" t="s">
        <v>284</v>
      </c>
      <c r="H505" s="38" t="s">
        <v>285</v>
      </c>
      <c r="I505" s="38" t="s">
        <v>286</v>
      </c>
      <c r="J505" s="38" t="s">
        <v>287</v>
      </c>
    </row>
    <row r="506" customFormat="false" ht="15" hidden="false" customHeight="false" outlineLevel="0" collapsed="false">
      <c r="B506" s="56" t="s">
        <v>288</v>
      </c>
    </row>
    <row r="507" customFormat="false" ht="15" hidden="false" customHeight="false" outlineLevel="0" collapsed="false">
      <c r="B507" s="1" t="s">
        <v>649</v>
      </c>
      <c r="F507" s="57" t="s">
        <v>290</v>
      </c>
      <c r="G507" s="58" t="n">
        <v>0.1</v>
      </c>
      <c r="H507" s="59" t="n">
        <f aca="false">G507*8/$D$504</f>
        <v>0.0145454545454545</v>
      </c>
      <c r="I507" s="30" t="n">
        <v>34.73</v>
      </c>
      <c r="J507" s="30" t="n">
        <f aca="false">H507*I507</f>
        <v>0.505163636363636</v>
      </c>
      <c r="K507" s="1" t="n">
        <v>47</v>
      </c>
    </row>
    <row r="508" customFormat="false" ht="15" hidden="false" customHeight="false" outlineLevel="0" collapsed="false">
      <c r="B508" s="1" t="s">
        <v>289</v>
      </c>
      <c r="F508" s="57" t="s">
        <v>290</v>
      </c>
      <c r="G508" s="58" t="n">
        <v>1</v>
      </c>
      <c r="H508" s="59" t="n">
        <f aca="false">G508*8/$D$504</f>
        <v>0.145454545454545</v>
      </c>
      <c r="I508" s="30" t="n">
        <v>28.94</v>
      </c>
      <c r="J508" s="30" t="n">
        <f aca="false">H508*I508</f>
        <v>4.20945454545455</v>
      </c>
      <c r="K508" s="1" t="n">
        <v>47</v>
      </c>
    </row>
    <row r="509" customFormat="false" ht="15" hidden="false" customHeight="false" outlineLevel="0" collapsed="false">
      <c r="B509" s="1" t="s">
        <v>292</v>
      </c>
      <c r="F509" s="57" t="s">
        <v>290</v>
      </c>
      <c r="G509" s="58" t="n">
        <v>1</v>
      </c>
      <c r="H509" s="59" t="n">
        <f aca="false">G509*8/$D$504</f>
        <v>0.145454545454545</v>
      </c>
      <c r="I509" s="1" t="n">
        <v>20.51</v>
      </c>
      <c r="J509" s="30" t="n">
        <f aca="false">H509*I509</f>
        <v>2.98327272727273</v>
      </c>
      <c r="K509" s="1" t="n">
        <v>47</v>
      </c>
    </row>
    <row r="510" customFormat="false" ht="15" hidden="false" customHeight="false" outlineLevel="0" collapsed="false">
      <c r="F510" s="57"/>
      <c r="G510" s="58"/>
      <c r="H510" s="59"/>
      <c r="J510" s="55" t="n">
        <f aca="false">ROUND(SUM(J507:J509),2)</f>
        <v>7.7</v>
      </c>
    </row>
    <row r="511" customFormat="false" ht="15" hidden="false" customHeight="false" outlineLevel="0" collapsed="false">
      <c r="B511" s="56" t="s">
        <v>652</v>
      </c>
      <c r="F511" s="57"/>
      <c r="G511" s="58"/>
      <c r="H511" s="30"/>
      <c r="J511" s="30"/>
    </row>
    <row r="512" customFormat="false" ht="15" hidden="false" customHeight="false" outlineLevel="0" collapsed="false">
      <c r="B512" s="1" t="s">
        <v>945</v>
      </c>
      <c r="F512" s="57" t="s">
        <v>148</v>
      </c>
      <c r="H512" s="30" t="n">
        <v>0.2</v>
      </c>
      <c r="I512" s="30" t="n">
        <v>0.85</v>
      </c>
      <c r="J512" s="30" t="n">
        <f aca="false">H512*I512</f>
        <v>0.17</v>
      </c>
      <c r="K512" s="1" t="n">
        <v>39</v>
      </c>
    </row>
    <row r="513" customFormat="false" ht="15" hidden="false" customHeight="false" outlineLevel="0" collapsed="false">
      <c r="B513" s="1" t="s">
        <v>950</v>
      </c>
      <c r="F513" s="57" t="s">
        <v>437</v>
      </c>
      <c r="H513" s="30" t="n">
        <v>0.05</v>
      </c>
      <c r="I513" s="30" t="n">
        <v>56.9</v>
      </c>
      <c r="J513" s="30" t="n">
        <f aca="false">H513*I513</f>
        <v>2.845</v>
      </c>
      <c r="K513" s="1" t="n">
        <v>54</v>
      </c>
    </row>
    <row r="514" customFormat="false" ht="15" hidden="false" customHeight="false" outlineLevel="0" collapsed="false">
      <c r="B514" s="1" t="s">
        <v>951</v>
      </c>
      <c r="F514" s="57" t="s">
        <v>437</v>
      </c>
      <c r="H514" s="30" t="n">
        <v>0.0066</v>
      </c>
      <c r="I514" s="30" t="n">
        <v>12.5</v>
      </c>
      <c r="J514" s="30" t="n">
        <f aca="false">H514*I514</f>
        <v>0.0825</v>
      </c>
      <c r="K514" s="1" t="n">
        <v>39</v>
      </c>
    </row>
    <row r="515" customFormat="false" ht="15" hidden="false" customHeight="false" outlineLevel="0" collapsed="false">
      <c r="B515" s="1" t="s">
        <v>901</v>
      </c>
      <c r="F515" s="57" t="s">
        <v>330</v>
      </c>
      <c r="H515" s="30" t="n">
        <v>0.005</v>
      </c>
      <c r="I515" s="30" t="n">
        <v>30</v>
      </c>
      <c r="J515" s="30" t="n">
        <f aca="false">H515*I515</f>
        <v>0.15</v>
      </c>
      <c r="K515" s="1" t="n">
        <v>39</v>
      </c>
    </row>
    <row r="516" customFormat="false" ht="15" hidden="false" customHeight="false" outlineLevel="0" collapsed="false">
      <c r="B516" s="1" t="s">
        <v>952</v>
      </c>
      <c r="F516" s="57" t="s">
        <v>437</v>
      </c>
      <c r="H516" s="30" t="n">
        <v>0.04</v>
      </c>
      <c r="I516" s="30" t="n">
        <v>25.5</v>
      </c>
      <c r="J516" s="30" t="n">
        <f aca="false">H516*I516</f>
        <v>1.02</v>
      </c>
      <c r="K516" s="1" t="n">
        <v>30</v>
      </c>
    </row>
    <row r="517" customFormat="false" ht="15" hidden="false" customHeight="false" outlineLevel="0" collapsed="false">
      <c r="B517" s="1" t="s">
        <v>953</v>
      </c>
      <c r="F517" s="57" t="s">
        <v>437</v>
      </c>
      <c r="H517" s="30" t="n">
        <v>0.059</v>
      </c>
      <c r="I517" s="30" t="n">
        <v>34</v>
      </c>
      <c r="J517" s="30" t="n">
        <f aca="false">H517*I517</f>
        <v>2.006</v>
      </c>
      <c r="K517" s="1" t="n">
        <v>39</v>
      </c>
    </row>
    <row r="518" customFormat="false" ht="15" hidden="false" customHeight="false" outlineLevel="0" collapsed="false">
      <c r="F518" s="57"/>
      <c r="H518" s="30"/>
      <c r="I518" s="30"/>
      <c r="J518" s="55" t="n">
        <f aca="false">ROUND(SUM(J512:J517),2)</f>
        <v>6.27</v>
      </c>
    </row>
    <row r="519" customFormat="false" ht="15" hidden="false" customHeight="false" outlineLevel="0" collapsed="false">
      <c r="B519" s="56" t="s">
        <v>308</v>
      </c>
    </row>
    <row r="520" customFormat="false" ht="15" hidden="false" customHeight="false" outlineLevel="0" collapsed="false">
      <c r="B520" s="1" t="s">
        <v>309</v>
      </c>
      <c r="F520" s="57" t="s">
        <v>310</v>
      </c>
      <c r="H520" s="59" t="n">
        <v>5</v>
      </c>
      <c r="I520" s="30" t="n">
        <f aca="false">J510</f>
        <v>7.7</v>
      </c>
      <c r="J520" s="30" t="n">
        <f aca="false">H520%*I520</f>
        <v>0.385</v>
      </c>
      <c r="K520" s="1" t="n">
        <v>37</v>
      </c>
    </row>
    <row r="521" customFormat="false" ht="15" hidden="false" customHeight="false" outlineLevel="0" collapsed="false">
      <c r="B521" s="1" t="s">
        <v>925</v>
      </c>
      <c r="C521" s="134"/>
      <c r="D521" s="134"/>
      <c r="E521" s="134"/>
      <c r="F521" s="57" t="s">
        <v>337</v>
      </c>
      <c r="G521" s="58" t="n">
        <v>2</v>
      </c>
      <c r="H521" s="59" t="n">
        <f aca="false">G521*8/$D$504</f>
        <v>0.290909090909091</v>
      </c>
      <c r="I521" s="30" t="n">
        <v>5.5</v>
      </c>
      <c r="J521" s="30" t="n">
        <f aca="false">H521*I521</f>
        <v>1.6</v>
      </c>
      <c r="K521" s="1" t="n">
        <v>39</v>
      </c>
    </row>
    <row r="522" customFormat="false" ht="15" hidden="false" customHeight="false" outlineLevel="0" collapsed="false">
      <c r="A522" s="62"/>
      <c r="B522" s="62"/>
      <c r="C522" s="62"/>
      <c r="D522" s="62"/>
      <c r="E522" s="62"/>
      <c r="F522" s="62"/>
      <c r="G522" s="62"/>
      <c r="H522" s="62"/>
      <c r="I522" s="83"/>
      <c r="J522" s="63" t="n">
        <f aca="false">ROUND(SUM(J520:J521),2)</f>
        <v>1.99</v>
      </c>
    </row>
    <row r="524" customFormat="false" ht="15" hidden="false" customHeight="false" outlineLevel="0" collapsed="false">
      <c r="A524" s="14" t="s">
        <v>276</v>
      </c>
      <c r="B524" s="85" t="str">
        <f aca="false">ARQUITECTURA!A45</f>
        <v>03.07.01.01</v>
      </c>
      <c r="C524" s="14" t="s">
        <v>823</v>
      </c>
      <c r="D524" s="14"/>
      <c r="E524" s="14"/>
      <c r="F524" s="14"/>
      <c r="G524" s="14"/>
      <c r="H524" s="14"/>
      <c r="I524" s="14"/>
    </row>
    <row r="525" customFormat="false" ht="15" hidden="false" customHeight="false" outlineLevel="0" collapsed="false">
      <c r="A525" s="14" t="s">
        <v>277</v>
      </c>
      <c r="B525" s="14" t="s">
        <v>278</v>
      </c>
      <c r="C525" s="38" t="s">
        <v>279</v>
      </c>
      <c r="D525" s="54" t="n">
        <v>100</v>
      </c>
      <c r="E525" s="38" t="s">
        <v>280</v>
      </c>
      <c r="F525" s="54" t="n">
        <f aca="false">D525</f>
        <v>100</v>
      </c>
      <c r="G525" s="14" t="s">
        <v>281</v>
      </c>
      <c r="I525" s="38" t="s">
        <v>132</v>
      </c>
      <c r="J525" s="55" t="n">
        <f aca="false">J531+J535+J538</f>
        <v>13.48</v>
      </c>
    </row>
    <row r="526" customFormat="false" ht="15" hidden="false" customHeight="false" outlineLevel="0" collapsed="false">
      <c r="A526" s="14" t="s">
        <v>282</v>
      </c>
      <c r="B526" s="14" t="s">
        <v>283</v>
      </c>
      <c r="F526" s="38" t="s">
        <v>121</v>
      </c>
      <c r="G526" s="38" t="s">
        <v>284</v>
      </c>
      <c r="H526" s="38" t="s">
        <v>285</v>
      </c>
      <c r="I526" s="38" t="s">
        <v>286</v>
      </c>
      <c r="J526" s="38" t="s">
        <v>287</v>
      </c>
    </row>
    <row r="527" customFormat="false" ht="15" hidden="false" customHeight="false" outlineLevel="0" collapsed="false">
      <c r="B527" s="56" t="s">
        <v>288</v>
      </c>
    </row>
    <row r="528" customFormat="false" ht="15" hidden="false" customHeight="false" outlineLevel="0" collapsed="false">
      <c r="B528" s="1" t="s">
        <v>649</v>
      </c>
      <c r="F528" s="57" t="s">
        <v>290</v>
      </c>
      <c r="G528" s="58" t="n">
        <v>0.1</v>
      </c>
      <c r="H528" s="59" t="n">
        <f aca="false">G528*8/$D$525</f>
        <v>0.008</v>
      </c>
      <c r="I528" s="30" t="n">
        <v>34.73</v>
      </c>
      <c r="J528" s="30" t="n">
        <f aca="false">H528*I528</f>
        <v>0.27784</v>
      </c>
      <c r="K528" s="1" t="n">
        <v>47</v>
      </c>
    </row>
    <row r="529" customFormat="false" ht="15" hidden="false" customHeight="false" outlineLevel="0" collapsed="false">
      <c r="B529" s="1" t="s">
        <v>675</v>
      </c>
      <c r="F529" s="57" t="s">
        <v>290</v>
      </c>
      <c r="G529" s="58" t="n">
        <v>1</v>
      </c>
      <c r="H529" s="59" t="n">
        <f aca="false">G529*8/$D$525</f>
        <v>0.08</v>
      </c>
      <c r="I529" s="30" t="n">
        <v>22.66</v>
      </c>
      <c r="J529" s="30" t="n">
        <f aca="false">H529*I529</f>
        <v>1.8128</v>
      </c>
      <c r="K529" s="1" t="n">
        <v>47</v>
      </c>
    </row>
    <row r="530" customFormat="false" ht="15" hidden="false" customHeight="false" outlineLevel="0" collapsed="false">
      <c r="B530" s="1" t="s">
        <v>292</v>
      </c>
      <c r="F530" s="57" t="s">
        <v>290</v>
      </c>
      <c r="G530" s="58" t="n">
        <v>1</v>
      </c>
      <c r="H530" s="59" t="n">
        <f aca="false">G530*8/$D$525</f>
        <v>0.08</v>
      </c>
      <c r="I530" s="30" t="n">
        <v>20.51</v>
      </c>
      <c r="J530" s="30" t="n">
        <f aca="false">H530*I530</f>
        <v>1.6408</v>
      </c>
      <c r="K530" s="1" t="n">
        <v>47</v>
      </c>
    </row>
    <row r="531" customFormat="false" ht="15" hidden="false" customHeight="false" outlineLevel="0" collapsed="false">
      <c r="F531" s="57"/>
      <c r="J531" s="55" t="n">
        <f aca="false">ROUND(SUM(J528:J530),2)</f>
        <v>3.73</v>
      </c>
    </row>
    <row r="532" customFormat="false" ht="15" hidden="false" customHeight="false" outlineLevel="0" collapsed="false">
      <c r="B532" s="56" t="s">
        <v>293</v>
      </c>
      <c r="F532" s="57"/>
    </row>
    <row r="533" customFormat="false" ht="15" hidden="false" customHeight="false" outlineLevel="0" collapsed="false">
      <c r="B533" s="1" t="s">
        <v>654</v>
      </c>
      <c r="F533" s="57" t="s">
        <v>202</v>
      </c>
      <c r="H533" s="59" t="n">
        <v>0.033</v>
      </c>
      <c r="I533" s="30" t="n">
        <v>6.14</v>
      </c>
      <c r="J533" s="30" t="n">
        <f aca="false">H533*I533</f>
        <v>0.20262</v>
      </c>
      <c r="K533" s="1" t="n">
        <v>30</v>
      </c>
    </row>
    <row r="534" customFormat="false" ht="15" hidden="false" customHeight="false" outlineLevel="0" collapsed="false">
      <c r="B534" s="1" t="s">
        <v>954</v>
      </c>
      <c r="F534" s="57" t="s">
        <v>202</v>
      </c>
      <c r="H534" s="59" t="n">
        <v>0.15</v>
      </c>
      <c r="I534" s="30" t="n">
        <v>62.8839032890438</v>
      </c>
      <c r="J534" s="30" t="n">
        <f aca="false">H534*I534</f>
        <v>9.43258549335657</v>
      </c>
      <c r="K534" s="1" t="n">
        <v>4</v>
      </c>
    </row>
    <row r="535" customFormat="false" ht="15" hidden="false" customHeight="false" outlineLevel="0" collapsed="false">
      <c r="F535" s="57"/>
      <c r="J535" s="55" t="n">
        <f aca="false">ROUND(SUM(J533:J534),2)</f>
        <v>9.64</v>
      </c>
    </row>
    <row r="536" customFormat="false" ht="15" hidden="false" customHeight="false" outlineLevel="0" collapsed="false">
      <c r="B536" s="56" t="s">
        <v>317</v>
      </c>
      <c r="F536" s="57"/>
      <c r="G536" s="58"/>
    </row>
    <row r="537" customFormat="false" ht="15" hidden="false" customHeight="false" outlineLevel="0" collapsed="false">
      <c r="B537" s="1" t="s">
        <v>309</v>
      </c>
      <c r="F537" s="57" t="s">
        <v>310</v>
      </c>
      <c r="G537" s="58"/>
      <c r="H537" s="59" t="n">
        <v>3</v>
      </c>
      <c r="I537" s="30" t="n">
        <f aca="false">J531</f>
        <v>3.73</v>
      </c>
      <c r="J537" s="30" t="n">
        <f aca="false">H537%*I537</f>
        <v>0.1119</v>
      </c>
      <c r="K537" s="1" t="n">
        <v>37</v>
      </c>
    </row>
    <row r="538" customFormat="false" ht="15" hidden="false" customHeight="false" outlineLevel="0" collapsed="false">
      <c r="A538" s="62"/>
      <c r="B538" s="62"/>
      <c r="C538" s="62"/>
      <c r="D538" s="62"/>
      <c r="E538" s="62"/>
      <c r="F538" s="62"/>
      <c r="G538" s="62"/>
      <c r="H538" s="62"/>
      <c r="I538" s="62"/>
      <c r="J538" s="63" t="n">
        <f aca="false">ROUND(SUM(J537),2)</f>
        <v>0.11</v>
      </c>
    </row>
    <row r="539" customFormat="false" ht="15" hidden="false" customHeight="false" outlineLevel="0" collapsed="false">
      <c r="F539" s="57"/>
      <c r="G539" s="58"/>
      <c r="H539" s="59"/>
      <c r="I539" s="30"/>
      <c r="J539" s="30"/>
    </row>
    <row r="540" customFormat="false" ht="15" hidden="false" customHeight="false" outlineLevel="0" collapsed="false">
      <c r="A540" s="14" t="s">
        <v>276</v>
      </c>
      <c r="B540" s="85" t="str">
        <f aca="false">ARQUITECTURA!A46</f>
        <v>03.07.01.02</v>
      </c>
      <c r="C540" s="14" t="s">
        <v>825</v>
      </c>
      <c r="D540" s="14"/>
      <c r="E540" s="14"/>
      <c r="F540" s="14"/>
      <c r="G540" s="14"/>
      <c r="H540" s="14"/>
      <c r="I540" s="14"/>
    </row>
    <row r="541" customFormat="false" ht="15" hidden="false" customHeight="false" outlineLevel="0" collapsed="false">
      <c r="A541" s="14" t="s">
        <v>277</v>
      </c>
      <c r="B541" s="14" t="s">
        <v>278</v>
      </c>
      <c r="C541" s="38" t="s">
        <v>279</v>
      </c>
      <c r="D541" s="54" t="n">
        <v>20</v>
      </c>
      <c r="E541" s="38" t="s">
        <v>280</v>
      </c>
      <c r="F541" s="54" t="n">
        <f aca="false">D541</f>
        <v>20</v>
      </c>
      <c r="G541" s="14" t="s">
        <v>281</v>
      </c>
      <c r="I541" s="38" t="s">
        <v>132</v>
      </c>
      <c r="J541" s="55" t="n">
        <f aca="false">J547+J552+J555</f>
        <v>73.86</v>
      </c>
    </row>
    <row r="542" customFormat="false" ht="15" hidden="false" customHeight="false" outlineLevel="0" collapsed="false">
      <c r="A542" s="14" t="s">
        <v>282</v>
      </c>
      <c r="B542" s="14" t="s">
        <v>283</v>
      </c>
      <c r="F542" s="38" t="s">
        <v>121</v>
      </c>
      <c r="G542" s="38" t="s">
        <v>284</v>
      </c>
      <c r="H542" s="38" t="s">
        <v>285</v>
      </c>
      <c r="I542" s="38" t="s">
        <v>286</v>
      </c>
      <c r="J542" s="38" t="s">
        <v>287</v>
      </c>
    </row>
    <row r="543" customFormat="false" ht="15" hidden="false" customHeight="false" outlineLevel="0" collapsed="false">
      <c r="B543" s="56" t="s">
        <v>288</v>
      </c>
    </row>
    <row r="544" customFormat="false" ht="15" hidden="false" customHeight="false" outlineLevel="0" collapsed="false">
      <c r="B544" s="1" t="s">
        <v>649</v>
      </c>
      <c r="F544" s="57" t="s">
        <v>290</v>
      </c>
      <c r="G544" s="58" t="n">
        <v>0.1</v>
      </c>
      <c r="H544" s="59" t="n">
        <f aca="false">G544*8/$D$541</f>
        <v>0.04</v>
      </c>
      <c r="I544" s="30" t="n">
        <v>34.73</v>
      </c>
      <c r="J544" s="30" t="n">
        <f aca="false">H544*I544</f>
        <v>1.3892</v>
      </c>
      <c r="K544" s="1" t="n">
        <v>47</v>
      </c>
      <c r="M544" s="85"/>
    </row>
    <row r="545" customFormat="false" ht="15" hidden="false" customHeight="false" outlineLevel="0" collapsed="false">
      <c r="B545" s="1" t="s">
        <v>675</v>
      </c>
      <c r="F545" s="57" t="s">
        <v>290</v>
      </c>
      <c r="G545" s="58" t="n">
        <v>1</v>
      </c>
      <c r="H545" s="59" t="n">
        <f aca="false">G545*8/$D$541</f>
        <v>0.4</v>
      </c>
      <c r="I545" s="30" t="n">
        <v>22.66</v>
      </c>
      <c r="J545" s="30" t="n">
        <f aca="false">H545*I545</f>
        <v>9.064</v>
      </c>
      <c r="K545" s="1" t="n">
        <v>47</v>
      </c>
      <c r="M545" s="85"/>
    </row>
    <row r="546" customFormat="false" ht="15" hidden="false" customHeight="false" outlineLevel="0" collapsed="false">
      <c r="B546" s="1" t="s">
        <v>292</v>
      </c>
      <c r="F546" s="57" t="s">
        <v>290</v>
      </c>
      <c r="G546" s="58" t="n">
        <v>1</v>
      </c>
      <c r="H546" s="59" t="n">
        <f aca="false">G546*8/$D$541</f>
        <v>0.4</v>
      </c>
      <c r="I546" s="30" t="n">
        <v>20.51</v>
      </c>
      <c r="J546" s="30" t="n">
        <f aca="false">H546*I546</f>
        <v>8.204</v>
      </c>
      <c r="K546" s="1" t="n">
        <v>47</v>
      </c>
      <c r="M546" s="85"/>
    </row>
    <row r="547" customFormat="false" ht="15" hidden="false" customHeight="false" outlineLevel="0" collapsed="false">
      <c r="F547" s="57"/>
      <c r="J547" s="55" t="n">
        <f aca="false">ROUND(SUM(J544:J546),2)</f>
        <v>18.66</v>
      </c>
      <c r="M547" s="85"/>
    </row>
    <row r="548" customFormat="false" ht="15" hidden="false" customHeight="false" outlineLevel="0" collapsed="false">
      <c r="B548" s="56" t="s">
        <v>293</v>
      </c>
      <c r="F548" s="57"/>
      <c r="M548" s="85"/>
    </row>
    <row r="549" customFormat="false" ht="15" hidden="false" customHeight="false" outlineLevel="0" collapsed="false">
      <c r="B549" s="1" t="s">
        <v>654</v>
      </c>
      <c r="F549" s="57" t="s">
        <v>202</v>
      </c>
      <c r="H549" s="59" t="n">
        <v>0.033</v>
      </c>
      <c r="I549" s="30" t="n">
        <v>6.14</v>
      </c>
      <c r="J549" s="30" t="n">
        <f aca="false">H549*I549</f>
        <v>0.20262</v>
      </c>
      <c r="K549" s="1" t="n">
        <v>30</v>
      </c>
      <c r="M549" s="85"/>
    </row>
    <row r="550" customFormat="false" ht="15" hidden="false" customHeight="false" outlineLevel="0" collapsed="false">
      <c r="B550" s="1" t="s">
        <v>954</v>
      </c>
      <c r="F550" s="57" t="s">
        <v>202</v>
      </c>
      <c r="H550" s="59" t="n">
        <v>0.15</v>
      </c>
      <c r="I550" s="30" t="n">
        <v>62.8839032890438</v>
      </c>
      <c r="J550" s="30" t="n">
        <f aca="false">H550*I550</f>
        <v>9.43258549335657</v>
      </c>
      <c r="K550" s="1" t="n">
        <v>4</v>
      </c>
      <c r="M550" s="85"/>
    </row>
    <row r="551" customFormat="false" ht="15" hidden="false" customHeight="false" outlineLevel="0" collapsed="false">
      <c r="B551" s="1" t="s">
        <v>955</v>
      </c>
      <c r="F551" s="57" t="s">
        <v>148</v>
      </c>
      <c r="H551" s="59" t="n">
        <v>1</v>
      </c>
      <c r="I551" s="30" t="n">
        <v>45</v>
      </c>
      <c r="J551" s="30" t="n">
        <f aca="false">H551*I551</f>
        <v>45</v>
      </c>
      <c r="K551" s="1" t="n">
        <v>39</v>
      </c>
      <c r="M551" s="85"/>
    </row>
    <row r="552" customFormat="false" ht="15" hidden="false" customHeight="false" outlineLevel="0" collapsed="false">
      <c r="F552" s="57"/>
      <c r="J552" s="55" t="n">
        <f aca="false">ROUND(SUM(J549:J551),2)</f>
        <v>54.64</v>
      </c>
      <c r="M552" s="85"/>
    </row>
    <row r="553" customFormat="false" ht="15" hidden="false" customHeight="false" outlineLevel="0" collapsed="false">
      <c r="B553" s="56" t="s">
        <v>317</v>
      </c>
      <c r="F553" s="57"/>
      <c r="G553" s="58"/>
      <c r="M553" s="85"/>
    </row>
    <row r="554" customFormat="false" ht="15" hidden="false" customHeight="false" outlineLevel="0" collapsed="false">
      <c r="B554" s="1" t="s">
        <v>309</v>
      </c>
      <c r="F554" s="57" t="s">
        <v>310</v>
      </c>
      <c r="G554" s="58"/>
      <c r="H554" s="59" t="n">
        <v>3</v>
      </c>
      <c r="I554" s="30" t="n">
        <f aca="false">J547</f>
        <v>18.66</v>
      </c>
      <c r="J554" s="30" t="n">
        <f aca="false">H554%*I554</f>
        <v>0.5598</v>
      </c>
      <c r="K554" s="1" t="n">
        <v>37</v>
      </c>
    </row>
    <row r="555" customFormat="false" ht="15" hidden="false" customHeight="false" outlineLevel="0" collapsed="false">
      <c r="A555" s="62"/>
      <c r="B555" s="62"/>
      <c r="C555" s="62"/>
      <c r="D555" s="62"/>
      <c r="E555" s="62"/>
      <c r="F555" s="62"/>
      <c r="G555" s="62"/>
      <c r="H555" s="62"/>
      <c r="I555" s="62"/>
      <c r="J555" s="63" t="n">
        <f aca="false">ROUND(SUM(J554),2)</f>
        <v>0.56</v>
      </c>
    </row>
    <row r="557" customFormat="false" ht="15" hidden="false" customHeight="false" outlineLevel="0" collapsed="false">
      <c r="A557" s="14" t="s">
        <v>276</v>
      </c>
      <c r="B557" s="85" t="str">
        <f aca="false">ARQUITECTURA!A47</f>
        <v>03.07.01.03</v>
      </c>
      <c r="C557" s="14" t="s">
        <v>827</v>
      </c>
      <c r="E557" s="14"/>
      <c r="F557" s="14"/>
      <c r="G557" s="14"/>
      <c r="H557" s="14"/>
      <c r="I557" s="14"/>
    </row>
    <row r="558" customFormat="false" ht="15" hidden="false" customHeight="false" outlineLevel="0" collapsed="false">
      <c r="A558" s="14" t="s">
        <v>277</v>
      </c>
      <c r="B558" s="14" t="s">
        <v>278</v>
      </c>
      <c r="C558" s="38" t="s">
        <v>279</v>
      </c>
      <c r="D558" s="54" t="n">
        <v>20</v>
      </c>
      <c r="E558" s="38" t="s">
        <v>280</v>
      </c>
      <c r="F558" s="54" t="n">
        <f aca="false">D558</f>
        <v>20</v>
      </c>
      <c r="G558" s="14" t="s">
        <v>281</v>
      </c>
      <c r="I558" s="38" t="s">
        <v>132</v>
      </c>
      <c r="J558" s="55" t="n">
        <f aca="false">J564+J569+J572</f>
        <v>118.75</v>
      </c>
    </row>
    <row r="559" customFormat="false" ht="15" hidden="false" customHeight="false" outlineLevel="0" collapsed="false">
      <c r="A559" s="14" t="s">
        <v>282</v>
      </c>
      <c r="B559" s="14" t="s">
        <v>283</v>
      </c>
      <c r="F559" s="38" t="s">
        <v>121</v>
      </c>
      <c r="G559" s="38" t="s">
        <v>284</v>
      </c>
      <c r="H559" s="38" t="s">
        <v>285</v>
      </c>
      <c r="I559" s="38" t="s">
        <v>286</v>
      </c>
      <c r="J559" s="38" t="s">
        <v>287</v>
      </c>
    </row>
    <row r="560" customFormat="false" ht="15" hidden="false" customHeight="false" outlineLevel="0" collapsed="false">
      <c r="B560" s="56" t="s">
        <v>288</v>
      </c>
    </row>
    <row r="561" customFormat="false" ht="15" hidden="false" customHeight="false" outlineLevel="0" collapsed="false">
      <c r="B561" s="1" t="s">
        <v>649</v>
      </c>
      <c r="F561" s="57" t="s">
        <v>290</v>
      </c>
      <c r="G561" s="58" t="n">
        <v>0.1</v>
      </c>
      <c r="H561" s="59" t="n">
        <f aca="false">G561*8/$D$558</f>
        <v>0.04</v>
      </c>
      <c r="I561" s="30" t="n">
        <v>34.73</v>
      </c>
      <c r="J561" s="30" t="n">
        <f aca="false">H561*I561</f>
        <v>1.3892</v>
      </c>
      <c r="K561" s="1" t="n">
        <v>47</v>
      </c>
    </row>
    <row r="562" customFormat="false" ht="15" hidden="false" customHeight="false" outlineLevel="0" collapsed="false">
      <c r="B562" s="1" t="s">
        <v>675</v>
      </c>
      <c r="F562" s="57" t="s">
        <v>290</v>
      </c>
      <c r="G562" s="58" t="n">
        <v>1</v>
      </c>
      <c r="H562" s="59" t="n">
        <f aca="false">G562*8/$D$558</f>
        <v>0.4</v>
      </c>
      <c r="I562" s="30" t="n">
        <v>22.66</v>
      </c>
      <c r="J562" s="30" t="n">
        <f aca="false">H562*I562</f>
        <v>9.064</v>
      </c>
      <c r="K562" s="1" t="n">
        <v>47</v>
      </c>
    </row>
    <row r="563" customFormat="false" ht="15" hidden="false" customHeight="false" outlineLevel="0" collapsed="false">
      <c r="B563" s="1" t="s">
        <v>292</v>
      </c>
      <c r="F563" s="57" t="s">
        <v>290</v>
      </c>
      <c r="G563" s="58" t="n">
        <v>1</v>
      </c>
      <c r="H563" s="59" t="n">
        <f aca="false">G563*8/$D$558</f>
        <v>0.4</v>
      </c>
      <c r="I563" s="30" t="n">
        <v>20.51</v>
      </c>
      <c r="J563" s="30" t="n">
        <f aca="false">H563*I563</f>
        <v>8.204</v>
      </c>
      <c r="K563" s="1" t="n">
        <v>47</v>
      </c>
    </row>
    <row r="564" customFormat="false" ht="15" hidden="false" customHeight="false" outlineLevel="0" collapsed="false">
      <c r="F564" s="57"/>
      <c r="J564" s="55" t="n">
        <f aca="false">ROUND(SUM(J561:J563),2)</f>
        <v>18.66</v>
      </c>
    </row>
    <row r="565" customFormat="false" ht="15" hidden="false" customHeight="false" outlineLevel="0" collapsed="false">
      <c r="B565" s="56" t="s">
        <v>293</v>
      </c>
      <c r="F565" s="57"/>
    </row>
    <row r="566" customFormat="false" ht="15" hidden="false" customHeight="false" outlineLevel="0" collapsed="false">
      <c r="B566" s="1" t="s">
        <v>654</v>
      </c>
      <c r="F566" s="57" t="s">
        <v>202</v>
      </c>
      <c r="H566" s="59" t="n">
        <v>0.016</v>
      </c>
      <c r="I566" s="30" t="n">
        <v>6.14</v>
      </c>
      <c r="J566" s="30" t="n">
        <f aca="false">H566*I566</f>
        <v>0.09824</v>
      </c>
      <c r="K566" s="1" t="n">
        <v>30</v>
      </c>
    </row>
    <row r="567" customFormat="false" ht="15" hidden="false" customHeight="false" outlineLevel="0" collapsed="false">
      <c r="B567" s="1" t="s">
        <v>954</v>
      </c>
      <c r="F567" s="57" t="s">
        <v>202</v>
      </c>
      <c r="H567" s="59" t="n">
        <v>0.15</v>
      </c>
      <c r="I567" s="30" t="n">
        <v>62.8839032890438</v>
      </c>
      <c r="J567" s="30" t="n">
        <f aca="false">H567*I567</f>
        <v>9.43258549335657</v>
      </c>
      <c r="K567" s="1" t="n">
        <v>4</v>
      </c>
    </row>
    <row r="568" customFormat="false" ht="15" hidden="false" customHeight="false" outlineLevel="0" collapsed="false">
      <c r="B568" s="1" t="s">
        <v>956</v>
      </c>
      <c r="F568" s="57" t="s">
        <v>148</v>
      </c>
      <c r="H568" s="59" t="n">
        <v>1</v>
      </c>
      <c r="I568" s="30" t="n">
        <v>90</v>
      </c>
      <c r="J568" s="30" t="n">
        <f aca="false">H568*I568</f>
        <v>90</v>
      </c>
      <c r="K568" s="1" t="n">
        <v>39</v>
      </c>
    </row>
    <row r="569" customFormat="false" ht="15" hidden="false" customHeight="false" outlineLevel="0" collapsed="false">
      <c r="F569" s="57"/>
      <c r="J569" s="55" t="n">
        <f aca="false">ROUND(SUM(J566:J568),2)</f>
        <v>99.53</v>
      </c>
    </row>
    <row r="570" customFormat="false" ht="15" hidden="false" customHeight="false" outlineLevel="0" collapsed="false">
      <c r="B570" s="56" t="s">
        <v>317</v>
      </c>
      <c r="F570" s="57"/>
      <c r="G570" s="58"/>
    </row>
    <row r="571" customFormat="false" ht="15" hidden="false" customHeight="false" outlineLevel="0" collapsed="false">
      <c r="B571" s="1" t="s">
        <v>309</v>
      </c>
      <c r="F571" s="57" t="s">
        <v>310</v>
      </c>
      <c r="G571" s="58"/>
      <c r="H571" s="59" t="n">
        <v>3</v>
      </c>
      <c r="I571" s="30" t="n">
        <f aca="false">J564</f>
        <v>18.66</v>
      </c>
      <c r="J571" s="30" t="n">
        <f aca="false">H571%*I571</f>
        <v>0.5598</v>
      </c>
      <c r="K571" s="1" t="n">
        <v>37</v>
      </c>
    </row>
    <row r="572" customFormat="false" ht="15" hidden="false" customHeight="false" outlineLevel="0" collapsed="false">
      <c r="A572" s="62"/>
      <c r="B572" s="62"/>
      <c r="C572" s="62"/>
      <c r="D572" s="62"/>
      <c r="E572" s="62"/>
      <c r="F572" s="62"/>
      <c r="G572" s="62"/>
      <c r="H572" s="62"/>
      <c r="I572" s="62"/>
      <c r="J572" s="63" t="n">
        <f aca="false">ROUND(SUM(J571),2)</f>
        <v>0.56</v>
      </c>
    </row>
    <row r="574" customFormat="false" ht="15" hidden="false" customHeight="false" outlineLevel="0" collapsed="false">
      <c r="A574" s="14" t="s">
        <v>276</v>
      </c>
      <c r="B574" s="85" t="str">
        <f aca="false">ARQUITECTURA!A49</f>
        <v>03.07.02.01</v>
      </c>
      <c r="C574" s="14" t="s">
        <v>830</v>
      </c>
      <c r="D574" s="14"/>
      <c r="E574" s="14"/>
      <c r="F574" s="14"/>
      <c r="G574" s="14"/>
      <c r="H574" s="14"/>
      <c r="I574" s="14"/>
    </row>
    <row r="575" customFormat="false" ht="15" hidden="false" customHeight="false" outlineLevel="0" collapsed="false">
      <c r="A575" s="14" t="s">
        <v>277</v>
      </c>
      <c r="B575" s="14" t="s">
        <v>278</v>
      </c>
      <c r="C575" s="38" t="s">
        <v>279</v>
      </c>
      <c r="D575" s="54" t="n">
        <v>10</v>
      </c>
      <c r="E575" s="38" t="s">
        <v>280</v>
      </c>
      <c r="F575" s="54" t="n">
        <f aca="false">D575</f>
        <v>10</v>
      </c>
      <c r="G575" s="14" t="s">
        <v>281</v>
      </c>
      <c r="I575" s="38" t="s">
        <v>132</v>
      </c>
      <c r="J575" s="55" t="n">
        <f aca="false">J581+J585+J588</f>
        <v>51.05</v>
      </c>
    </row>
    <row r="576" customFormat="false" ht="15" hidden="false" customHeight="false" outlineLevel="0" collapsed="false">
      <c r="A576" s="14" t="s">
        <v>282</v>
      </c>
      <c r="B576" s="14" t="s">
        <v>283</v>
      </c>
      <c r="F576" s="38" t="s">
        <v>121</v>
      </c>
      <c r="G576" s="38" t="s">
        <v>284</v>
      </c>
      <c r="H576" s="38" t="s">
        <v>285</v>
      </c>
      <c r="I576" s="38" t="s">
        <v>286</v>
      </c>
      <c r="J576" s="38" t="s">
        <v>287</v>
      </c>
    </row>
    <row r="577" customFormat="false" ht="15" hidden="false" customHeight="false" outlineLevel="0" collapsed="false">
      <c r="B577" s="56" t="s">
        <v>288</v>
      </c>
    </row>
    <row r="578" customFormat="false" ht="15" hidden="false" customHeight="false" outlineLevel="0" collapsed="false">
      <c r="B578" s="1" t="s">
        <v>649</v>
      </c>
      <c r="F578" s="57" t="s">
        <v>290</v>
      </c>
      <c r="G578" s="58" t="n">
        <v>0.1</v>
      </c>
      <c r="H578" s="59" t="n">
        <f aca="false">G578*8/$D$575</f>
        <v>0.08</v>
      </c>
      <c r="I578" s="30" t="n">
        <v>34.73</v>
      </c>
      <c r="J578" s="30" t="n">
        <f aca="false">H578*I578</f>
        <v>2.7784</v>
      </c>
      <c r="K578" s="1" t="n">
        <v>47</v>
      </c>
    </row>
    <row r="579" customFormat="false" ht="15" hidden="false" customHeight="false" outlineLevel="0" collapsed="false">
      <c r="B579" s="1" t="s">
        <v>289</v>
      </c>
      <c r="F579" s="57" t="s">
        <v>290</v>
      </c>
      <c r="G579" s="58" t="n">
        <v>1</v>
      </c>
      <c r="H579" s="59" t="n">
        <f aca="false">G579*8/$D$575</f>
        <v>0.8</v>
      </c>
      <c r="I579" s="30" t="n">
        <v>28.94</v>
      </c>
      <c r="J579" s="30" t="n">
        <f aca="false">H579*I579</f>
        <v>23.152</v>
      </c>
      <c r="K579" s="1" t="n">
        <v>47</v>
      </c>
    </row>
    <row r="580" customFormat="false" ht="15" hidden="false" customHeight="false" outlineLevel="0" collapsed="false">
      <c r="B580" s="1" t="s">
        <v>292</v>
      </c>
      <c r="F580" s="57" t="s">
        <v>290</v>
      </c>
      <c r="G580" s="58" t="n">
        <v>0.5</v>
      </c>
      <c r="H580" s="59" t="n">
        <f aca="false">G580*8/$D$575</f>
        <v>0.4</v>
      </c>
      <c r="I580" s="30" t="n">
        <v>20.51</v>
      </c>
      <c r="J580" s="30" t="n">
        <f aca="false">H580*I580</f>
        <v>8.204</v>
      </c>
      <c r="K580" s="1" t="n">
        <v>47</v>
      </c>
    </row>
    <row r="581" customFormat="false" ht="15" hidden="false" customHeight="false" outlineLevel="0" collapsed="false">
      <c r="J581" s="55" t="n">
        <f aca="false">ROUND(SUM(J578:J580),2)</f>
        <v>34.13</v>
      </c>
    </row>
    <row r="582" customFormat="false" ht="15" hidden="false" customHeight="false" outlineLevel="0" collapsed="false">
      <c r="B582" s="56" t="s">
        <v>293</v>
      </c>
      <c r="F582" s="57"/>
    </row>
    <row r="583" customFormat="false" ht="15" hidden="false" customHeight="false" outlineLevel="0" collapsed="false">
      <c r="B583" s="1" t="s">
        <v>957</v>
      </c>
      <c r="F583" s="57" t="s">
        <v>437</v>
      </c>
      <c r="H583" s="59" t="n">
        <v>0.05</v>
      </c>
      <c r="I583" s="30" t="n">
        <v>18</v>
      </c>
      <c r="J583" s="30" t="n">
        <f aca="false">H583*I583</f>
        <v>0.9</v>
      </c>
      <c r="K583" s="1" t="n">
        <v>54</v>
      </c>
    </row>
    <row r="584" customFormat="false" ht="15" hidden="false" customHeight="false" outlineLevel="0" collapsed="false">
      <c r="B584" s="1" t="s">
        <v>958</v>
      </c>
      <c r="F584" s="57" t="s">
        <v>437</v>
      </c>
      <c r="H584" s="59" t="n">
        <v>0.1</v>
      </c>
      <c r="I584" s="30" t="n">
        <v>150</v>
      </c>
      <c r="J584" s="30" t="n">
        <f aca="false">H584*I584</f>
        <v>15</v>
      </c>
      <c r="K584" s="1" t="n">
        <v>39</v>
      </c>
    </row>
    <row r="585" customFormat="false" ht="15" hidden="false" customHeight="false" outlineLevel="0" collapsed="false">
      <c r="J585" s="55" t="n">
        <f aca="false">ROUND(SUM(J583:J584),2)</f>
        <v>15.9</v>
      </c>
    </row>
    <row r="586" customFormat="false" ht="15" hidden="false" customHeight="false" outlineLevel="0" collapsed="false">
      <c r="B586" s="56" t="s">
        <v>317</v>
      </c>
    </row>
    <row r="587" customFormat="false" ht="15" hidden="false" customHeight="false" outlineLevel="0" collapsed="false">
      <c r="B587" s="1" t="s">
        <v>309</v>
      </c>
      <c r="F587" s="57" t="s">
        <v>310</v>
      </c>
      <c r="H587" s="59" t="n">
        <v>3</v>
      </c>
      <c r="I587" s="30" t="n">
        <f aca="false">J581</f>
        <v>34.13</v>
      </c>
      <c r="J587" s="30" t="n">
        <f aca="false">H587%*I587</f>
        <v>1.0239</v>
      </c>
      <c r="K587" s="1" t="n">
        <v>37</v>
      </c>
    </row>
    <row r="588" customFormat="false" ht="15" hidden="false" customHeight="false" outlineLevel="0" collapsed="false">
      <c r="A588" s="62"/>
      <c r="B588" s="62"/>
      <c r="C588" s="62"/>
      <c r="D588" s="62"/>
      <c r="E588" s="62"/>
      <c r="F588" s="62"/>
      <c r="G588" s="62"/>
      <c r="H588" s="62"/>
      <c r="I588" s="62"/>
      <c r="J588" s="63" t="n">
        <f aca="false">ROUND(SUM(J587),2)</f>
        <v>1.02</v>
      </c>
    </row>
    <row r="590" customFormat="false" ht="15" hidden="false" customHeight="false" outlineLevel="0" collapsed="false">
      <c r="A590" s="14" t="s">
        <v>276</v>
      </c>
      <c r="B590" s="85" t="str">
        <f aca="false">ARQUITECTURA!A51</f>
        <v>03.07.03.01</v>
      </c>
      <c r="C590" s="14" t="s">
        <v>959</v>
      </c>
      <c r="D590" s="14"/>
      <c r="E590" s="14"/>
      <c r="F590" s="14"/>
      <c r="G590" s="14"/>
      <c r="H590" s="14"/>
      <c r="I590" s="14"/>
    </row>
    <row r="591" customFormat="false" ht="15" hidden="false" customHeight="false" outlineLevel="0" collapsed="false">
      <c r="A591" s="14" t="s">
        <v>277</v>
      </c>
      <c r="B591" s="14" t="s">
        <v>278</v>
      </c>
      <c r="C591" s="38" t="s">
        <v>279</v>
      </c>
      <c r="D591" s="54" t="n">
        <v>10</v>
      </c>
      <c r="E591" s="38" t="s">
        <v>280</v>
      </c>
      <c r="F591" s="54" t="n">
        <f aca="false">D591</f>
        <v>10</v>
      </c>
      <c r="G591" s="14" t="s">
        <v>281</v>
      </c>
      <c r="I591" s="38" t="s">
        <v>132</v>
      </c>
      <c r="J591" s="55" t="n">
        <f aca="false">J597+J601+J604</f>
        <v>51.05</v>
      </c>
    </row>
    <row r="592" customFormat="false" ht="15" hidden="false" customHeight="false" outlineLevel="0" collapsed="false">
      <c r="A592" s="14" t="s">
        <v>282</v>
      </c>
      <c r="B592" s="14" t="s">
        <v>283</v>
      </c>
      <c r="F592" s="38" t="s">
        <v>121</v>
      </c>
      <c r="G592" s="38" t="s">
        <v>284</v>
      </c>
      <c r="H592" s="38" t="s">
        <v>285</v>
      </c>
      <c r="I592" s="38" t="s">
        <v>286</v>
      </c>
      <c r="J592" s="38" t="s">
        <v>287</v>
      </c>
    </row>
    <row r="593" customFormat="false" ht="15" hidden="false" customHeight="false" outlineLevel="0" collapsed="false">
      <c r="B593" s="56" t="s">
        <v>288</v>
      </c>
    </row>
    <row r="594" customFormat="false" ht="15" hidden="false" customHeight="false" outlineLevel="0" collapsed="false">
      <c r="B594" s="1" t="s">
        <v>649</v>
      </c>
      <c r="F594" s="57" t="s">
        <v>290</v>
      </c>
      <c r="G594" s="58" t="n">
        <v>0.1</v>
      </c>
      <c r="H594" s="59" t="n">
        <f aca="false">G594*8/$D$591</f>
        <v>0.08</v>
      </c>
      <c r="I594" s="30" t="n">
        <v>34.73</v>
      </c>
      <c r="J594" s="30" t="n">
        <f aca="false">H594*I594</f>
        <v>2.7784</v>
      </c>
      <c r="K594" s="1" t="n">
        <v>47</v>
      </c>
    </row>
    <row r="595" customFormat="false" ht="15" hidden="false" customHeight="false" outlineLevel="0" collapsed="false">
      <c r="B595" s="1" t="s">
        <v>289</v>
      </c>
      <c r="F595" s="57" t="s">
        <v>290</v>
      </c>
      <c r="G595" s="58" t="n">
        <v>1</v>
      </c>
      <c r="H595" s="59" t="n">
        <f aca="false">G595*8/$D$591</f>
        <v>0.8</v>
      </c>
      <c r="I595" s="30" t="n">
        <v>28.94</v>
      </c>
      <c r="J595" s="30" t="n">
        <f aca="false">H595*I595</f>
        <v>23.152</v>
      </c>
      <c r="K595" s="1" t="n">
        <v>47</v>
      </c>
    </row>
    <row r="596" customFormat="false" ht="15" hidden="false" customHeight="false" outlineLevel="0" collapsed="false">
      <c r="B596" s="1" t="s">
        <v>292</v>
      </c>
      <c r="F596" s="57" t="s">
        <v>290</v>
      </c>
      <c r="G596" s="58" t="n">
        <v>0.5</v>
      </c>
      <c r="H596" s="59" t="n">
        <f aca="false">G596*8/$D$591</f>
        <v>0.4</v>
      </c>
      <c r="I596" s="30" t="n">
        <v>20.51</v>
      </c>
      <c r="J596" s="30" t="n">
        <f aca="false">H596*I596</f>
        <v>8.204</v>
      </c>
      <c r="K596" s="1" t="n">
        <v>47</v>
      </c>
    </row>
    <row r="597" customFormat="false" ht="15" hidden="false" customHeight="false" outlineLevel="0" collapsed="false">
      <c r="J597" s="55" t="n">
        <f aca="false">ROUND(SUM(J594:J596),2)</f>
        <v>34.13</v>
      </c>
    </row>
    <row r="598" customFormat="false" ht="15" hidden="false" customHeight="false" outlineLevel="0" collapsed="false">
      <c r="B598" s="56" t="s">
        <v>293</v>
      </c>
      <c r="F598" s="57"/>
    </row>
    <row r="599" customFormat="false" ht="15" hidden="false" customHeight="false" outlineLevel="0" collapsed="false">
      <c r="B599" s="1" t="s">
        <v>957</v>
      </c>
      <c r="F599" s="57" t="s">
        <v>437</v>
      </c>
      <c r="H599" s="59" t="n">
        <v>0.05</v>
      </c>
      <c r="I599" s="30" t="n">
        <v>18</v>
      </c>
      <c r="J599" s="30" t="n">
        <f aca="false">H599*I599</f>
        <v>0.9</v>
      </c>
      <c r="K599" s="1" t="n">
        <v>54</v>
      </c>
    </row>
    <row r="600" customFormat="false" ht="15" hidden="false" customHeight="false" outlineLevel="0" collapsed="false">
      <c r="B600" s="1" t="s">
        <v>958</v>
      </c>
      <c r="F600" s="57" t="s">
        <v>437</v>
      </c>
      <c r="H600" s="59" t="n">
        <v>0.1</v>
      </c>
      <c r="I600" s="30" t="n">
        <v>150</v>
      </c>
      <c r="J600" s="30" t="n">
        <f aca="false">H600*I600</f>
        <v>15</v>
      </c>
      <c r="K600" s="1" t="n">
        <v>39</v>
      </c>
    </row>
    <row r="601" customFormat="false" ht="15" hidden="false" customHeight="false" outlineLevel="0" collapsed="false">
      <c r="J601" s="55" t="n">
        <f aca="false">ROUND(SUM(J599:J600),2)</f>
        <v>15.9</v>
      </c>
    </row>
    <row r="602" customFormat="false" ht="15" hidden="false" customHeight="false" outlineLevel="0" collapsed="false">
      <c r="B602" s="56" t="s">
        <v>317</v>
      </c>
    </row>
    <row r="603" customFormat="false" ht="15" hidden="false" customHeight="false" outlineLevel="0" collapsed="false">
      <c r="B603" s="1" t="s">
        <v>309</v>
      </c>
      <c r="F603" s="57" t="s">
        <v>310</v>
      </c>
      <c r="H603" s="59" t="n">
        <v>3</v>
      </c>
      <c r="I603" s="30" t="n">
        <f aca="false">J597</f>
        <v>34.13</v>
      </c>
      <c r="J603" s="30" t="n">
        <f aca="false">H603%*I603</f>
        <v>1.0239</v>
      </c>
      <c r="K603" s="1" t="n">
        <v>37</v>
      </c>
    </row>
    <row r="604" customFormat="false" ht="15" hidden="false" customHeight="false" outlineLevel="0" collapsed="false">
      <c r="A604" s="62"/>
      <c r="B604" s="62"/>
      <c r="C604" s="62"/>
      <c r="D604" s="62"/>
      <c r="E604" s="62"/>
      <c r="F604" s="62"/>
      <c r="G604" s="62"/>
      <c r="H604" s="62"/>
      <c r="I604" s="62"/>
      <c r="J604" s="63" t="n">
        <f aca="false">ROUND(SUM(J603),2)</f>
        <v>1.02</v>
      </c>
    </row>
    <row r="606" customFormat="false" ht="15" hidden="false" customHeight="false" outlineLevel="0" collapsed="false">
      <c r="A606" s="14" t="s">
        <v>276</v>
      </c>
      <c r="B606" s="85" t="str">
        <f aca="false">ARQUITECTURA!A53</f>
        <v>03.07.04.01</v>
      </c>
      <c r="C606" s="14" t="s">
        <v>837</v>
      </c>
      <c r="D606" s="14"/>
      <c r="E606" s="14"/>
      <c r="F606" s="14"/>
      <c r="G606" s="14"/>
      <c r="H606" s="14"/>
      <c r="I606" s="14"/>
    </row>
    <row r="607" customFormat="false" ht="15" hidden="false" customHeight="false" outlineLevel="0" collapsed="false">
      <c r="A607" s="14" t="s">
        <v>277</v>
      </c>
      <c r="B607" s="14" t="s">
        <v>278</v>
      </c>
      <c r="C607" s="38" t="s">
        <v>279</v>
      </c>
      <c r="D607" s="54" t="n">
        <v>20</v>
      </c>
      <c r="E607" s="38" t="s">
        <v>280</v>
      </c>
      <c r="F607" s="54" t="n">
        <f aca="false">D607</f>
        <v>20</v>
      </c>
      <c r="G607" s="14" t="s">
        <v>281</v>
      </c>
      <c r="I607" s="38" t="s">
        <v>132</v>
      </c>
      <c r="J607" s="55" t="n">
        <f aca="false">J612+J615</f>
        <v>9.88</v>
      </c>
    </row>
    <row r="608" customFormat="false" ht="15" hidden="false" customHeight="false" outlineLevel="0" collapsed="false">
      <c r="A608" s="14" t="s">
        <v>282</v>
      </c>
      <c r="B608" s="14" t="s">
        <v>283</v>
      </c>
      <c r="F608" s="38" t="s">
        <v>121</v>
      </c>
      <c r="G608" s="38" t="s">
        <v>284</v>
      </c>
      <c r="H608" s="38" t="s">
        <v>285</v>
      </c>
      <c r="I608" s="38" t="s">
        <v>286</v>
      </c>
      <c r="J608" s="38" t="s">
        <v>287</v>
      </c>
    </row>
    <row r="609" customFormat="false" ht="15" hidden="false" customHeight="false" outlineLevel="0" collapsed="false">
      <c r="B609" s="56" t="s">
        <v>288</v>
      </c>
    </row>
    <row r="610" customFormat="false" ht="15" hidden="false" customHeight="false" outlineLevel="0" collapsed="false">
      <c r="B610" s="1" t="s">
        <v>649</v>
      </c>
      <c r="F610" s="57" t="s">
        <v>290</v>
      </c>
      <c r="G610" s="58" t="n">
        <v>0.1</v>
      </c>
      <c r="H610" s="59" t="n">
        <f aca="false">G610*8/$D$607</f>
        <v>0.04</v>
      </c>
      <c r="I610" s="30" t="n">
        <v>34.73</v>
      </c>
      <c r="J610" s="30" t="n">
        <f aca="false">H610*I610</f>
        <v>1.3892</v>
      </c>
      <c r="K610" s="1" t="n">
        <v>47</v>
      </c>
    </row>
    <row r="611" customFormat="false" ht="15" hidden="false" customHeight="false" outlineLevel="0" collapsed="false">
      <c r="B611" s="1" t="s">
        <v>292</v>
      </c>
      <c r="F611" s="57" t="s">
        <v>290</v>
      </c>
      <c r="G611" s="58" t="n">
        <v>1</v>
      </c>
      <c r="H611" s="59" t="n">
        <f aca="false">G611*8/$D$607</f>
        <v>0.4</v>
      </c>
      <c r="I611" s="30" t="n">
        <v>20.51</v>
      </c>
      <c r="J611" s="30" t="n">
        <f aca="false">H611*I611</f>
        <v>8.204</v>
      </c>
      <c r="K611" s="1" t="n">
        <v>47</v>
      </c>
    </row>
    <row r="612" customFormat="false" ht="15" hidden="false" customHeight="false" outlineLevel="0" collapsed="false">
      <c r="J612" s="55" t="n">
        <f aca="false">ROUND(SUM(J610:J611),2)</f>
        <v>9.59</v>
      </c>
    </row>
    <row r="613" customFormat="false" ht="15" hidden="false" customHeight="false" outlineLevel="0" collapsed="false">
      <c r="B613" s="56" t="s">
        <v>317</v>
      </c>
    </row>
    <row r="614" customFormat="false" ht="15" hidden="false" customHeight="false" outlineLevel="0" collapsed="false">
      <c r="B614" s="1" t="s">
        <v>309</v>
      </c>
      <c r="F614" s="57" t="s">
        <v>310</v>
      </c>
      <c r="H614" s="59" t="n">
        <v>3</v>
      </c>
      <c r="I614" s="30" t="n">
        <f aca="false">J612</f>
        <v>9.59</v>
      </c>
      <c r="J614" s="30" t="n">
        <f aca="false">H614%*I614</f>
        <v>0.2877</v>
      </c>
      <c r="K614" s="1" t="n">
        <v>37</v>
      </c>
    </row>
    <row r="615" customFormat="false" ht="15" hidden="false" customHeight="false" outlineLevel="0" collapsed="false">
      <c r="A615" s="62"/>
      <c r="B615" s="62"/>
      <c r="C615" s="62"/>
      <c r="D615" s="62"/>
      <c r="E615" s="62"/>
      <c r="F615" s="62"/>
      <c r="G615" s="62"/>
      <c r="H615" s="62"/>
      <c r="I615" s="62"/>
      <c r="J615" s="63" t="n">
        <f aca="false">ROUND(SUM(J614),2)</f>
        <v>0.29</v>
      </c>
    </row>
    <row r="617" customFormat="false" ht="15" hidden="false" customHeight="false" outlineLevel="0" collapsed="false">
      <c r="A617" s="14" t="s">
        <v>276</v>
      </c>
      <c r="B617" s="85" t="str">
        <f aca="false">ARQUITECTURA!A55</f>
        <v>03.07.05.01</v>
      </c>
      <c r="C617" s="14" t="s">
        <v>840</v>
      </c>
      <c r="D617" s="14"/>
      <c r="E617" s="14"/>
      <c r="F617" s="14"/>
      <c r="G617" s="14"/>
      <c r="H617" s="14"/>
      <c r="I617" s="14"/>
      <c r="M617" s="85"/>
      <c r="N617" s="85"/>
    </row>
    <row r="618" customFormat="false" ht="15" hidden="false" customHeight="false" outlineLevel="0" collapsed="false">
      <c r="A618" s="14" t="s">
        <v>277</v>
      </c>
      <c r="B618" s="14" t="s">
        <v>331</v>
      </c>
      <c r="C618" s="38" t="s">
        <v>279</v>
      </c>
      <c r="D618" s="54" t="n">
        <v>1</v>
      </c>
      <c r="E618" s="38" t="s">
        <v>280</v>
      </c>
      <c r="F618" s="54" t="n">
        <f aca="false">D618</f>
        <v>1</v>
      </c>
      <c r="G618" s="14" t="s">
        <v>281</v>
      </c>
      <c r="I618" s="38" t="s">
        <v>153</v>
      </c>
      <c r="J618" s="55" t="n">
        <f aca="false">J622</f>
        <v>22</v>
      </c>
      <c r="N618" s="85"/>
    </row>
    <row r="619" customFormat="false" ht="15" hidden="false" customHeight="false" outlineLevel="0" collapsed="false">
      <c r="A619" s="14" t="s">
        <v>282</v>
      </c>
      <c r="B619" s="14" t="s">
        <v>283</v>
      </c>
      <c r="F619" s="38" t="s">
        <v>121</v>
      </c>
      <c r="G619" s="38" t="s">
        <v>284</v>
      </c>
      <c r="H619" s="38" t="s">
        <v>285</v>
      </c>
      <c r="I619" s="38" t="s">
        <v>286</v>
      </c>
      <c r="J619" s="38" t="s">
        <v>287</v>
      </c>
      <c r="M619" s="85"/>
      <c r="N619" s="85"/>
    </row>
    <row r="620" customFormat="false" ht="15" hidden="false" customHeight="false" outlineLevel="0" collapsed="false">
      <c r="B620" s="56" t="s">
        <v>293</v>
      </c>
      <c r="N620" s="85"/>
    </row>
    <row r="621" customFormat="false" ht="15" hidden="false" customHeight="false" outlineLevel="0" collapsed="false">
      <c r="B621" s="1" t="s">
        <v>960</v>
      </c>
      <c r="F621" s="57" t="s">
        <v>148</v>
      </c>
      <c r="G621" s="58"/>
      <c r="H621" s="59" t="n">
        <v>1</v>
      </c>
      <c r="I621" s="1" t="n">
        <v>22</v>
      </c>
      <c r="J621" s="30" t="n">
        <f aca="false">H621*I621</f>
        <v>22</v>
      </c>
      <c r="K621" s="1" t="n">
        <v>39</v>
      </c>
      <c r="M621" s="85"/>
      <c r="N621" s="85"/>
    </row>
    <row r="622" customFormat="false" ht="15" hidden="false" customHeight="false" outlineLevel="0" collapsed="false">
      <c r="A622" s="62"/>
      <c r="B622" s="62"/>
      <c r="C622" s="62"/>
      <c r="D622" s="62"/>
      <c r="E622" s="62"/>
      <c r="F622" s="62"/>
      <c r="G622" s="62"/>
      <c r="H622" s="62"/>
      <c r="I622" s="62"/>
      <c r="J622" s="63" t="n">
        <f aca="false">ROUND(SUM(J621),2)</f>
        <v>22</v>
      </c>
      <c r="N622" s="85"/>
    </row>
    <row r="623" customFormat="false" ht="15" hidden="false" customHeight="false" outlineLevel="0" collapsed="false">
      <c r="M623" s="85"/>
      <c r="N623" s="85"/>
    </row>
    <row r="624" customFormat="false" ht="15" hidden="false" customHeight="false" outlineLevel="0" collapsed="false">
      <c r="A624" s="14" t="s">
        <v>276</v>
      </c>
      <c r="B624" s="85" t="str">
        <f aca="false">ARQUITECTURA!A57</f>
        <v>03.07.06.01</v>
      </c>
      <c r="C624" s="14" t="s">
        <v>82</v>
      </c>
      <c r="D624" s="14"/>
      <c r="E624" s="14"/>
      <c r="F624" s="14"/>
      <c r="G624" s="14"/>
      <c r="H624" s="14"/>
      <c r="I624" s="14"/>
      <c r="M624" s="85"/>
      <c r="N624" s="85"/>
    </row>
    <row r="625" customFormat="false" ht="15" hidden="false" customHeight="false" outlineLevel="0" collapsed="false">
      <c r="A625" s="14" t="s">
        <v>277</v>
      </c>
      <c r="B625" s="14" t="s">
        <v>278</v>
      </c>
      <c r="C625" s="38" t="s">
        <v>279</v>
      </c>
      <c r="D625" s="54" t="n">
        <v>1</v>
      </c>
      <c r="E625" s="38" t="s">
        <v>280</v>
      </c>
      <c r="F625" s="54" t="n">
        <f aca="false">D625</f>
        <v>1</v>
      </c>
      <c r="G625" s="14" t="s">
        <v>281</v>
      </c>
      <c r="I625" s="38" t="s">
        <v>132</v>
      </c>
      <c r="J625" s="55" t="n">
        <f aca="false">J629</f>
        <v>75.46</v>
      </c>
      <c r="M625" s="85"/>
      <c r="N625" s="85"/>
    </row>
    <row r="626" customFormat="false" ht="15" hidden="false" customHeight="false" outlineLevel="0" collapsed="false">
      <c r="A626" s="14" t="s">
        <v>282</v>
      </c>
      <c r="B626" s="14" t="s">
        <v>283</v>
      </c>
      <c r="F626" s="38" t="s">
        <v>121</v>
      </c>
      <c r="G626" s="38" t="s">
        <v>284</v>
      </c>
      <c r="H626" s="38" t="s">
        <v>285</v>
      </c>
      <c r="I626" s="38" t="s">
        <v>286</v>
      </c>
      <c r="J626" s="38" t="s">
        <v>287</v>
      </c>
      <c r="N626" s="85"/>
    </row>
    <row r="627" customFormat="false" ht="15" hidden="false" customHeight="false" outlineLevel="0" collapsed="false">
      <c r="B627" s="56" t="s">
        <v>293</v>
      </c>
      <c r="M627" s="85"/>
      <c r="N627" s="85"/>
    </row>
    <row r="628" customFormat="false" ht="15" hidden="false" customHeight="false" outlineLevel="0" collapsed="false">
      <c r="B628" s="1" t="s">
        <v>82</v>
      </c>
      <c r="F628" s="57" t="s">
        <v>132</v>
      </c>
      <c r="G628" s="58"/>
      <c r="H628" s="59" t="n">
        <v>1</v>
      </c>
      <c r="I628" s="1" t="n">
        <v>75.46</v>
      </c>
      <c r="J628" s="30" t="n">
        <f aca="false">H628*I628</f>
        <v>75.46</v>
      </c>
      <c r="K628" s="1" t="n">
        <v>39</v>
      </c>
      <c r="N628" s="85"/>
    </row>
    <row r="629" customFormat="false" ht="15" hidden="false" customHeight="false" outlineLevel="0" collapsed="false">
      <c r="A629" s="62"/>
      <c r="B629" s="62"/>
      <c r="C629" s="62"/>
      <c r="D629" s="62"/>
      <c r="E629" s="62"/>
      <c r="F629" s="62"/>
      <c r="G629" s="62"/>
      <c r="H629" s="62"/>
      <c r="I629" s="62"/>
      <c r="J629" s="63" t="n">
        <f aca="false">ROUND(SUM(J628),2)</f>
        <v>75.46</v>
      </c>
    </row>
    <row r="631" customFormat="false" ht="15" hidden="false" customHeight="false" outlineLevel="0" collapsed="false">
      <c r="A631" s="14" t="s">
        <v>276</v>
      </c>
      <c r="B631" s="85" t="str">
        <f aca="false">ARQUITECTURA!A59</f>
        <v>03.07.07.01</v>
      </c>
      <c r="C631" s="14" t="s">
        <v>961</v>
      </c>
      <c r="D631" s="14"/>
    </row>
    <row r="632" customFormat="false" ht="15" hidden="false" customHeight="false" outlineLevel="0" collapsed="false">
      <c r="A632" s="14" t="s">
        <v>277</v>
      </c>
      <c r="B632" s="14" t="s">
        <v>313</v>
      </c>
      <c r="C632" s="38" t="s">
        <v>279</v>
      </c>
      <c r="D632" s="54" t="n">
        <v>1</v>
      </c>
      <c r="E632" s="38" t="s">
        <v>280</v>
      </c>
      <c r="F632" s="54" t="n">
        <f aca="false">D632</f>
        <v>1</v>
      </c>
      <c r="G632" s="14" t="s">
        <v>281</v>
      </c>
      <c r="I632" s="38" t="s">
        <v>143</v>
      </c>
      <c r="J632" s="55" t="n">
        <f aca="false">J636</f>
        <v>110.42</v>
      </c>
    </row>
    <row r="633" customFormat="false" ht="15" hidden="false" customHeight="false" outlineLevel="0" collapsed="false">
      <c r="A633" s="14" t="s">
        <v>282</v>
      </c>
      <c r="B633" s="14" t="s">
        <v>283</v>
      </c>
      <c r="F633" s="38" t="s">
        <v>121</v>
      </c>
      <c r="G633" s="38" t="s">
        <v>284</v>
      </c>
      <c r="H633" s="38" t="s">
        <v>285</v>
      </c>
      <c r="I633" s="38" t="s">
        <v>286</v>
      </c>
      <c r="J633" s="38" t="s">
        <v>287</v>
      </c>
    </row>
    <row r="634" customFormat="false" ht="15" hidden="false" customHeight="false" outlineLevel="0" collapsed="false">
      <c r="B634" s="56" t="s">
        <v>293</v>
      </c>
    </row>
    <row r="635" customFormat="false" ht="15" hidden="false" customHeight="false" outlineLevel="0" collapsed="false">
      <c r="B635" s="1" t="s">
        <v>961</v>
      </c>
      <c r="F635" s="57" t="s">
        <v>143</v>
      </c>
      <c r="H635" s="1" t="n">
        <v>1</v>
      </c>
      <c r="I635" s="30" t="n">
        <v>110.42</v>
      </c>
      <c r="J635" s="30" t="n">
        <f aca="false">H635*I635</f>
        <v>110.42</v>
      </c>
      <c r="K635" s="1" t="n">
        <v>17</v>
      </c>
    </row>
    <row r="636" customFormat="false" ht="15" hidden="false" customHeight="false" outlineLevel="0" collapsed="false">
      <c r="A636" s="62"/>
      <c r="B636" s="62"/>
      <c r="C636" s="62"/>
      <c r="D636" s="62"/>
      <c r="E636" s="62"/>
      <c r="F636" s="62"/>
      <c r="G636" s="62"/>
      <c r="H636" s="62"/>
      <c r="I636" s="83"/>
      <c r="J636" s="63" t="n">
        <f aca="false">ROUND(SUM(J635),2)</f>
        <v>110.42</v>
      </c>
    </row>
    <row r="638" customFormat="false" ht="15" hidden="false" customHeight="false" outlineLevel="0" collapsed="false">
      <c r="A638" s="14" t="s">
        <v>276</v>
      </c>
      <c r="B638" s="85" t="str">
        <f aca="false">ARQUITECTURA!A60</f>
        <v>03.07.07.02</v>
      </c>
      <c r="C638" s="14" t="s">
        <v>847</v>
      </c>
      <c r="D638" s="14"/>
      <c r="E638" s="14"/>
      <c r="F638" s="14"/>
      <c r="G638" s="14"/>
      <c r="H638" s="14"/>
      <c r="I638" s="14"/>
      <c r="M638" s="85"/>
      <c r="N638" s="85"/>
    </row>
    <row r="639" customFormat="false" ht="15" hidden="false" customHeight="false" outlineLevel="0" collapsed="false">
      <c r="A639" s="14" t="s">
        <v>277</v>
      </c>
      <c r="B639" s="14" t="s">
        <v>278</v>
      </c>
      <c r="C639" s="38" t="s">
        <v>279</v>
      </c>
      <c r="D639" s="54" t="n">
        <v>6.5</v>
      </c>
      <c r="E639" s="38" t="s">
        <v>280</v>
      </c>
      <c r="F639" s="54" t="n">
        <f aca="false">D639</f>
        <v>6.5</v>
      </c>
      <c r="G639" s="14" t="s">
        <v>281</v>
      </c>
      <c r="I639" s="38" t="s">
        <v>132</v>
      </c>
      <c r="J639" s="55" t="n">
        <f aca="false">J645+J653+J656</f>
        <v>68.01</v>
      </c>
    </row>
    <row r="640" customFormat="false" ht="15" hidden="false" customHeight="false" outlineLevel="0" collapsed="false">
      <c r="A640" s="14" t="s">
        <v>282</v>
      </c>
      <c r="B640" s="14" t="s">
        <v>283</v>
      </c>
      <c r="F640" s="38" t="s">
        <v>121</v>
      </c>
      <c r="G640" s="38" t="s">
        <v>284</v>
      </c>
      <c r="H640" s="38" t="s">
        <v>285</v>
      </c>
      <c r="I640" s="38" t="s">
        <v>286</v>
      </c>
      <c r="J640" s="38" t="s">
        <v>287</v>
      </c>
    </row>
    <row r="641" customFormat="false" ht="15" hidden="false" customHeight="false" outlineLevel="0" collapsed="false">
      <c r="B641" s="56" t="s">
        <v>288</v>
      </c>
    </row>
    <row r="642" customFormat="false" ht="15" hidden="false" customHeight="false" outlineLevel="0" collapsed="false">
      <c r="B642" s="1" t="s">
        <v>649</v>
      </c>
      <c r="F642" s="57" t="s">
        <v>290</v>
      </c>
      <c r="G642" s="58" t="n">
        <v>0.1</v>
      </c>
      <c r="H642" s="59" t="n">
        <f aca="false">G642*8/$D$639</f>
        <v>0.123076923076923</v>
      </c>
      <c r="I642" s="30" t="n">
        <v>34.73</v>
      </c>
      <c r="J642" s="30" t="n">
        <f aca="false">H642*I642</f>
        <v>4.27446153846154</v>
      </c>
      <c r="K642" s="1" t="n">
        <v>47</v>
      </c>
    </row>
    <row r="643" customFormat="false" ht="15" hidden="false" customHeight="false" outlineLevel="0" collapsed="false">
      <c r="B643" s="1" t="s">
        <v>289</v>
      </c>
      <c r="F643" s="57" t="s">
        <v>290</v>
      </c>
      <c r="G643" s="58" t="n">
        <v>1</v>
      </c>
      <c r="H643" s="59" t="n">
        <f aca="false">G643*8/$D$639</f>
        <v>1.23076923076923</v>
      </c>
      <c r="I643" s="30" t="n">
        <v>28.94</v>
      </c>
      <c r="J643" s="30" t="n">
        <f aca="false">H643*I643</f>
        <v>35.6184615384615</v>
      </c>
      <c r="K643" s="1" t="n">
        <v>47</v>
      </c>
    </row>
    <row r="644" customFormat="false" ht="15" hidden="false" customHeight="false" outlineLevel="0" collapsed="false">
      <c r="B644" s="1" t="s">
        <v>292</v>
      </c>
      <c r="F644" s="57" t="s">
        <v>290</v>
      </c>
      <c r="G644" s="58" t="n">
        <v>0.4</v>
      </c>
      <c r="H644" s="59" t="n">
        <f aca="false">G644*8/$D$639</f>
        <v>0.492307692307692</v>
      </c>
      <c r="I644" s="30" t="n">
        <v>20.51</v>
      </c>
      <c r="J644" s="30" t="n">
        <f aca="false">H644*I644</f>
        <v>10.0972307692308</v>
      </c>
      <c r="K644" s="1" t="n">
        <v>47</v>
      </c>
    </row>
    <row r="645" customFormat="false" ht="15" hidden="false" customHeight="false" outlineLevel="0" collapsed="false">
      <c r="H645" s="59"/>
      <c r="J645" s="55" t="n">
        <f aca="false">ROUND(SUM(J642:J644),2)</f>
        <v>49.99</v>
      </c>
    </row>
    <row r="646" customFormat="false" ht="15" hidden="false" customHeight="false" outlineLevel="0" collapsed="false">
      <c r="B646" s="56" t="s">
        <v>293</v>
      </c>
      <c r="F646" s="57"/>
    </row>
    <row r="647" customFormat="false" ht="15" hidden="false" customHeight="false" outlineLevel="0" collapsed="false">
      <c r="B647" s="1" t="s">
        <v>662</v>
      </c>
      <c r="F647" s="57" t="s">
        <v>202</v>
      </c>
      <c r="H647" s="59" t="n">
        <v>0.004</v>
      </c>
      <c r="I647" s="30" t="n">
        <v>6.14</v>
      </c>
      <c r="J647" s="30" t="n">
        <f aca="false">H647*I647</f>
        <v>0.02456</v>
      </c>
      <c r="K647" s="1" t="n">
        <v>30</v>
      </c>
    </row>
    <row r="648" customFormat="false" ht="15" hidden="false" customHeight="false" outlineLevel="0" collapsed="false">
      <c r="B648" s="1" t="s">
        <v>300</v>
      </c>
      <c r="F648" s="57" t="s">
        <v>295</v>
      </c>
      <c r="H648" s="59" t="n">
        <v>0.044</v>
      </c>
      <c r="I648" s="30" t="n">
        <v>5.51</v>
      </c>
      <c r="J648" s="30" t="n">
        <f aca="false">H648*I648</f>
        <v>0.24244</v>
      </c>
      <c r="K648" s="1" t="n">
        <v>2</v>
      </c>
    </row>
    <row r="649" customFormat="false" ht="15" hidden="false" customHeight="false" outlineLevel="0" collapsed="false">
      <c r="B649" s="1" t="s">
        <v>962</v>
      </c>
      <c r="F649" s="57" t="s">
        <v>304</v>
      </c>
      <c r="H649" s="59" t="n">
        <v>0.0388</v>
      </c>
      <c r="I649" s="30" t="n">
        <v>17.48</v>
      </c>
      <c r="J649" s="30" t="n">
        <f aca="false">H649*I649</f>
        <v>0.678224</v>
      </c>
      <c r="K649" s="1" t="n">
        <v>43</v>
      </c>
    </row>
    <row r="650" customFormat="false" ht="15" hidden="false" customHeight="false" outlineLevel="0" collapsed="false">
      <c r="B650" s="1" t="s">
        <v>718</v>
      </c>
      <c r="F650" s="57" t="s">
        <v>429</v>
      </c>
      <c r="H650" s="59" t="n">
        <v>0.117</v>
      </c>
      <c r="I650" s="30" t="n">
        <v>24.52</v>
      </c>
      <c r="J650" s="30" t="n">
        <f aca="false">H650*I650</f>
        <v>2.86884</v>
      </c>
      <c r="K650" s="1" t="n">
        <v>21</v>
      </c>
    </row>
    <row r="651" customFormat="false" ht="15" hidden="false" customHeight="false" outlineLevel="0" collapsed="false">
      <c r="B651" s="1" t="s">
        <v>892</v>
      </c>
      <c r="F651" s="57" t="s">
        <v>202</v>
      </c>
      <c r="H651" s="59" t="n">
        <v>0.017</v>
      </c>
      <c r="I651" s="30" t="n">
        <v>65</v>
      </c>
      <c r="J651" s="30" t="n">
        <f aca="false">H651*I651</f>
        <v>1.105</v>
      </c>
      <c r="K651" s="1" t="n">
        <v>4</v>
      </c>
    </row>
    <row r="652" customFormat="false" ht="15" hidden="false" customHeight="false" outlineLevel="0" collapsed="false">
      <c r="B652" s="1" t="s">
        <v>307</v>
      </c>
      <c r="F652" s="57" t="s">
        <v>304</v>
      </c>
      <c r="H652" s="59" t="n">
        <v>2</v>
      </c>
      <c r="I652" s="30" t="n">
        <v>5.8</v>
      </c>
      <c r="J652" s="30" t="n">
        <f aca="false">H652*I652</f>
        <v>11.6</v>
      </c>
      <c r="K652" s="1" t="n">
        <v>43</v>
      </c>
    </row>
    <row r="653" customFormat="false" ht="15" hidden="false" customHeight="false" outlineLevel="0" collapsed="false">
      <c r="J653" s="55" t="n">
        <f aca="false">ROUND(SUM(J647:J652),2)</f>
        <v>16.52</v>
      </c>
    </row>
    <row r="654" customFormat="false" ht="15" hidden="false" customHeight="false" outlineLevel="0" collapsed="false">
      <c r="B654" s="56" t="s">
        <v>317</v>
      </c>
    </row>
    <row r="655" customFormat="false" ht="15" hidden="false" customHeight="false" outlineLevel="0" collapsed="false">
      <c r="B655" s="1" t="s">
        <v>309</v>
      </c>
      <c r="F655" s="57" t="s">
        <v>310</v>
      </c>
      <c r="H655" s="59" t="n">
        <v>3</v>
      </c>
      <c r="I655" s="30" t="n">
        <f aca="false">J645</f>
        <v>49.99</v>
      </c>
      <c r="J655" s="30" t="n">
        <f aca="false">H655%*I655</f>
        <v>1.4997</v>
      </c>
      <c r="K655" s="1" t="n">
        <v>37</v>
      </c>
    </row>
    <row r="656" customFormat="false" ht="15" hidden="false" customHeight="false" outlineLevel="0" collapsed="false">
      <c r="A656" s="62"/>
      <c r="B656" s="62"/>
      <c r="C656" s="62"/>
      <c r="D656" s="62"/>
      <c r="E656" s="62"/>
      <c r="F656" s="62"/>
      <c r="G656" s="62"/>
      <c r="H656" s="62"/>
      <c r="I656" s="62"/>
      <c r="J656" s="63" t="n">
        <f aca="false">ROUND(SUM(J655),2)</f>
        <v>1.5</v>
      </c>
    </row>
    <row r="658" customFormat="false" ht="15" hidden="false" customHeight="false" outlineLevel="0" collapsed="false">
      <c r="A658" s="14" t="s">
        <v>276</v>
      </c>
      <c r="B658" s="85" t="str">
        <f aca="false">ARQUITECTURA!A61</f>
        <v>03.07.07.03</v>
      </c>
      <c r="C658" s="14" t="s">
        <v>963</v>
      </c>
      <c r="D658" s="14"/>
      <c r="E658" s="14"/>
      <c r="F658" s="14"/>
      <c r="G658" s="14"/>
      <c r="H658" s="14"/>
      <c r="I658" s="14"/>
    </row>
    <row r="659" customFormat="false" ht="15" hidden="false" customHeight="false" outlineLevel="0" collapsed="false">
      <c r="A659" s="14" t="s">
        <v>277</v>
      </c>
      <c r="B659" s="14" t="s">
        <v>278</v>
      </c>
      <c r="C659" s="38" t="s">
        <v>279</v>
      </c>
      <c r="D659" s="54" t="n">
        <v>1</v>
      </c>
      <c r="E659" s="38" t="s">
        <v>280</v>
      </c>
      <c r="F659" s="54" t="n">
        <f aca="false">D659</f>
        <v>1</v>
      </c>
      <c r="G659" s="14" t="s">
        <v>281</v>
      </c>
      <c r="I659" s="38" t="s">
        <v>132</v>
      </c>
      <c r="J659" s="55" t="n">
        <f aca="false">J663</f>
        <v>39.51</v>
      </c>
    </row>
    <row r="660" customFormat="false" ht="15" hidden="false" customHeight="false" outlineLevel="0" collapsed="false">
      <c r="A660" s="14" t="s">
        <v>282</v>
      </c>
      <c r="B660" s="14" t="s">
        <v>283</v>
      </c>
      <c r="F660" s="38" t="s">
        <v>121</v>
      </c>
      <c r="G660" s="38" t="s">
        <v>284</v>
      </c>
      <c r="H660" s="38" t="s">
        <v>285</v>
      </c>
      <c r="I660" s="38" t="s">
        <v>286</v>
      </c>
      <c r="J660" s="38" t="s">
        <v>287</v>
      </c>
    </row>
    <row r="661" customFormat="false" ht="15" hidden="false" customHeight="false" outlineLevel="0" collapsed="false">
      <c r="B661" s="56" t="s">
        <v>293</v>
      </c>
    </row>
    <row r="662" customFormat="false" ht="15" hidden="false" customHeight="false" outlineLevel="0" collapsed="false">
      <c r="B662" s="1" t="s">
        <v>963</v>
      </c>
      <c r="F662" s="57" t="s">
        <v>132</v>
      </c>
      <c r="G662" s="58"/>
      <c r="H662" s="59" t="n">
        <v>1</v>
      </c>
      <c r="I662" s="1" t="n">
        <v>39.51</v>
      </c>
      <c r="J662" s="30" t="n">
        <f aca="false">H662*I662</f>
        <v>39.51</v>
      </c>
      <c r="K662" s="1" t="n">
        <v>39</v>
      </c>
    </row>
    <row r="663" customFormat="false" ht="15" hidden="false" customHeight="false" outlineLevel="0" collapsed="false">
      <c r="A663" s="62"/>
      <c r="B663" s="62"/>
      <c r="C663" s="62"/>
      <c r="D663" s="62"/>
      <c r="E663" s="62"/>
      <c r="F663" s="62"/>
      <c r="G663" s="62"/>
      <c r="H663" s="62"/>
      <c r="I663" s="62"/>
      <c r="J663" s="63" t="n">
        <f aca="false">ROUND(SUM(J662),2)</f>
        <v>39.51</v>
      </c>
    </row>
    <row r="665" customFormat="false" ht="15" hidden="false" customHeight="false" outlineLevel="0" collapsed="false">
      <c r="A665" s="14" t="s">
        <v>276</v>
      </c>
      <c r="B665" s="85" t="str">
        <f aca="false">ARQUITECTURA!A62</f>
        <v>03.07.07.04</v>
      </c>
      <c r="C665" s="14" t="s">
        <v>964</v>
      </c>
      <c r="D665" s="14"/>
      <c r="E665" s="14"/>
      <c r="F665" s="14"/>
      <c r="G665" s="14"/>
      <c r="H665" s="14"/>
      <c r="I665" s="14"/>
    </row>
    <row r="666" customFormat="false" ht="15" hidden="false" customHeight="false" outlineLevel="0" collapsed="false">
      <c r="A666" s="14" t="s">
        <v>277</v>
      </c>
      <c r="B666" s="14" t="s">
        <v>278</v>
      </c>
      <c r="C666" s="38" t="s">
        <v>279</v>
      </c>
      <c r="D666" s="54" t="n">
        <v>1</v>
      </c>
      <c r="E666" s="38" t="s">
        <v>280</v>
      </c>
      <c r="F666" s="54" t="n">
        <f aca="false">D666</f>
        <v>1</v>
      </c>
      <c r="G666" s="14" t="s">
        <v>281</v>
      </c>
      <c r="I666" s="38" t="s">
        <v>132</v>
      </c>
      <c r="J666" s="55" t="n">
        <f aca="false">J670</f>
        <v>17.38</v>
      </c>
    </row>
    <row r="667" customFormat="false" ht="15" hidden="false" customHeight="false" outlineLevel="0" collapsed="false">
      <c r="A667" s="14" t="s">
        <v>282</v>
      </c>
      <c r="B667" s="14" t="s">
        <v>283</v>
      </c>
      <c r="F667" s="38" t="s">
        <v>121</v>
      </c>
      <c r="G667" s="38" t="s">
        <v>284</v>
      </c>
      <c r="H667" s="38" t="s">
        <v>285</v>
      </c>
      <c r="I667" s="38" t="s">
        <v>286</v>
      </c>
      <c r="J667" s="38" t="s">
        <v>287</v>
      </c>
    </row>
    <row r="668" customFormat="false" ht="15" hidden="false" customHeight="false" outlineLevel="0" collapsed="false">
      <c r="B668" s="56" t="s">
        <v>293</v>
      </c>
    </row>
    <row r="669" customFormat="false" ht="15" hidden="false" customHeight="false" outlineLevel="0" collapsed="false">
      <c r="B669" s="1" t="s">
        <v>964</v>
      </c>
      <c r="F669" s="57" t="s">
        <v>132</v>
      </c>
      <c r="G669" s="58"/>
      <c r="H669" s="59" t="n">
        <v>1</v>
      </c>
      <c r="I669" s="1" t="n">
        <v>17.38</v>
      </c>
      <c r="J669" s="30" t="n">
        <f aca="false">H669*I669</f>
        <v>17.38</v>
      </c>
      <c r="K669" s="1" t="n">
        <v>54</v>
      </c>
    </row>
    <row r="670" customFormat="false" ht="15" hidden="false" customHeight="false" outlineLevel="0" collapsed="false">
      <c r="A670" s="62"/>
      <c r="B670" s="62"/>
      <c r="C670" s="62"/>
      <c r="D670" s="62"/>
      <c r="E670" s="62"/>
      <c r="F670" s="62"/>
      <c r="G670" s="62"/>
      <c r="H670" s="62"/>
      <c r="I670" s="62"/>
      <c r="J670" s="63" t="n">
        <f aca="false">ROUND(SUM(J669),2)</f>
        <v>17.38</v>
      </c>
    </row>
    <row r="672" customFormat="false" ht="15" hidden="false" customHeight="false" outlineLevel="0" collapsed="false">
      <c r="A672" s="14" t="s">
        <v>276</v>
      </c>
      <c r="B672" s="85" t="str">
        <f aca="false">ARQUITECTURA!A64</f>
        <v>03.07.08.01</v>
      </c>
      <c r="C672" s="14" t="s">
        <v>79</v>
      </c>
      <c r="D672" s="14"/>
      <c r="E672" s="14"/>
      <c r="F672" s="14"/>
      <c r="G672" s="14"/>
      <c r="H672" s="14"/>
      <c r="I672" s="14"/>
    </row>
    <row r="673" customFormat="false" ht="15" hidden="false" customHeight="false" outlineLevel="0" collapsed="false">
      <c r="A673" s="14" t="s">
        <v>277</v>
      </c>
      <c r="B673" s="14" t="s">
        <v>325</v>
      </c>
      <c r="C673" s="38" t="s">
        <v>279</v>
      </c>
      <c r="D673" s="54" t="n">
        <v>1</v>
      </c>
      <c r="E673" s="38" t="s">
        <v>280</v>
      </c>
      <c r="F673" s="54" t="n">
        <f aca="false">D673</f>
        <v>1</v>
      </c>
      <c r="G673" s="14" t="s">
        <v>281</v>
      </c>
      <c r="I673" s="38" t="s">
        <v>148</v>
      </c>
      <c r="J673" s="55" t="n">
        <f aca="false">J680+J699+J702</f>
        <v>2112.86</v>
      </c>
    </row>
    <row r="674" customFormat="false" ht="15" hidden="false" customHeight="false" outlineLevel="0" collapsed="false">
      <c r="A674" s="14" t="s">
        <v>282</v>
      </c>
      <c r="B674" s="14" t="s">
        <v>283</v>
      </c>
      <c r="F674" s="38" t="s">
        <v>121</v>
      </c>
      <c r="G674" s="38" t="s">
        <v>284</v>
      </c>
      <c r="H674" s="38" t="s">
        <v>285</v>
      </c>
      <c r="I674" s="38" t="s">
        <v>286</v>
      </c>
      <c r="J674" s="38" t="s">
        <v>287</v>
      </c>
    </row>
    <row r="675" customFormat="false" ht="15" hidden="false" customHeight="false" outlineLevel="0" collapsed="false">
      <c r="B675" s="56" t="s">
        <v>288</v>
      </c>
    </row>
    <row r="676" customFormat="false" ht="15" hidden="false" customHeight="false" outlineLevel="0" collapsed="false">
      <c r="B676" s="1" t="s">
        <v>649</v>
      </c>
      <c r="F676" s="57" t="s">
        <v>290</v>
      </c>
      <c r="G676" s="58" t="n">
        <v>0.1</v>
      </c>
      <c r="H676" s="59" t="n">
        <f aca="false">G676*8/$D$673</f>
        <v>0.8</v>
      </c>
      <c r="I676" s="30" t="n">
        <v>34.73</v>
      </c>
      <c r="J676" s="30" t="n">
        <f aca="false">H676*I676</f>
        <v>27.784</v>
      </c>
      <c r="K676" s="1" t="n">
        <v>47</v>
      </c>
    </row>
    <row r="677" customFormat="false" ht="15" hidden="false" customHeight="false" outlineLevel="0" collapsed="false">
      <c r="B677" s="1" t="s">
        <v>289</v>
      </c>
      <c r="F677" s="57" t="s">
        <v>290</v>
      </c>
      <c r="G677" s="58" t="n">
        <v>1</v>
      </c>
      <c r="H677" s="59" t="n">
        <f aca="false">G677*8/$D$673</f>
        <v>8</v>
      </c>
      <c r="I677" s="30" t="n">
        <v>28.94</v>
      </c>
      <c r="J677" s="30" t="n">
        <f aca="false">H677*I677</f>
        <v>231.52</v>
      </c>
      <c r="K677" s="1" t="n">
        <v>47</v>
      </c>
    </row>
    <row r="678" customFormat="false" ht="15" hidden="false" customHeight="false" outlineLevel="0" collapsed="false">
      <c r="B678" s="1" t="s">
        <v>675</v>
      </c>
      <c r="F678" s="57" t="s">
        <v>290</v>
      </c>
      <c r="G678" s="58" t="n">
        <v>1</v>
      </c>
      <c r="H678" s="59" t="n">
        <f aca="false">G678*8/$D$673</f>
        <v>8</v>
      </c>
      <c r="I678" s="1" t="n">
        <v>22.66</v>
      </c>
      <c r="J678" s="30" t="n">
        <f aca="false">H678*I678</f>
        <v>181.28</v>
      </c>
      <c r="K678" s="1" t="n">
        <v>47</v>
      </c>
    </row>
    <row r="679" customFormat="false" ht="15" hidden="false" customHeight="false" outlineLevel="0" collapsed="false">
      <c r="B679" s="1" t="s">
        <v>292</v>
      </c>
      <c r="F679" s="57" t="s">
        <v>290</v>
      </c>
      <c r="G679" s="58" t="n">
        <v>2</v>
      </c>
      <c r="H679" s="59" t="n">
        <f aca="false">G679*8/$D$673</f>
        <v>16</v>
      </c>
      <c r="I679" s="30" t="n">
        <v>20.51</v>
      </c>
      <c r="J679" s="30" t="n">
        <f aca="false">H679*I679</f>
        <v>328.16</v>
      </c>
      <c r="K679" s="1" t="n">
        <v>47</v>
      </c>
    </row>
    <row r="680" customFormat="false" ht="15" hidden="false" customHeight="false" outlineLevel="0" collapsed="false">
      <c r="J680" s="55" t="n">
        <f aca="false">ROUND(SUM(J676:J679),2)</f>
        <v>768.74</v>
      </c>
    </row>
    <row r="681" customFormat="false" ht="15" hidden="false" customHeight="false" outlineLevel="0" collapsed="false">
      <c r="B681" s="56" t="s">
        <v>293</v>
      </c>
      <c r="F681" s="57"/>
    </row>
    <row r="682" customFormat="false" ht="15" hidden="false" customHeight="false" outlineLevel="0" collapsed="false">
      <c r="B682" s="121" t="s">
        <v>294</v>
      </c>
      <c r="F682" s="57" t="s">
        <v>295</v>
      </c>
      <c r="H682" s="59" t="n">
        <v>0.5</v>
      </c>
      <c r="I682" s="1" t="n">
        <v>2.64</v>
      </c>
      <c r="J682" s="30" t="n">
        <f aca="false">H682*I682</f>
        <v>1.32</v>
      </c>
      <c r="K682" s="1" t="n">
        <v>2</v>
      </c>
    </row>
    <row r="683" customFormat="false" ht="15" hidden="false" customHeight="false" outlineLevel="0" collapsed="false">
      <c r="B683" s="121" t="s">
        <v>723</v>
      </c>
      <c r="F683" s="57" t="s">
        <v>295</v>
      </c>
      <c r="H683" s="59" t="n">
        <v>0.592</v>
      </c>
      <c r="I683" s="1" t="n">
        <v>4.16</v>
      </c>
      <c r="J683" s="30" t="n">
        <f aca="false">H683*I683</f>
        <v>2.46272</v>
      </c>
      <c r="K683" s="1" t="n">
        <v>2</v>
      </c>
    </row>
    <row r="684" customFormat="false" ht="15" hidden="false" customHeight="false" outlineLevel="0" collapsed="false">
      <c r="B684" s="121" t="s">
        <v>965</v>
      </c>
      <c r="F684" s="57" t="s">
        <v>132</v>
      </c>
      <c r="H684" s="59" t="n">
        <v>0.03</v>
      </c>
      <c r="I684" s="1" t="n">
        <v>83.22</v>
      </c>
      <c r="J684" s="30" t="n">
        <f aca="false">H684*I684</f>
        <v>2.4966</v>
      </c>
      <c r="K684" s="1" t="n">
        <v>56</v>
      </c>
    </row>
    <row r="685" customFormat="false" ht="15" hidden="false" customHeight="false" outlineLevel="0" collapsed="false">
      <c r="B685" s="119" t="s">
        <v>892</v>
      </c>
      <c r="F685" s="57" t="s">
        <v>202</v>
      </c>
      <c r="H685" s="59" t="n">
        <v>0.138</v>
      </c>
      <c r="I685" s="1" t="n">
        <v>65</v>
      </c>
      <c r="J685" s="30" t="n">
        <f aca="false">H685*I685</f>
        <v>8.97</v>
      </c>
      <c r="K685" s="1" t="n">
        <v>4</v>
      </c>
    </row>
    <row r="686" customFormat="false" ht="15" hidden="false" customHeight="false" outlineLevel="0" collapsed="false">
      <c r="B686" s="121" t="s">
        <v>697</v>
      </c>
      <c r="F686" s="57" t="s">
        <v>202</v>
      </c>
      <c r="H686" s="59" t="n">
        <v>0.255</v>
      </c>
      <c r="I686" s="30" t="n">
        <v>47</v>
      </c>
      <c r="J686" s="30" t="n">
        <f aca="false">H686*I686</f>
        <v>11.985</v>
      </c>
      <c r="K686" s="1" t="n">
        <v>4</v>
      </c>
    </row>
    <row r="687" customFormat="false" ht="15" hidden="false" customHeight="false" outlineLevel="0" collapsed="false">
      <c r="B687" s="121" t="s">
        <v>718</v>
      </c>
      <c r="F687" s="57" t="s">
        <v>429</v>
      </c>
      <c r="H687" s="59" t="n">
        <v>4.326</v>
      </c>
      <c r="I687" s="1" t="n">
        <v>24.52</v>
      </c>
      <c r="J687" s="30" t="n">
        <f aca="false">H687*I687</f>
        <v>106.07352</v>
      </c>
      <c r="K687" s="1" t="n">
        <v>21</v>
      </c>
    </row>
    <row r="688" customFormat="false" ht="15" hidden="false" customHeight="false" outlineLevel="0" collapsed="false">
      <c r="B688" s="121" t="s">
        <v>307</v>
      </c>
      <c r="F688" s="57" t="s">
        <v>304</v>
      </c>
      <c r="G688" s="58"/>
      <c r="H688" s="59" t="n">
        <v>12.116</v>
      </c>
      <c r="I688" s="30" t="n">
        <v>5.8</v>
      </c>
      <c r="J688" s="30" t="n">
        <f aca="false">H688*I688</f>
        <v>70.2728</v>
      </c>
      <c r="K688" s="1" t="n">
        <v>43</v>
      </c>
    </row>
    <row r="689" customFormat="false" ht="15" hidden="false" customHeight="false" outlineLevel="0" collapsed="false">
      <c r="B689" s="121" t="s">
        <v>966</v>
      </c>
      <c r="F689" s="57" t="s">
        <v>437</v>
      </c>
      <c r="G689" s="58"/>
      <c r="H689" s="59" t="n">
        <v>0.057</v>
      </c>
      <c r="I689" s="30" t="n">
        <v>38.98</v>
      </c>
      <c r="J689" s="30" t="n">
        <f aca="false">H689*I689</f>
        <v>2.22186</v>
      </c>
      <c r="K689" s="1" t="n">
        <v>54</v>
      </c>
    </row>
    <row r="690" customFormat="false" ht="15" hidden="false" customHeight="false" outlineLevel="0" collapsed="false">
      <c r="B690" s="121" t="s">
        <v>967</v>
      </c>
      <c r="F690" s="57" t="s">
        <v>437</v>
      </c>
      <c r="G690" s="58"/>
      <c r="H690" s="59" t="n">
        <v>0.1</v>
      </c>
      <c r="I690" s="30" t="n">
        <v>94</v>
      </c>
      <c r="J690" s="30" t="n">
        <f aca="false">H690*I690</f>
        <v>9.4</v>
      </c>
      <c r="K690" s="1" t="n">
        <v>54</v>
      </c>
    </row>
    <row r="691" customFormat="false" ht="15" hidden="false" customHeight="false" outlineLevel="0" collapsed="false">
      <c r="B691" s="121" t="s">
        <v>968</v>
      </c>
      <c r="F691" s="57" t="s">
        <v>143</v>
      </c>
      <c r="G691" s="58"/>
      <c r="H691" s="59" t="n">
        <v>2.7</v>
      </c>
      <c r="I691" s="30" t="n">
        <v>52.7</v>
      </c>
      <c r="J691" s="30" t="n">
        <f aca="false">H691*I691</f>
        <v>142.29</v>
      </c>
      <c r="K691" s="1" t="n">
        <v>65</v>
      </c>
    </row>
    <row r="692" customFormat="false" ht="15" hidden="false" customHeight="false" outlineLevel="0" collapsed="false">
      <c r="B692" s="121" t="s">
        <v>969</v>
      </c>
      <c r="F692" s="57" t="s">
        <v>143</v>
      </c>
      <c r="H692" s="59" t="n">
        <v>2.7</v>
      </c>
      <c r="I692" s="30" t="n">
        <v>101.49</v>
      </c>
      <c r="J692" s="30" t="n">
        <f aca="false">H692*I692</f>
        <v>274.023</v>
      </c>
      <c r="K692" s="1" t="n">
        <v>65</v>
      </c>
    </row>
    <row r="693" customFormat="false" ht="15" hidden="false" customHeight="false" outlineLevel="0" collapsed="false">
      <c r="B693" s="121" t="s">
        <v>970</v>
      </c>
      <c r="F693" s="57" t="s">
        <v>143</v>
      </c>
      <c r="H693" s="59" t="n">
        <v>3.3</v>
      </c>
      <c r="I693" s="30" t="n">
        <v>123.01</v>
      </c>
      <c r="J693" s="30" t="n">
        <f aca="false">H693*I693</f>
        <v>405.933</v>
      </c>
      <c r="K693" s="1" t="n">
        <v>65</v>
      </c>
    </row>
    <row r="694" customFormat="false" ht="15" hidden="false" customHeight="false" outlineLevel="0" collapsed="false">
      <c r="B694" s="121" t="s">
        <v>971</v>
      </c>
      <c r="F694" s="57" t="s">
        <v>143</v>
      </c>
      <c r="H694" s="59" t="n">
        <v>18</v>
      </c>
      <c r="I694" s="30" t="n">
        <v>14.82</v>
      </c>
      <c r="J694" s="30" t="n">
        <f aca="false">H694*I694</f>
        <v>266.76</v>
      </c>
      <c r="K694" s="1" t="n">
        <v>39</v>
      </c>
    </row>
    <row r="695" customFormat="false" ht="15" hidden="false" customHeight="false" outlineLevel="0" collapsed="false">
      <c r="B695" s="121" t="s">
        <v>972</v>
      </c>
      <c r="F695" s="57" t="s">
        <v>148</v>
      </c>
      <c r="H695" s="59" t="n">
        <v>6</v>
      </c>
      <c r="I695" s="30" t="n">
        <v>0.67</v>
      </c>
      <c r="J695" s="30" t="n">
        <f aca="false">H695*I695</f>
        <v>4.02</v>
      </c>
      <c r="K695" s="1" t="n">
        <v>56</v>
      </c>
    </row>
    <row r="696" customFormat="false" ht="15" hidden="false" customHeight="false" outlineLevel="0" collapsed="false">
      <c r="B696" s="121" t="s">
        <v>973</v>
      </c>
      <c r="F696" s="57" t="s">
        <v>148</v>
      </c>
      <c r="H696" s="59" t="n">
        <v>6</v>
      </c>
      <c r="I696" s="30" t="n">
        <v>0.63</v>
      </c>
      <c r="J696" s="30" t="n">
        <f aca="false">H696*I696</f>
        <v>3.78</v>
      </c>
      <c r="K696" s="1" t="n">
        <v>2</v>
      </c>
    </row>
    <row r="697" customFormat="false" ht="15" hidden="false" customHeight="false" outlineLevel="0" collapsed="false">
      <c r="B697" s="121" t="s">
        <v>974</v>
      </c>
      <c r="F697" s="57" t="s">
        <v>295</v>
      </c>
      <c r="H697" s="59" t="n">
        <v>0.1</v>
      </c>
      <c r="I697" s="30" t="n">
        <v>84.9</v>
      </c>
      <c r="J697" s="30" t="n">
        <f aca="false">H697*I697</f>
        <v>8.49</v>
      </c>
      <c r="K697" s="1" t="n">
        <v>30</v>
      </c>
    </row>
    <row r="698" customFormat="false" ht="15" hidden="false" customHeight="false" outlineLevel="0" collapsed="false">
      <c r="B698" s="121" t="s">
        <v>662</v>
      </c>
      <c r="F698" s="57" t="s">
        <v>202</v>
      </c>
      <c r="H698" s="59" t="n">
        <v>0.092</v>
      </c>
      <c r="I698" s="30" t="n">
        <v>6.14</v>
      </c>
      <c r="J698" s="30" t="n">
        <f aca="false">H698*I698</f>
        <v>0.56488</v>
      </c>
      <c r="K698" s="1" t="n">
        <v>30</v>
      </c>
    </row>
    <row r="699" customFormat="false" ht="15" hidden="false" customHeight="false" outlineLevel="0" collapsed="false">
      <c r="J699" s="55" t="n">
        <f aca="false">ROUND(SUM(J682:J698),2)</f>
        <v>1321.06</v>
      </c>
    </row>
    <row r="700" customFormat="false" ht="15" hidden="false" customHeight="false" outlineLevel="0" collapsed="false">
      <c r="B700" s="56" t="s">
        <v>317</v>
      </c>
    </row>
    <row r="701" customFormat="false" ht="15" hidden="false" customHeight="false" outlineLevel="0" collapsed="false">
      <c r="B701" s="1" t="s">
        <v>309</v>
      </c>
      <c r="F701" s="57" t="s">
        <v>310</v>
      </c>
      <c r="H701" s="59" t="n">
        <v>3</v>
      </c>
      <c r="I701" s="30" t="n">
        <f aca="false">J680</f>
        <v>768.74</v>
      </c>
      <c r="J701" s="30" t="n">
        <f aca="false">H701%*I701</f>
        <v>23.0622</v>
      </c>
      <c r="K701" s="1" t="n">
        <v>37</v>
      </c>
    </row>
    <row r="702" customFormat="false" ht="15" hidden="false" customHeight="false" outlineLevel="0" collapsed="false">
      <c r="A702" s="62"/>
      <c r="B702" s="62"/>
      <c r="C702" s="62"/>
      <c r="D702" s="62"/>
      <c r="E702" s="62"/>
      <c r="F702" s="62"/>
      <c r="G702" s="62"/>
      <c r="H702" s="62"/>
      <c r="I702" s="62"/>
      <c r="J702" s="63" t="n">
        <f aca="false">ROUND(SUM(J701),2)</f>
        <v>23.06</v>
      </c>
    </row>
    <row r="704" customFormat="false" ht="15" hidden="false" customHeight="false" outlineLevel="0" collapsed="false">
      <c r="A704" s="14" t="s">
        <v>276</v>
      </c>
      <c r="B704" s="85" t="str">
        <f aca="false">ARQUITECTURA!A66</f>
        <v>03.07.09.01</v>
      </c>
      <c r="C704" s="14" t="s">
        <v>857</v>
      </c>
      <c r="D704" s="14"/>
      <c r="E704" s="14"/>
      <c r="F704" s="14"/>
      <c r="G704" s="14"/>
      <c r="H704" s="14"/>
      <c r="I704" s="14"/>
    </row>
    <row r="705" customFormat="false" ht="15" hidden="false" customHeight="false" outlineLevel="0" collapsed="false">
      <c r="A705" s="14" t="s">
        <v>277</v>
      </c>
      <c r="B705" s="14" t="s">
        <v>278</v>
      </c>
      <c r="C705" s="38" t="s">
        <v>279</v>
      </c>
      <c r="D705" s="54" t="n">
        <v>1</v>
      </c>
      <c r="E705" s="38" t="s">
        <v>280</v>
      </c>
      <c r="F705" s="54" t="n">
        <f aca="false">D705</f>
        <v>1</v>
      </c>
      <c r="G705" s="14" t="s">
        <v>281</v>
      </c>
      <c r="I705" s="38" t="s">
        <v>132</v>
      </c>
      <c r="J705" s="55" t="n">
        <f aca="false">J709</f>
        <v>169.49</v>
      </c>
      <c r="N705" s="85"/>
    </row>
    <row r="706" customFormat="false" ht="15" hidden="false" customHeight="false" outlineLevel="0" collapsed="false">
      <c r="A706" s="14" t="s">
        <v>282</v>
      </c>
      <c r="B706" s="14" t="s">
        <v>283</v>
      </c>
      <c r="F706" s="38" t="s">
        <v>121</v>
      </c>
      <c r="G706" s="38" t="s">
        <v>284</v>
      </c>
      <c r="H706" s="38" t="s">
        <v>285</v>
      </c>
      <c r="I706" s="38" t="s">
        <v>286</v>
      </c>
      <c r="J706" s="38" t="s">
        <v>287</v>
      </c>
      <c r="N706" s="85"/>
    </row>
    <row r="707" customFormat="false" ht="15" hidden="false" customHeight="false" outlineLevel="0" collapsed="false">
      <c r="B707" s="56" t="s">
        <v>293</v>
      </c>
    </row>
    <row r="708" customFormat="false" ht="15" hidden="false" customHeight="false" outlineLevel="0" collapsed="false">
      <c r="B708" s="1" t="s">
        <v>857</v>
      </c>
      <c r="F708" s="57" t="s">
        <v>132</v>
      </c>
      <c r="G708" s="58"/>
      <c r="H708" s="59" t="n">
        <v>1</v>
      </c>
      <c r="I708" s="30" t="n">
        <v>169.49</v>
      </c>
      <c r="J708" s="30" t="n">
        <f aca="false">H708*I708</f>
        <v>169.49</v>
      </c>
      <c r="K708" s="1" t="n">
        <v>39</v>
      </c>
      <c r="N708" s="30"/>
    </row>
    <row r="709" customFormat="false" ht="15" hidden="false" customHeight="false" outlineLevel="0" collapsed="false">
      <c r="A709" s="62"/>
      <c r="B709" s="62"/>
      <c r="C709" s="62"/>
      <c r="D709" s="62"/>
      <c r="E709" s="62"/>
      <c r="F709" s="62"/>
      <c r="G709" s="62"/>
      <c r="H709" s="62"/>
      <c r="I709" s="62"/>
      <c r="J709" s="63" t="n">
        <f aca="false">ROUND(SUM(J708),2)</f>
        <v>169.49</v>
      </c>
      <c r="N709" s="30"/>
    </row>
    <row r="710" customFormat="false" ht="15" hidden="false" customHeight="false" outlineLevel="0" collapsed="false">
      <c r="N710" s="30"/>
    </row>
    <row r="711" customFormat="false" ht="15" hidden="false" customHeight="false" outlineLevel="0" collapsed="false">
      <c r="A711" s="14" t="s">
        <v>276</v>
      </c>
      <c r="B711" s="85" t="str">
        <f aca="false">ARQUITECTURA!A67</f>
        <v>03.07.09.02</v>
      </c>
      <c r="C711" s="14" t="s">
        <v>975</v>
      </c>
      <c r="D711" s="14"/>
      <c r="E711" s="14"/>
      <c r="F711" s="14"/>
      <c r="G711" s="14"/>
      <c r="H711" s="14"/>
      <c r="I711" s="14"/>
    </row>
    <row r="712" customFormat="false" ht="15" hidden="false" customHeight="false" outlineLevel="0" collapsed="false">
      <c r="A712" s="14" t="s">
        <v>277</v>
      </c>
      <c r="B712" s="14" t="s">
        <v>278</v>
      </c>
      <c r="C712" s="38" t="s">
        <v>279</v>
      </c>
      <c r="D712" s="54" t="n">
        <v>1</v>
      </c>
      <c r="E712" s="38" t="s">
        <v>280</v>
      </c>
      <c r="F712" s="54" t="n">
        <f aca="false">D712</f>
        <v>1</v>
      </c>
      <c r="G712" s="14" t="s">
        <v>281</v>
      </c>
      <c r="I712" s="38" t="s">
        <v>132</v>
      </c>
      <c r="J712" s="55" t="n">
        <f aca="false">J716</f>
        <v>169.49</v>
      </c>
    </row>
    <row r="713" customFormat="false" ht="15" hidden="false" customHeight="false" outlineLevel="0" collapsed="false">
      <c r="A713" s="14" t="s">
        <v>282</v>
      </c>
      <c r="B713" s="14" t="s">
        <v>283</v>
      </c>
      <c r="F713" s="38" t="s">
        <v>121</v>
      </c>
      <c r="G713" s="38" t="s">
        <v>284</v>
      </c>
      <c r="H713" s="38" t="s">
        <v>285</v>
      </c>
      <c r="I713" s="38" t="s">
        <v>286</v>
      </c>
      <c r="J713" s="38" t="s">
        <v>287</v>
      </c>
      <c r="M713" s="85"/>
      <c r="N713" s="85"/>
    </row>
    <row r="714" customFormat="false" ht="15" hidden="false" customHeight="false" outlineLevel="0" collapsed="false">
      <c r="B714" s="56" t="s">
        <v>293</v>
      </c>
    </row>
    <row r="715" customFormat="false" ht="15" hidden="false" customHeight="false" outlineLevel="0" collapsed="false">
      <c r="B715" s="1" t="s">
        <v>975</v>
      </c>
      <c r="F715" s="57" t="s">
        <v>132</v>
      </c>
      <c r="G715" s="58"/>
      <c r="H715" s="59" t="n">
        <v>1</v>
      </c>
      <c r="I715" s="30" t="n">
        <v>169.49</v>
      </c>
      <c r="J715" s="30" t="n">
        <f aca="false">H715*I715</f>
        <v>169.49</v>
      </c>
      <c r="K715" s="1" t="n">
        <v>39</v>
      </c>
    </row>
    <row r="716" customFormat="false" ht="15" hidden="false" customHeight="false" outlineLevel="0" collapsed="false">
      <c r="A716" s="62"/>
      <c r="B716" s="62"/>
      <c r="C716" s="62"/>
      <c r="D716" s="62"/>
      <c r="E716" s="62"/>
      <c r="F716" s="62"/>
      <c r="G716" s="62"/>
      <c r="H716" s="62"/>
      <c r="I716" s="62"/>
      <c r="J716" s="63" t="n">
        <f aca="false">ROUND(SUM(J715),2)</f>
        <v>169.49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14"/>
    <col collapsed="false" customWidth="true" hidden="false" outlineLevel="0" max="9" min="9" style="1" width="12.43"/>
    <col collapsed="false" customWidth="true" hidden="false" outlineLevel="0" max="10" min="10" style="1" width="10.43"/>
    <col collapsed="false" customWidth="true" hidden="false" outlineLevel="0" max="11" min="11" style="1" width="14.29"/>
    <col collapsed="false" customWidth="true" hidden="false" outlineLevel="0" max="15" min="15" style="1" width="21.3"/>
  </cols>
  <sheetData>
    <row r="2" customFormat="false" ht="15" hidden="false" customHeight="false" outlineLevel="0" collapsed="false">
      <c r="G2" s="38" t="s">
        <v>121</v>
      </c>
      <c r="H2" s="38" t="s">
        <v>122</v>
      </c>
      <c r="I2" s="38" t="s">
        <v>123</v>
      </c>
      <c r="J2" s="38" t="s">
        <v>452</v>
      </c>
      <c r="K2" s="38" t="s">
        <v>453</v>
      </c>
    </row>
    <row r="3" customFormat="false" ht="15" hidden="false" customHeight="false" outlineLevel="0" collapsed="false">
      <c r="A3" s="14" t="n">
        <v>4</v>
      </c>
      <c r="B3" s="72" t="s">
        <v>976</v>
      </c>
      <c r="J3" s="6"/>
      <c r="K3" s="73" t="n">
        <f aca="false">J4+J9+J12+J14+J16+J18+J21+J23+J26</f>
        <v>396101.85</v>
      </c>
      <c r="O3" s="14"/>
      <c r="P3" s="14"/>
    </row>
    <row r="4" customFormat="false" ht="15" hidden="false" customHeight="false" outlineLevel="0" collapsed="false">
      <c r="A4" s="14" t="n">
        <v>4.01</v>
      </c>
      <c r="B4" s="74" t="s">
        <v>977</v>
      </c>
      <c r="J4" s="42" t="n">
        <f aca="false">SUM(J5:J8)</f>
        <v>5126.16</v>
      </c>
      <c r="K4" s="9"/>
      <c r="P4" s="14"/>
    </row>
    <row r="5" customFormat="false" ht="15" hidden="false" customHeight="false" outlineLevel="0" collapsed="false">
      <c r="A5" s="1" t="s">
        <v>978</v>
      </c>
      <c r="B5" s="1" t="s">
        <v>979</v>
      </c>
      <c r="G5" s="6" t="s">
        <v>148</v>
      </c>
      <c r="H5" s="65" t="n">
        <f aca="false">ROUNDUP(SUM(BIBLIOTECA:INGRESO!G44:G44),0)</f>
        <v>8</v>
      </c>
      <c r="I5" s="65" t="n">
        <f aca="false">ROUND('APUS SANITARIAS'!J5,2)</f>
        <v>193.33</v>
      </c>
      <c r="J5" s="30" t="n">
        <f aca="false">H5*I5</f>
        <v>1546.64</v>
      </c>
      <c r="N5" s="30"/>
      <c r="O5" s="30"/>
      <c r="P5" s="14"/>
    </row>
    <row r="6" customFormat="false" ht="15" hidden="false" customHeight="false" outlineLevel="0" collapsed="false">
      <c r="A6" s="1" t="s">
        <v>980</v>
      </c>
      <c r="B6" s="1" t="s">
        <v>981</v>
      </c>
      <c r="G6" s="6" t="s">
        <v>148</v>
      </c>
      <c r="H6" s="65" t="n">
        <f aca="false">ROUNDUP(SUM(BIBLIOTECA:INGRESO!G45:G45),0)</f>
        <v>8</v>
      </c>
      <c r="I6" s="30" t="n">
        <f aca="false">ROUND('APUS SANITARIAS'!J12,2)</f>
        <v>192.42</v>
      </c>
      <c r="J6" s="30" t="n">
        <f aca="false">H6*I6</f>
        <v>1539.36</v>
      </c>
    </row>
    <row r="7" customFormat="false" ht="15" hidden="false" customHeight="false" outlineLevel="0" collapsed="false">
      <c r="A7" s="1" t="s">
        <v>982</v>
      </c>
      <c r="B7" s="1" t="s">
        <v>983</v>
      </c>
      <c r="G7" s="6" t="s">
        <v>148</v>
      </c>
      <c r="H7" s="65" t="n">
        <f aca="false">ROUNDUP(SUM(BIBLIOTECA:INGRESO!G46:G46),0)</f>
        <v>8</v>
      </c>
      <c r="I7" s="30" t="n">
        <f aca="false">ROUND('APUS SANITARIAS'!J19,2)</f>
        <v>67.52</v>
      </c>
      <c r="J7" s="30" t="n">
        <f aca="false">H7*I7</f>
        <v>540.16</v>
      </c>
    </row>
    <row r="8" customFormat="false" ht="15" hidden="false" customHeight="false" outlineLevel="0" collapsed="false">
      <c r="A8" s="1" t="s">
        <v>984</v>
      </c>
      <c r="B8" s="1" t="s">
        <v>985</v>
      </c>
      <c r="G8" s="6" t="s">
        <v>148</v>
      </c>
      <c r="H8" s="65" t="n">
        <f aca="false">ROUNDUP(SUM(BIBLIOTECA:INGRESO!G47:G47),0)</f>
        <v>2</v>
      </c>
      <c r="I8" s="65" t="n">
        <f aca="false">ROUND('APUS SANITARIAS'!J26,2)</f>
        <v>750</v>
      </c>
      <c r="J8" s="30" t="n">
        <f aca="false">H8*I8</f>
        <v>1500</v>
      </c>
    </row>
    <row r="9" customFormat="false" ht="15" hidden="false" customHeight="false" outlineLevel="0" collapsed="false">
      <c r="A9" s="14" t="n">
        <v>4.02</v>
      </c>
      <c r="B9" s="74" t="s">
        <v>986</v>
      </c>
      <c r="G9" s="6"/>
      <c r="H9" s="30"/>
      <c r="I9" s="30"/>
      <c r="J9" s="136" t="n">
        <f aca="false">SUM(J10:J11)</f>
        <v>1606.77</v>
      </c>
    </row>
    <row r="10" customFormat="false" ht="15" hidden="false" customHeight="false" outlineLevel="0" collapsed="false">
      <c r="A10" s="1" t="s">
        <v>987</v>
      </c>
      <c r="B10" s="1" t="s">
        <v>988</v>
      </c>
      <c r="G10" s="6" t="s">
        <v>213</v>
      </c>
      <c r="H10" s="30" t="n">
        <f aca="false">ROUNDUP(SUM(BIBLIOTECA:INGRESO!G48:G48),0)</f>
        <v>9</v>
      </c>
      <c r="I10" s="30" t="n">
        <f aca="false">ROUND('APUS SANITARIAS'!J32,2)</f>
        <v>131.73</v>
      </c>
      <c r="J10" s="30" t="n">
        <f aca="false">H10*I10</f>
        <v>1185.57</v>
      </c>
      <c r="P10" s="14"/>
    </row>
    <row r="11" customFormat="false" ht="15" hidden="false" customHeight="false" outlineLevel="0" collapsed="false">
      <c r="A11" s="1" t="s">
        <v>989</v>
      </c>
      <c r="B11" s="1" t="s">
        <v>990</v>
      </c>
      <c r="G11" s="6" t="s">
        <v>213</v>
      </c>
      <c r="H11" s="30" t="n">
        <f aca="false">ROUNDUP(SUM(BIBLIOTECA:INGRESO!G49:G49),0)</f>
        <v>2</v>
      </c>
      <c r="I11" s="30" t="n">
        <f aca="false">ROUND('APUS SANITARIAS'!J50,2)</f>
        <v>210.6</v>
      </c>
      <c r="J11" s="30" t="n">
        <f aca="false">H11*I11</f>
        <v>421.2</v>
      </c>
    </row>
    <row r="12" customFormat="false" ht="15" hidden="false" customHeight="false" outlineLevel="0" collapsed="false">
      <c r="A12" s="14" t="n">
        <v>4.03</v>
      </c>
      <c r="B12" s="74" t="s">
        <v>991</v>
      </c>
      <c r="G12" s="6"/>
      <c r="H12" s="30"/>
      <c r="I12" s="30"/>
      <c r="J12" s="136" t="n">
        <f aca="false">SUM(J13)</f>
        <v>2400</v>
      </c>
    </row>
    <row r="13" customFormat="false" ht="15" hidden="false" customHeight="false" outlineLevel="0" collapsed="false">
      <c r="A13" s="1" t="s">
        <v>992</v>
      </c>
      <c r="B13" s="1" t="s">
        <v>993</v>
      </c>
      <c r="G13" s="6" t="s">
        <v>148</v>
      </c>
      <c r="H13" s="30" t="n">
        <f aca="false">ROUNDUP(SUM(BIBLIOTECA:INGRESO!G50:G50),0)</f>
        <v>12</v>
      </c>
      <c r="I13" s="30" t="n">
        <f aca="false">ROUND('APUS SANITARIAS'!J69,2)</f>
        <v>200</v>
      </c>
      <c r="J13" s="30" t="n">
        <f aca="false">H13*I13</f>
        <v>2400</v>
      </c>
      <c r="P13" s="14"/>
    </row>
    <row r="14" customFormat="false" ht="15" hidden="false" customHeight="false" outlineLevel="0" collapsed="false">
      <c r="A14" s="14" t="n">
        <v>4.04</v>
      </c>
      <c r="B14" s="13" t="s">
        <v>994</v>
      </c>
      <c r="G14" s="6"/>
      <c r="H14" s="30"/>
      <c r="I14" s="30"/>
      <c r="J14" s="136" t="n">
        <f aca="false">SUM(J15)</f>
        <v>537.22</v>
      </c>
    </row>
    <row r="15" customFormat="false" ht="15" hidden="false" customHeight="false" outlineLevel="0" collapsed="false">
      <c r="A15" s="1" t="s">
        <v>995</v>
      </c>
      <c r="B15" s="1" t="s">
        <v>994</v>
      </c>
      <c r="G15" s="6" t="s">
        <v>148</v>
      </c>
      <c r="H15" s="30" t="n">
        <f aca="false">ROUNDUP(SUM(BIBLIOTECA:INGRESO!G51:G51),0)</f>
        <v>1</v>
      </c>
      <c r="I15" s="30" t="n">
        <f aca="false">ROUND('APUS SANITARIAS'!J76,2)</f>
        <v>537.22</v>
      </c>
      <c r="J15" s="30" t="n">
        <f aca="false">H15*I15</f>
        <v>537.22</v>
      </c>
      <c r="P15" s="14"/>
    </row>
    <row r="16" customFormat="false" ht="15" hidden="false" customHeight="false" outlineLevel="0" collapsed="false">
      <c r="A16" s="14" t="n">
        <v>4.05</v>
      </c>
      <c r="B16" s="13" t="s">
        <v>996</v>
      </c>
      <c r="G16" s="6"/>
      <c r="H16" s="30"/>
      <c r="I16" s="30"/>
      <c r="J16" s="136" t="n">
        <f aca="false">SUM(J17)</f>
        <v>474.48</v>
      </c>
    </row>
    <row r="17" customFormat="false" ht="15" hidden="false" customHeight="false" outlineLevel="0" collapsed="false">
      <c r="A17" s="1" t="s">
        <v>997</v>
      </c>
      <c r="B17" s="1" t="s">
        <v>998</v>
      </c>
      <c r="G17" s="6" t="s">
        <v>213</v>
      </c>
      <c r="H17" s="65" t="n">
        <f aca="false">ROUND(1.3*'Datos iniciales '!B3/75,0)</f>
        <v>3</v>
      </c>
      <c r="I17" s="30" t="n">
        <f aca="false">ROUND('APUS SANITARIAS'!J91,2)</f>
        <v>158.16</v>
      </c>
      <c r="J17" s="30" t="n">
        <f aca="false">H17*I17</f>
        <v>474.48</v>
      </c>
      <c r="P17" s="14"/>
    </row>
    <row r="18" customFormat="false" ht="15" hidden="false" customHeight="false" outlineLevel="0" collapsed="false">
      <c r="A18" s="14" t="n">
        <v>4.06</v>
      </c>
      <c r="B18" s="13" t="s">
        <v>999</v>
      </c>
      <c r="G18" s="6"/>
      <c r="H18" s="30"/>
      <c r="I18" s="30"/>
      <c r="J18" s="136" t="n">
        <f aca="false">SUM(J19:J20)</f>
        <v>2561.31</v>
      </c>
    </row>
    <row r="19" customFormat="false" ht="15" hidden="false" customHeight="false" outlineLevel="0" collapsed="false">
      <c r="A19" s="1" t="s">
        <v>1000</v>
      </c>
      <c r="B19" s="1" t="s">
        <v>1001</v>
      </c>
      <c r="G19" s="6" t="s">
        <v>213</v>
      </c>
      <c r="H19" s="30" t="n">
        <f aca="false">ROUNDUP(SUM(BIBLIOTECA:INGRESO!G53:G53),0)</f>
        <v>9</v>
      </c>
      <c r="I19" s="30" t="n">
        <f aca="false">ROUND('APUS SANITARIAS'!J108,2)</f>
        <v>138.65</v>
      </c>
      <c r="J19" s="30" t="n">
        <f aca="false">H19*I19</f>
        <v>1247.85</v>
      </c>
      <c r="P19" s="14"/>
    </row>
    <row r="20" customFormat="false" ht="15" hidden="false" customHeight="false" outlineLevel="0" collapsed="false">
      <c r="A20" s="1" t="s">
        <v>1002</v>
      </c>
      <c r="B20" s="1" t="s">
        <v>1003</v>
      </c>
      <c r="G20" s="6" t="s">
        <v>213</v>
      </c>
      <c r="H20" s="30" t="n">
        <f aca="false">ROUNDUP(SUM(BIBLIOTECA:INGRESO!G54:G54),0)</f>
        <v>9</v>
      </c>
      <c r="I20" s="30" t="n">
        <f aca="false">ROUND('APUS SANITARIAS'!J127,2)</f>
        <v>145.94</v>
      </c>
      <c r="J20" s="30" t="n">
        <f aca="false">H20*I20</f>
        <v>1313.46</v>
      </c>
    </row>
    <row r="21" customFormat="false" ht="15" hidden="false" customHeight="false" outlineLevel="0" collapsed="false">
      <c r="A21" s="14" t="n">
        <v>4.07</v>
      </c>
      <c r="B21" s="13" t="s">
        <v>1004</v>
      </c>
      <c r="G21" s="6"/>
      <c r="H21" s="30"/>
      <c r="I21" s="30"/>
      <c r="J21" s="136" t="n">
        <f aca="false">SUM(J22)</f>
        <v>1269.72</v>
      </c>
    </row>
    <row r="22" customFormat="false" ht="15" hidden="false" customHeight="false" outlineLevel="0" collapsed="false">
      <c r="A22" s="1" t="s">
        <v>1005</v>
      </c>
      <c r="B22" s="1" t="s">
        <v>1006</v>
      </c>
      <c r="G22" s="6" t="s">
        <v>213</v>
      </c>
      <c r="H22" s="30" t="n">
        <f aca="false">ROUNDUP(SUM(BIBLIOTECA:INGRESO!G55:G55),0)</f>
        <v>9</v>
      </c>
      <c r="I22" s="30" t="n">
        <f aca="false">ROUND('APUS SANITARIAS'!J145,2)</f>
        <v>141.08</v>
      </c>
      <c r="J22" s="30" t="n">
        <f aca="false">H22*I22</f>
        <v>1269.72</v>
      </c>
      <c r="P22" s="14"/>
    </row>
    <row r="23" customFormat="false" ht="15" hidden="false" customHeight="false" outlineLevel="0" collapsed="false">
      <c r="A23" s="14" t="n">
        <v>4.08</v>
      </c>
      <c r="B23" s="13" t="s">
        <v>1007</v>
      </c>
      <c r="G23" s="6"/>
      <c r="H23" s="30"/>
      <c r="I23" s="30"/>
      <c r="J23" s="136" t="n">
        <f aca="false">SUM(J24:J25)</f>
        <v>636.04</v>
      </c>
    </row>
    <row r="24" customFormat="false" ht="15" hidden="false" customHeight="false" outlineLevel="0" collapsed="false">
      <c r="A24" s="1" t="s">
        <v>1008</v>
      </c>
      <c r="B24" s="1" t="s">
        <v>1009</v>
      </c>
      <c r="G24" s="6" t="s">
        <v>148</v>
      </c>
      <c r="H24" s="30" t="n">
        <f aca="false">ROUNDUP(SUM(BIBLIOTECA:INGRESO!G56:G56),0)</f>
        <v>2</v>
      </c>
      <c r="I24" s="30" t="n">
        <f aca="false">ROUND('APUS SANITARIAS'!J163,2)</f>
        <v>214.33</v>
      </c>
      <c r="J24" s="30" t="n">
        <f aca="false">H24*I24</f>
        <v>428.66</v>
      </c>
      <c r="P24" s="14"/>
    </row>
    <row r="25" customFormat="false" ht="15" hidden="false" customHeight="false" outlineLevel="0" collapsed="false">
      <c r="A25" s="1" t="s">
        <v>1010</v>
      </c>
      <c r="B25" s="1" t="s">
        <v>1011</v>
      </c>
      <c r="G25" s="6" t="s">
        <v>148</v>
      </c>
      <c r="H25" s="30" t="n">
        <f aca="false">ROUNDUP(SUM(BIBLIOTECA:INGRESO!G57:G57),0)</f>
        <v>2</v>
      </c>
      <c r="I25" s="30" t="n">
        <f aca="false">ROUND('APUS SANITARIAS'!J178,2)</f>
        <v>103.69</v>
      </c>
      <c r="J25" s="30" t="n">
        <f aca="false">H25*I25</f>
        <v>207.38</v>
      </c>
    </row>
    <row r="26" customFormat="false" ht="15" hidden="false" customHeight="false" outlineLevel="0" collapsed="false">
      <c r="A26" s="14" t="n">
        <v>4.09</v>
      </c>
      <c r="B26" s="15" t="s">
        <v>111</v>
      </c>
      <c r="F26" s="30"/>
      <c r="G26" s="6"/>
      <c r="H26" s="30"/>
      <c r="J26" s="136" t="n">
        <f aca="false">SUM(J27:J29)</f>
        <v>381490.15</v>
      </c>
    </row>
    <row r="27" customFormat="false" ht="15" hidden="false" customHeight="false" outlineLevel="0" collapsed="false">
      <c r="A27" s="1" t="s">
        <v>1012</v>
      </c>
      <c r="B27" s="1" t="s">
        <v>112</v>
      </c>
      <c r="G27" s="6" t="s">
        <v>1013</v>
      </c>
      <c r="H27" s="30" t="n">
        <v>1</v>
      </c>
      <c r="I27" s="65" t="n">
        <f aca="false">ROUND('APUS SANITARIAS'!J195,2)</f>
        <v>79716.91</v>
      </c>
      <c r="J27" s="30" t="n">
        <f aca="false">H27*I27</f>
        <v>79716.91</v>
      </c>
      <c r="P27" s="14"/>
    </row>
    <row r="28" customFormat="false" ht="15" hidden="false" customHeight="false" outlineLevel="0" collapsed="false">
      <c r="A28" s="1" t="s">
        <v>1014</v>
      </c>
      <c r="B28" s="1" t="s">
        <v>113</v>
      </c>
      <c r="G28" s="6" t="s">
        <v>1013</v>
      </c>
      <c r="H28" s="30" t="n">
        <v>1</v>
      </c>
      <c r="I28" s="65" t="n">
        <f aca="false">ROUND('APUS SANITARIAS'!J202,2)</f>
        <v>131735.24</v>
      </c>
      <c r="J28" s="30" t="n">
        <f aca="false">H28*I28</f>
        <v>131735.24</v>
      </c>
    </row>
    <row r="29" customFormat="false" ht="15" hidden="false" customHeight="false" outlineLevel="0" collapsed="false">
      <c r="A29" s="1" t="s">
        <v>1015</v>
      </c>
      <c r="B29" s="1" t="s">
        <v>114</v>
      </c>
      <c r="G29" s="6" t="s">
        <v>1013</v>
      </c>
      <c r="H29" s="30" t="n">
        <v>1</v>
      </c>
      <c r="I29" s="65" t="n">
        <f aca="false">ROUND('APUS SANITARIAS'!J209,2)</f>
        <v>170038</v>
      </c>
      <c r="J29" s="30" t="n">
        <f aca="false">H29*I29</f>
        <v>170038</v>
      </c>
    </row>
    <row r="30" customFormat="false" ht="15" hidden="false" customHeight="false" outlineLevel="0" collapsed="false">
      <c r="I30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7" activeCellId="0" sqref="M17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12"/>
    <col collapsed="false" customWidth="true" hidden="false" outlineLevel="0" max="10" min="10" style="1" width="13.57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276</v>
      </c>
      <c r="B4" s="14" t="str">
        <f aca="false">SANITARIAS!A5</f>
        <v>04.01.01</v>
      </c>
      <c r="C4" s="14" t="s">
        <v>318</v>
      </c>
      <c r="D4" s="14"/>
    </row>
    <row r="5" customFormat="false" ht="15" hidden="false" customHeight="false" outlineLevel="0" collapsed="false">
      <c r="A5" s="14" t="s">
        <v>277</v>
      </c>
      <c r="B5" s="14" t="s">
        <v>325</v>
      </c>
      <c r="C5" s="38" t="s">
        <v>279</v>
      </c>
      <c r="D5" s="54" t="n">
        <v>35</v>
      </c>
      <c r="E5" s="38" t="s">
        <v>280</v>
      </c>
      <c r="F5" s="54" t="n">
        <f aca="false">D5</f>
        <v>35</v>
      </c>
      <c r="G5" s="14" t="s">
        <v>281</v>
      </c>
      <c r="I5" s="38" t="s">
        <v>148</v>
      </c>
      <c r="J5" s="55" t="n">
        <f aca="false">J9</f>
        <v>193.33</v>
      </c>
      <c r="N5" s="14"/>
      <c r="O5" s="14"/>
    </row>
    <row r="6" customFormat="false" ht="15" hidden="false" customHeight="false" outlineLevel="0" collapsed="false">
      <c r="A6" s="14" t="s">
        <v>282</v>
      </c>
      <c r="B6" s="14" t="s">
        <v>283</v>
      </c>
      <c r="F6" s="38" t="s">
        <v>121</v>
      </c>
      <c r="G6" s="38" t="s">
        <v>284</v>
      </c>
      <c r="H6" s="38" t="s">
        <v>285</v>
      </c>
      <c r="I6" s="38" t="s">
        <v>286</v>
      </c>
      <c r="J6" s="38" t="s">
        <v>287</v>
      </c>
      <c r="O6" s="14"/>
    </row>
    <row r="7" customFormat="false" ht="15" hidden="false" customHeight="false" outlineLevel="0" collapsed="false">
      <c r="B7" s="56" t="s">
        <v>652</v>
      </c>
      <c r="O7" s="14"/>
    </row>
    <row r="8" customFormat="false" ht="15" hidden="false" customHeight="false" outlineLevel="0" collapsed="false">
      <c r="B8" s="1" t="s">
        <v>979</v>
      </c>
      <c r="F8" s="57" t="s">
        <v>148</v>
      </c>
      <c r="G8" s="58"/>
      <c r="H8" s="59" t="n">
        <f aca="false">1/3</f>
        <v>0.333333333333333</v>
      </c>
      <c r="I8" s="30" t="n">
        <v>580</v>
      </c>
      <c r="J8" s="30" t="n">
        <f aca="false">H8*I8</f>
        <v>193.333333333333</v>
      </c>
      <c r="K8" s="1" t="n">
        <v>10</v>
      </c>
    </row>
    <row r="9" customFormat="false" ht="15" hidden="false" customHeight="false" outlineLevel="0" collapsed="false">
      <c r="A9" s="62"/>
      <c r="B9" s="62"/>
      <c r="C9" s="62"/>
      <c r="D9" s="62"/>
      <c r="E9" s="62"/>
      <c r="F9" s="66"/>
      <c r="G9" s="67"/>
      <c r="H9" s="68"/>
      <c r="I9" s="62"/>
      <c r="J9" s="63" t="n">
        <f aca="false">ROUND(SUM(J8),2)</f>
        <v>193.33</v>
      </c>
    </row>
    <row r="10" customFormat="false" ht="15" hidden="false" customHeight="false" outlineLevel="0" collapsed="false">
      <c r="F10" s="57"/>
      <c r="G10" s="58"/>
      <c r="H10" s="59"/>
      <c r="J10" s="30"/>
    </row>
    <row r="11" customFormat="false" ht="15" hidden="false" customHeight="false" outlineLevel="0" collapsed="false">
      <c r="A11" s="14" t="s">
        <v>276</v>
      </c>
      <c r="B11" s="14" t="str">
        <f aca="false">SANITARIAS!A6</f>
        <v>04.01.02</v>
      </c>
      <c r="C11" s="14" t="s">
        <v>1016</v>
      </c>
      <c r="D11" s="14"/>
    </row>
    <row r="12" customFormat="false" ht="15" hidden="false" customHeight="false" outlineLevel="0" collapsed="false">
      <c r="A12" s="14" t="s">
        <v>277</v>
      </c>
      <c r="B12" s="14" t="s">
        <v>325</v>
      </c>
      <c r="C12" s="38" t="s">
        <v>279</v>
      </c>
      <c r="D12" s="54" t="n">
        <v>35</v>
      </c>
      <c r="E12" s="38" t="s">
        <v>280</v>
      </c>
      <c r="F12" s="54" t="n">
        <f aca="false">D12</f>
        <v>35</v>
      </c>
      <c r="G12" s="14" t="s">
        <v>281</v>
      </c>
      <c r="I12" s="38" t="s">
        <v>148</v>
      </c>
      <c r="J12" s="55" t="n">
        <f aca="false">J16</f>
        <v>192.42</v>
      </c>
    </row>
    <row r="13" customFormat="false" ht="15" hidden="false" customHeight="false" outlineLevel="0" collapsed="false">
      <c r="A13" s="14" t="s">
        <v>282</v>
      </c>
      <c r="B13" s="14" t="s">
        <v>283</v>
      </c>
      <c r="F13" s="38" t="s">
        <v>121</v>
      </c>
      <c r="G13" s="38" t="s">
        <v>284</v>
      </c>
      <c r="H13" s="38" t="s">
        <v>285</v>
      </c>
      <c r="I13" s="38" t="s">
        <v>286</v>
      </c>
      <c r="J13" s="38" t="s">
        <v>287</v>
      </c>
    </row>
    <row r="14" customFormat="false" ht="15" hidden="false" customHeight="false" outlineLevel="0" collapsed="false">
      <c r="B14" s="56" t="s">
        <v>652</v>
      </c>
    </row>
    <row r="15" customFormat="false" ht="15" hidden="false" customHeight="false" outlineLevel="0" collapsed="false">
      <c r="B15" s="1" t="s">
        <v>981</v>
      </c>
      <c r="F15" s="57" t="s">
        <v>148</v>
      </c>
      <c r="G15" s="58"/>
      <c r="H15" s="59" t="n">
        <f aca="false">1/3</f>
        <v>0.333333333333333</v>
      </c>
      <c r="I15" s="30" t="n">
        <v>577.26</v>
      </c>
      <c r="J15" s="30" t="n">
        <f aca="false">H15*I15</f>
        <v>192.42</v>
      </c>
      <c r="K15" s="1" t="n">
        <v>10</v>
      </c>
    </row>
    <row r="16" customFormat="false" ht="15" hidden="false" customHeight="false" outlineLevel="0" collapsed="false">
      <c r="A16" s="62"/>
      <c r="B16" s="62"/>
      <c r="C16" s="62"/>
      <c r="D16" s="62"/>
      <c r="E16" s="62"/>
      <c r="F16" s="66"/>
      <c r="G16" s="67"/>
      <c r="H16" s="68"/>
      <c r="I16" s="62"/>
      <c r="J16" s="63" t="n">
        <f aca="false">ROUND(SUM(J15),2)</f>
        <v>192.42</v>
      </c>
    </row>
    <row r="18" customFormat="false" ht="15" hidden="false" customHeight="false" outlineLevel="0" collapsed="false">
      <c r="A18" s="14" t="s">
        <v>276</v>
      </c>
      <c r="B18" s="14" t="str">
        <f aca="false">SANITARIAS!A7</f>
        <v>04.01.03</v>
      </c>
      <c r="C18" s="14" t="s">
        <v>1017</v>
      </c>
      <c r="D18" s="14"/>
    </row>
    <row r="19" customFormat="false" ht="15" hidden="false" customHeight="false" outlineLevel="0" collapsed="false">
      <c r="A19" s="14" t="s">
        <v>277</v>
      </c>
      <c r="B19" s="14" t="s">
        <v>325</v>
      </c>
      <c r="C19" s="38" t="s">
        <v>279</v>
      </c>
      <c r="D19" s="54" t="n">
        <v>35</v>
      </c>
      <c r="E19" s="38" t="s">
        <v>280</v>
      </c>
      <c r="F19" s="54" t="n">
        <f aca="false">D19</f>
        <v>35</v>
      </c>
      <c r="G19" s="14" t="s">
        <v>281</v>
      </c>
      <c r="I19" s="38" t="s">
        <v>148</v>
      </c>
      <c r="J19" s="55" t="n">
        <f aca="false">J23</f>
        <v>67.52</v>
      </c>
    </row>
    <row r="20" customFormat="false" ht="15" hidden="false" customHeight="false" outlineLevel="0" collapsed="false">
      <c r="A20" s="14" t="s">
        <v>282</v>
      </c>
      <c r="B20" s="14" t="s">
        <v>283</v>
      </c>
      <c r="F20" s="38" t="s">
        <v>121</v>
      </c>
      <c r="G20" s="38" t="s">
        <v>284</v>
      </c>
      <c r="H20" s="38" t="s">
        <v>285</v>
      </c>
      <c r="I20" s="38" t="s">
        <v>286</v>
      </c>
      <c r="J20" s="38" t="s">
        <v>287</v>
      </c>
    </row>
    <row r="21" customFormat="false" ht="15" hidden="false" customHeight="false" outlineLevel="0" collapsed="false">
      <c r="B21" s="56" t="s">
        <v>652</v>
      </c>
    </row>
    <row r="22" customFormat="false" ht="15" hidden="false" customHeight="false" outlineLevel="0" collapsed="false">
      <c r="B22" s="1" t="s">
        <v>983</v>
      </c>
      <c r="F22" s="57" t="s">
        <v>148</v>
      </c>
      <c r="G22" s="58"/>
      <c r="H22" s="59" t="n">
        <f aca="false">1/3</f>
        <v>0.333333333333333</v>
      </c>
      <c r="I22" s="71" t="n">
        <v>202.565</v>
      </c>
      <c r="J22" s="30" t="n">
        <f aca="false">H22*I22</f>
        <v>67.5216666666667</v>
      </c>
      <c r="K22" s="1" t="n">
        <v>10</v>
      </c>
    </row>
    <row r="23" customFormat="false" ht="15" hidden="false" customHeight="false" outlineLevel="0" collapsed="false">
      <c r="A23" s="62"/>
      <c r="B23" s="62"/>
      <c r="C23" s="62"/>
      <c r="D23" s="62"/>
      <c r="E23" s="62"/>
      <c r="F23" s="66"/>
      <c r="G23" s="67"/>
      <c r="H23" s="68"/>
      <c r="I23" s="62"/>
      <c r="J23" s="63" t="n">
        <f aca="false">ROUND(SUM(J22:J22),2)</f>
        <v>67.52</v>
      </c>
    </row>
    <row r="25" customFormat="false" ht="15" hidden="false" customHeight="false" outlineLevel="0" collapsed="false">
      <c r="A25" s="14" t="s">
        <v>276</v>
      </c>
      <c r="B25" s="14" t="str">
        <f aca="false">SANITARIAS!A8</f>
        <v>04.01.04</v>
      </c>
      <c r="C25" s="14" t="s">
        <v>985</v>
      </c>
      <c r="D25" s="14"/>
    </row>
    <row r="26" customFormat="false" ht="15" hidden="false" customHeight="false" outlineLevel="0" collapsed="false">
      <c r="A26" s="14" t="s">
        <v>277</v>
      </c>
      <c r="B26" s="14" t="s">
        <v>325</v>
      </c>
      <c r="C26" s="38" t="s">
        <v>279</v>
      </c>
      <c r="D26" s="54" t="n">
        <v>1</v>
      </c>
      <c r="E26" s="38" t="s">
        <v>280</v>
      </c>
      <c r="F26" s="54" t="n">
        <f aca="false">D26</f>
        <v>1</v>
      </c>
      <c r="G26" s="14" t="s">
        <v>281</v>
      </c>
      <c r="I26" s="38" t="s">
        <v>148</v>
      </c>
      <c r="J26" s="55" t="n">
        <f aca="false">J30</f>
        <v>750</v>
      </c>
    </row>
    <row r="27" customFormat="false" ht="15" hidden="false" customHeight="false" outlineLevel="0" collapsed="false">
      <c r="A27" s="14" t="s">
        <v>282</v>
      </c>
      <c r="B27" s="14" t="s">
        <v>283</v>
      </c>
      <c r="F27" s="38" t="s">
        <v>121</v>
      </c>
      <c r="G27" s="38" t="s">
        <v>284</v>
      </c>
      <c r="H27" s="38" t="s">
        <v>285</v>
      </c>
      <c r="I27" s="38" t="s">
        <v>286</v>
      </c>
      <c r="J27" s="38" t="s">
        <v>287</v>
      </c>
    </row>
    <row r="28" customFormat="false" ht="15" hidden="false" customHeight="false" outlineLevel="0" collapsed="false">
      <c r="B28" s="56" t="s">
        <v>652</v>
      </c>
    </row>
    <row r="29" customFormat="false" ht="15" hidden="false" customHeight="false" outlineLevel="0" collapsed="false">
      <c r="B29" s="1" t="s">
        <v>985</v>
      </c>
      <c r="F29" s="57" t="s">
        <v>148</v>
      </c>
      <c r="G29" s="58"/>
      <c r="H29" s="59" t="n">
        <v>1</v>
      </c>
      <c r="I29" s="30" t="n">
        <v>750</v>
      </c>
      <c r="J29" s="30" t="n">
        <f aca="false">H29*I29</f>
        <v>750</v>
      </c>
      <c r="K29" s="1" t="n">
        <v>10</v>
      </c>
    </row>
    <row r="30" customFormat="false" ht="15" hidden="false" customHeight="false" outlineLevel="0" collapsed="false">
      <c r="A30" s="62"/>
      <c r="B30" s="62"/>
      <c r="C30" s="62"/>
      <c r="D30" s="62"/>
      <c r="E30" s="62"/>
      <c r="F30" s="62"/>
      <c r="G30" s="62"/>
      <c r="H30" s="62"/>
      <c r="I30" s="83"/>
      <c r="J30" s="63" t="n">
        <f aca="false">ROUND(SUM(J29),2)</f>
        <v>750</v>
      </c>
    </row>
    <row r="31" customFormat="false" ht="15" hidden="false" customHeight="false" outlineLevel="0" collapsed="false">
      <c r="A31" s="14" t="s">
        <v>276</v>
      </c>
      <c r="B31" s="14" t="str">
        <f aca="false">SANITARIAS!A10</f>
        <v>04.02.01</v>
      </c>
      <c r="C31" s="14" t="s">
        <v>988</v>
      </c>
      <c r="D31" s="14"/>
    </row>
    <row r="32" customFormat="false" ht="15" hidden="false" customHeight="false" outlineLevel="0" collapsed="false">
      <c r="A32" s="14" t="s">
        <v>277</v>
      </c>
      <c r="B32" s="14" t="s">
        <v>412</v>
      </c>
      <c r="C32" s="38" t="s">
        <v>279</v>
      </c>
      <c r="D32" s="54" t="n">
        <v>3</v>
      </c>
      <c r="E32" s="38" t="s">
        <v>280</v>
      </c>
      <c r="F32" s="54" t="n">
        <f aca="false">D32</f>
        <v>3</v>
      </c>
      <c r="G32" s="14" t="s">
        <v>281</v>
      </c>
      <c r="I32" s="38" t="s">
        <v>213</v>
      </c>
      <c r="J32" s="55" t="n">
        <f aca="false">J38+J44+J47</f>
        <v>131.73</v>
      </c>
    </row>
    <row r="33" customFormat="false" ht="15" hidden="false" customHeight="false" outlineLevel="0" collapsed="false">
      <c r="A33" s="14" t="s">
        <v>282</v>
      </c>
      <c r="B33" s="14" t="s">
        <v>283</v>
      </c>
      <c r="F33" s="38" t="s">
        <v>121</v>
      </c>
      <c r="G33" s="38" t="s">
        <v>284</v>
      </c>
      <c r="H33" s="38" t="s">
        <v>285</v>
      </c>
      <c r="I33" s="38" t="s">
        <v>286</v>
      </c>
      <c r="J33" s="38" t="s">
        <v>287</v>
      </c>
    </row>
    <row r="34" customFormat="false" ht="15" hidden="false" customHeight="false" outlineLevel="0" collapsed="false">
      <c r="B34" s="56" t="s">
        <v>288</v>
      </c>
    </row>
    <row r="35" customFormat="false" ht="15" hidden="false" customHeight="false" outlineLevel="0" collapsed="false">
      <c r="B35" s="1" t="s">
        <v>649</v>
      </c>
      <c r="F35" s="57" t="s">
        <v>290</v>
      </c>
      <c r="G35" s="58" t="n">
        <v>0.1</v>
      </c>
      <c r="H35" s="59" t="n">
        <f aca="false">G35*8/$D$32</f>
        <v>0.266666666666667</v>
      </c>
      <c r="I35" s="30" t="n">
        <v>34.73</v>
      </c>
      <c r="J35" s="30" t="n">
        <f aca="false">H35*I35</f>
        <v>9.26133333333333</v>
      </c>
      <c r="K35" s="1" t="n">
        <v>47</v>
      </c>
    </row>
    <row r="36" customFormat="false" ht="15" hidden="false" customHeight="false" outlineLevel="0" collapsed="false">
      <c r="B36" s="1" t="s">
        <v>289</v>
      </c>
      <c r="F36" s="57" t="s">
        <v>290</v>
      </c>
      <c r="G36" s="58" t="n">
        <v>1</v>
      </c>
      <c r="H36" s="59" t="n">
        <f aca="false">G36*8/$D$32</f>
        <v>2.66666666666667</v>
      </c>
      <c r="I36" s="30" t="n">
        <v>28.94</v>
      </c>
      <c r="J36" s="30" t="n">
        <f aca="false">H36*I36</f>
        <v>77.1733333333333</v>
      </c>
      <c r="K36" s="1" t="n">
        <v>47</v>
      </c>
    </row>
    <row r="37" customFormat="false" ht="15" hidden="false" customHeight="false" outlineLevel="0" collapsed="false">
      <c r="B37" s="1" t="s">
        <v>292</v>
      </c>
      <c r="F37" s="57" t="s">
        <v>290</v>
      </c>
      <c r="G37" s="58" t="n">
        <v>0.5</v>
      </c>
      <c r="H37" s="59" t="n">
        <f aca="false">G37*8/$D$32</f>
        <v>1.33333333333333</v>
      </c>
      <c r="I37" s="1" t="n">
        <v>20.51</v>
      </c>
      <c r="J37" s="30" t="n">
        <f aca="false">H37*I37</f>
        <v>27.3466666666667</v>
      </c>
      <c r="K37" s="1" t="n">
        <v>47</v>
      </c>
    </row>
    <row r="38" customFormat="false" ht="15" hidden="false" customHeight="false" outlineLevel="0" collapsed="false">
      <c r="F38" s="57"/>
      <c r="G38" s="58"/>
      <c r="H38" s="59"/>
      <c r="J38" s="55" t="n">
        <f aca="false">ROUND(SUM(J35:J37),2)</f>
        <v>113.78</v>
      </c>
    </row>
    <row r="39" customFormat="false" ht="15" hidden="false" customHeight="false" outlineLevel="0" collapsed="false">
      <c r="B39" s="56" t="s">
        <v>652</v>
      </c>
      <c r="F39" s="57"/>
      <c r="G39" s="58"/>
      <c r="H39" s="59"/>
      <c r="J39" s="30"/>
    </row>
    <row r="40" customFormat="false" ht="15" hidden="false" customHeight="false" outlineLevel="0" collapsed="false">
      <c r="B40" s="1" t="s">
        <v>1018</v>
      </c>
      <c r="F40" s="57" t="s">
        <v>437</v>
      </c>
      <c r="H40" s="59" t="n">
        <v>0.03</v>
      </c>
      <c r="I40" s="1" t="n">
        <v>189.66</v>
      </c>
      <c r="J40" s="30" t="n">
        <f aca="false">H40*I40</f>
        <v>5.6898</v>
      </c>
      <c r="K40" s="1" t="n">
        <v>30</v>
      </c>
    </row>
    <row r="41" customFormat="false" ht="15" hidden="false" customHeight="false" outlineLevel="0" collapsed="false">
      <c r="B41" s="1" t="s">
        <v>1019</v>
      </c>
      <c r="F41" s="57" t="s">
        <v>330</v>
      </c>
      <c r="H41" s="59" t="n">
        <v>0.412</v>
      </c>
      <c r="I41" s="1" t="n">
        <v>11.27</v>
      </c>
      <c r="J41" s="30" t="n">
        <f aca="false">H41*I41</f>
        <v>4.64324</v>
      </c>
      <c r="K41" s="1" t="n">
        <v>72</v>
      </c>
    </row>
    <row r="42" customFormat="false" ht="15" hidden="false" customHeight="false" outlineLevel="0" collapsed="false">
      <c r="B42" s="1" t="s">
        <v>1020</v>
      </c>
      <c r="F42" s="57" t="s">
        <v>330</v>
      </c>
      <c r="H42" s="59" t="n">
        <v>2</v>
      </c>
      <c r="I42" s="30" t="n">
        <v>1.19</v>
      </c>
      <c r="J42" s="30" t="n">
        <f aca="false">H42*I42</f>
        <v>2.38</v>
      </c>
      <c r="K42" s="1" t="n">
        <v>72</v>
      </c>
    </row>
    <row r="43" customFormat="false" ht="15" hidden="false" customHeight="false" outlineLevel="0" collapsed="false">
      <c r="B43" s="1" t="s">
        <v>1021</v>
      </c>
      <c r="F43" s="57" t="s">
        <v>330</v>
      </c>
      <c r="H43" s="59" t="n">
        <v>1</v>
      </c>
      <c r="I43" s="30" t="n">
        <v>1.83</v>
      </c>
      <c r="J43" s="30" t="n">
        <f aca="false">H43*I43</f>
        <v>1.83</v>
      </c>
      <c r="K43" s="1" t="n">
        <v>72</v>
      </c>
    </row>
    <row r="44" customFormat="false" ht="15" hidden="false" customHeight="false" outlineLevel="0" collapsed="false">
      <c r="F44" s="57"/>
      <c r="H44" s="59"/>
      <c r="I44" s="30"/>
      <c r="J44" s="55" t="n">
        <f aca="false">ROUND(SUM(J40:J43),2)</f>
        <v>14.54</v>
      </c>
    </row>
    <row r="45" customFormat="false" ht="15" hidden="false" customHeight="false" outlineLevel="0" collapsed="false">
      <c r="B45" s="56" t="s">
        <v>308</v>
      </c>
    </row>
    <row r="46" customFormat="false" ht="15" hidden="false" customHeight="false" outlineLevel="0" collapsed="false">
      <c r="B46" s="1" t="s">
        <v>309</v>
      </c>
      <c r="F46" s="57" t="s">
        <v>310</v>
      </c>
      <c r="H46" s="59" t="n">
        <v>3</v>
      </c>
      <c r="I46" s="30" t="n">
        <f aca="false">J38</f>
        <v>113.78</v>
      </c>
      <c r="J46" s="30" t="n">
        <f aca="false">H46%*I46</f>
        <v>3.4134</v>
      </c>
      <c r="K46" s="1" t="n">
        <v>37</v>
      </c>
    </row>
    <row r="47" customFormat="false" ht="15" hidden="false" customHeight="false" outlineLevel="0" collapsed="false">
      <c r="A47" s="62"/>
      <c r="B47" s="62"/>
      <c r="C47" s="62"/>
      <c r="D47" s="62"/>
      <c r="E47" s="62"/>
      <c r="F47" s="62"/>
      <c r="G47" s="62"/>
      <c r="H47" s="62"/>
      <c r="I47" s="83"/>
      <c r="J47" s="63" t="n">
        <f aca="false">ROUND(SUM(J46),2)</f>
        <v>3.41</v>
      </c>
    </row>
    <row r="49" customFormat="false" ht="15" hidden="false" customHeight="false" outlineLevel="0" collapsed="false">
      <c r="A49" s="14" t="s">
        <v>276</v>
      </c>
      <c r="B49" s="14" t="str">
        <f aca="false">SANITARIAS!A11</f>
        <v>04.02.02</v>
      </c>
      <c r="C49" s="14" t="s">
        <v>990</v>
      </c>
      <c r="D49" s="14"/>
    </row>
    <row r="50" customFormat="false" ht="15" hidden="false" customHeight="false" outlineLevel="0" collapsed="false">
      <c r="A50" s="14" t="s">
        <v>277</v>
      </c>
      <c r="B50" s="14" t="s">
        <v>412</v>
      </c>
      <c r="C50" s="38" t="s">
        <v>279</v>
      </c>
      <c r="D50" s="54" t="n">
        <v>2</v>
      </c>
      <c r="E50" s="38" t="s">
        <v>280</v>
      </c>
      <c r="F50" s="54" t="n">
        <f aca="false">D50</f>
        <v>2</v>
      </c>
      <c r="G50" s="14" t="s">
        <v>281</v>
      </c>
      <c r="I50" s="38" t="s">
        <v>213</v>
      </c>
      <c r="J50" s="55" t="n">
        <f aca="false">J56+J63+J66</f>
        <v>210.6</v>
      </c>
    </row>
    <row r="51" customFormat="false" ht="15" hidden="false" customHeight="false" outlineLevel="0" collapsed="false">
      <c r="A51" s="14" t="s">
        <v>282</v>
      </c>
      <c r="B51" s="14" t="s">
        <v>283</v>
      </c>
      <c r="F51" s="38" t="s">
        <v>121</v>
      </c>
      <c r="G51" s="38" t="s">
        <v>284</v>
      </c>
      <c r="H51" s="38" t="s">
        <v>285</v>
      </c>
      <c r="I51" s="38" t="s">
        <v>286</v>
      </c>
      <c r="J51" s="38" t="s">
        <v>287</v>
      </c>
    </row>
    <row r="52" customFormat="false" ht="15" hidden="false" customHeight="false" outlineLevel="0" collapsed="false">
      <c r="B52" s="56" t="s">
        <v>288</v>
      </c>
    </row>
    <row r="53" customFormat="false" ht="15" hidden="false" customHeight="false" outlineLevel="0" collapsed="false">
      <c r="B53" s="1" t="s">
        <v>649</v>
      </c>
      <c r="F53" s="57" t="s">
        <v>290</v>
      </c>
      <c r="G53" s="58" t="n">
        <v>0.1</v>
      </c>
      <c r="H53" s="59" t="n">
        <f aca="false">G53*8/$D$50</f>
        <v>0.4</v>
      </c>
      <c r="I53" s="30" t="n">
        <v>34.73</v>
      </c>
      <c r="J53" s="30" t="n">
        <f aca="false">H53*I53</f>
        <v>13.892</v>
      </c>
      <c r="K53" s="1" t="n">
        <v>47</v>
      </c>
    </row>
    <row r="54" customFormat="false" ht="15" hidden="false" customHeight="false" outlineLevel="0" collapsed="false">
      <c r="B54" s="1" t="s">
        <v>289</v>
      </c>
      <c r="F54" s="57" t="s">
        <v>290</v>
      </c>
      <c r="G54" s="58" t="n">
        <v>1</v>
      </c>
      <c r="H54" s="59" t="n">
        <f aca="false">G54*8/$D$50</f>
        <v>4</v>
      </c>
      <c r="I54" s="30" t="n">
        <v>28.94</v>
      </c>
      <c r="J54" s="30" t="n">
        <f aca="false">H54*I54</f>
        <v>115.76</v>
      </c>
      <c r="K54" s="1" t="n">
        <v>47</v>
      </c>
    </row>
    <row r="55" customFormat="false" ht="15" hidden="false" customHeight="false" outlineLevel="0" collapsed="false">
      <c r="B55" s="1" t="s">
        <v>292</v>
      </c>
      <c r="F55" s="57" t="s">
        <v>290</v>
      </c>
      <c r="G55" s="58" t="n">
        <v>0.5</v>
      </c>
      <c r="H55" s="59" t="n">
        <f aca="false">G55*8/$D$50</f>
        <v>2</v>
      </c>
      <c r="I55" s="30" t="n">
        <v>20.51</v>
      </c>
      <c r="J55" s="30" t="n">
        <f aca="false">H55*I55</f>
        <v>41.02</v>
      </c>
      <c r="K55" s="1" t="n">
        <v>47</v>
      </c>
    </row>
    <row r="56" customFormat="false" ht="15" hidden="false" customHeight="false" outlineLevel="0" collapsed="false">
      <c r="F56" s="57"/>
      <c r="G56" s="58"/>
      <c r="H56" s="59"/>
      <c r="I56" s="30"/>
      <c r="J56" s="55" t="n">
        <f aca="false">ROUND(SUM(J53:J55),2)</f>
        <v>170.67</v>
      </c>
    </row>
    <row r="57" customFormat="false" ht="15" hidden="false" customHeight="false" outlineLevel="0" collapsed="false">
      <c r="B57" s="56" t="s">
        <v>652</v>
      </c>
      <c r="F57" s="57"/>
      <c r="G57" s="58"/>
      <c r="H57" s="59"/>
      <c r="I57" s="30"/>
      <c r="J57" s="30"/>
    </row>
    <row r="58" customFormat="false" ht="15" hidden="false" customHeight="false" outlineLevel="0" collapsed="false">
      <c r="B58" s="1" t="s">
        <v>1022</v>
      </c>
      <c r="F58" s="57" t="s">
        <v>437</v>
      </c>
      <c r="H58" s="59" t="n">
        <v>0.04</v>
      </c>
      <c r="I58" s="30" t="n">
        <v>400.54</v>
      </c>
      <c r="J58" s="30" t="n">
        <f aca="false">H58*I58</f>
        <v>16.0216</v>
      </c>
      <c r="K58" s="1" t="n">
        <v>30</v>
      </c>
    </row>
    <row r="59" customFormat="false" ht="15" hidden="false" customHeight="false" outlineLevel="0" collapsed="false">
      <c r="B59" s="1" t="s">
        <v>1023</v>
      </c>
      <c r="F59" s="57" t="s">
        <v>330</v>
      </c>
      <c r="H59" s="59" t="n">
        <v>0.5</v>
      </c>
      <c r="I59" s="30" t="n">
        <v>26.1</v>
      </c>
      <c r="J59" s="30" t="n">
        <f aca="false">H59*I59</f>
        <v>13.05</v>
      </c>
      <c r="K59" s="1" t="n">
        <v>72</v>
      </c>
    </row>
    <row r="60" customFormat="false" ht="15" hidden="false" customHeight="false" outlineLevel="0" collapsed="false">
      <c r="B60" s="1" t="s">
        <v>1024</v>
      </c>
      <c r="F60" s="57" t="s">
        <v>330</v>
      </c>
      <c r="H60" s="59" t="n">
        <v>1</v>
      </c>
      <c r="I60" s="30" t="n">
        <v>1</v>
      </c>
      <c r="J60" s="30" t="n">
        <f aca="false">H60*I60</f>
        <v>1</v>
      </c>
      <c r="K60" s="1" t="n">
        <v>72</v>
      </c>
    </row>
    <row r="61" customFormat="false" ht="15" hidden="false" customHeight="false" outlineLevel="0" collapsed="false">
      <c r="B61" s="1" t="s">
        <v>1025</v>
      </c>
      <c r="F61" s="57" t="s">
        <v>330</v>
      </c>
      <c r="H61" s="59" t="n">
        <v>2</v>
      </c>
      <c r="I61" s="30" t="n">
        <v>1.27</v>
      </c>
      <c r="J61" s="30" t="n">
        <f aca="false">H61*I61</f>
        <v>2.54</v>
      </c>
      <c r="K61" s="1" t="n">
        <v>72</v>
      </c>
    </row>
    <row r="62" customFormat="false" ht="15" hidden="false" customHeight="false" outlineLevel="0" collapsed="false">
      <c r="B62" s="1" t="s">
        <v>1026</v>
      </c>
      <c r="F62" s="57" t="s">
        <v>330</v>
      </c>
      <c r="H62" s="59" t="n">
        <v>1</v>
      </c>
      <c r="I62" s="65" t="n">
        <v>2.2</v>
      </c>
      <c r="J62" s="30" t="n">
        <f aca="false">H62*I62</f>
        <v>2.2</v>
      </c>
      <c r="K62" s="1" t="n">
        <v>72</v>
      </c>
    </row>
    <row r="63" customFormat="false" ht="15" hidden="false" customHeight="false" outlineLevel="0" collapsed="false">
      <c r="F63" s="57"/>
      <c r="H63" s="59"/>
      <c r="I63" s="30"/>
      <c r="J63" s="55" t="n">
        <f aca="false">ROUND(SUM(J58:J62),2)</f>
        <v>34.81</v>
      </c>
    </row>
    <row r="64" customFormat="false" ht="15" hidden="false" customHeight="false" outlineLevel="0" collapsed="false">
      <c r="B64" s="56" t="s">
        <v>308</v>
      </c>
    </row>
    <row r="65" customFormat="false" ht="15" hidden="false" customHeight="false" outlineLevel="0" collapsed="false">
      <c r="B65" s="1" t="s">
        <v>309</v>
      </c>
      <c r="F65" s="57" t="s">
        <v>310</v>
      </c>
      <c r="H65" s="59" t="n">
        <v>3</v>
      </c>
      <c r="I65" s="30" t="n">
        <f aca="false">J56</f>
        <v>170.67</v>
      </c>
      <c r="J65" s="30" t="n">
        <f aca="false">H65%*I65</f>
        <v>5.1201</v>
      </c>
      <c r="K65" s="1" t="n">
        <v>37</v>
      </c>
    </row>
    <row r="66" customFormat="false" ht="15" hidden="false" customHeight="false" outlineLevel="0" collapsed="false">
      <c r="A66" s="62"/>
      <c r="B66" s="62"/>
      <c r="C66" s="62"/>
      <c r="D66" s="62"/>
      <c r="E66" s="62"/>
      <c r="F66" s="62"/>
      <c r="G66" s="62"/>
      <c r="H66" s="62"/>
      <c r="I66" s="83"/>
      <c r="J66" s="63" t="n">
        <f aca="false">ROUND(SUM(J65),2)</f>
        <v>5.12</v>
      </c>
    </row>
    <row r="68" customFormat="false" ht="15" hidden="false" customHeight="false" outlineLevel="0" collapsed="false">
      <c r="A68" s="14" t="s">
        <v>276</v>
      </c>
      <c r="B68" s="14" t="str">
        <f aca="false">SANITARIAS!A13</f>
        <v>04.03.01</v>
      </c>
      <c r="C68" s="14" t="s">
        <v>993</v>
      </c>
      <c r="D68" s="14"/>
    </row>
    <row r="69" customFormat="false" ht="15" hidden="false" customHeight="false" outlineLevel="0" collapsed="false">
      <c r="A69" s="14" t="s">
        <v>277</v>
      </c>
      <c r="B69" s="14" t="s">
        <v>331</v>
      </c>
      <c r="C69" s="38" t="s">
        <v>279</v>
      </c>
      <c r="D69" s="54" t="n">
        <v>1</v>
      </c>
      <c r="E69" s="38" t="s">
        <v>280</v>
      </c>
      <c r="F69" s="54" t="n">
        <f aca="false">D69</f>
        <v>1</v>
      </c>
      <c r="G69" s="14" t="s">
        <v>281</v>
      </c>
      <c r="I69" s="38" t="s">
        <v>153</v>
      </c>
      <c r="J69" s="55" t="n">
        <f aca="false">J73</f>
        <v>200</v>
      </c>
    </row>
    <row r="70" customFormat="false" ht="15" hidden="false" customHeight="false" outlineLevel="0" collapsed="false">
      <c r="A70" s="14" t="s">
        <v>282</v>
      </c>
      <c r="B70" s="14" t="s">
        <v>283</v>
      </c>
      <c r="F70" s="38" t="s">
        <v>121</v>
      </c>
      <c r="G70" s="38" t="s">
        <v>284</v>
      </c>
      <c r="H70" s="38" t="s">
        <v>285</v>
      </c>
      <c r="I70" s="38" t="s">
        <v>286</v>
      </c>
      <c r="J70" s="38" t="s">
        <v>287</v>
      </c>
    </row>
    <row r="71" customFormat="false" ht="15" hidden="false" customHeight="false" outlineLevel="0" collapsed="false">
      <c r="B71" s="56" t="s">
        <v>293</v>
      </c>
    </row>
    <row r="72" customFormat="false" ht="15" hidden="false" customHeight="false" outlineLevel="0" collapsed="false">
      <c r="B72" s="1" t="s">
        <v>993</v>
      </c>
      <c r="F72" s="57" t="s">
        <v>153</v>
      </c>
      <c r="G72" s="58"/>
      <c r="H72" s="59" t="n">
        <v>1</v>
      </c>
      <c r="I72" s="30" t="n">
        <v>200</v>
      </c>
      <c r="J72" s="30" t="n">
        <f aca="false">H72*I72</f>
        <v>200</v>
      </c>
      <c r="K72" s="1" t="n">
        <v>10</v>
      </c>
    </row>
    <row r="73" customFormat="false" ht="15" hidden="false" customHeight="false" outlineLevel="0" collapsed="false">
      <c r="A73" s="62"/>
      <c r="B73" s="62"/>
      <c r="C73" s="62"/>
      <c r="D73" s="62"/>
      <c r="E73" s="62"/>
      <c r="F73" s="62"/>
      <c r="G73" s="62"/>
      <c r="H73" s="62"/>
      <c r="I73" s="83"/>
      <c r="J73" s="63" t="n">
        <f aca="false">ROUND(SUM(J72),2)</f>
        <v>200</v>
      </c>
    </row>
    <row r="75" customFormat="false" ht="15" hidden="false" customHeight="false" outlineLevel="0" collapsed="false">
      <c r="A75" s="14" t="s">
        <v>276</v>
      </c>
      <c r="B75" s="14" t="str">
        <f aca="false">SANITARIAS!A15</f>
        <v>04.04.01</v>
      </c>
      <c r="C75" s="14" t="s">
        <v>994</v>
      </c>
      <c r="D75" s="14"/>
    </row>
    <row r="76" customFormat="false" ht="15" hidden="false" customHeight="false" outlineLevel="0" collapsed="false">
      <c r="A76" s="14" t="s">
        <v>277</v>
      </c>
      <c r="B76" s="14" t="s">
        <v>331</v>
      </c>
      <c r="C76" s="38" t="s">
        <v>279</v>
      </c>
      <c r="D76" s="54" t="n">
        <v>5</v>
      </c>
      <c r="E76" s="38" t="s">
        <v>280</v>
      </c>
      <c r="F76" s="54" t="n">
        <f aca="false">D76</f>
        <v>5</v>
      </c>
      <c r="G76" s="14" t="s">
        <v>281</v>
      </c>
      <c r="I76" s="38" t="s">
        <v>153</v>
      </c>
      <c r="J76" s="55" t="n">
        <f aca="false">J82+J85+J88</f>
        <v>537.22</v>
      </c>
    </row>
    <row r="77" customFormat="false" ht="15" hidden="false" customHeight="false" outlineLevel="0" collapsed="false">
      <c r="A77" s="14" t="s">
        <v>282</v>
      </c>
      <c r="B77" s="14" t="s">
        <v>283</v>
      </c>
      <c r="F77" s="38" t="s">
        <v>121</v>
      </c>
      <c r="G77" s="38" t="s">
        <v>284</v>
      </c>
      <c r="H77" s="38" t="s">
        <v>285</v>
      </c>
      <c r="I77" s="38" t="s">
        <v>286</v>
      </c>
      <c r="J77" s="38" t="s">
        <v>287</v>
      </c>
    </row>
    <row r="78" customFormat="false" ht="15" hidden="false" customHeight="false" outlineLevel="0" collapsed="false">
      <c r="B78" s="56" t="s">
        <v>288</v>
      </c>
    </row>
    <row r="79" customFormat="false" ht="15" hidden="false" customHeight="false" outlineLevel="0" collapsed="false">
      <c r="B79" s="1" t="s">
        <v>649</v>
      </c>
      <c r="F79" s="57" t="s">
        <v>290</v>
      </c>
      <c r="G79" s="58" t="n">
        <v>0.1</v>
      </c>
      <c r="H79" s="59" t="n">
        <f aca="false">G79*8/$D$76</f>
        <v>0.16</v>
      </c>
      <c r="I79" s="30" t="n">
        <v>34.73</v>
      </c>
      <c r="J79" s="30" t="n">
        <f aca="false">H79*I79</f>
        <v>5.5568</v>
      </c>
      <c r="K79" s="1" t="n">
        <v>47</v>
      </c>
    </row>
    <row r="80" customFormat="false" ht="15" hidden="false" customHeight="false" outlineLevel="0" collapsed="false">
      <c r="B80" s="1" t="s">
        <v>289</v>
      </c>
      <c r="F80" s="57" t="s">
        <v>290</v>
      </c>
      <c r="G80" s="58" t="n">
        <v>1</v>
      </c>
      <c r="H80" s="59" t="n">
        <f aca="false">G80*8/$D$76</f>
        <v>1.6</v>
      </c>
      <c r="I80" s="30" t="n">
        <v>28.94</v>
      </c>
      <c r="J80" s="30" t="n">
        <f aca="false">H80*I80</f>
        <v>46.304</v>
      </c>
      <c r="K80" s="1" t="n">
        <v>47</v>
      </c>
    </row>
    <row r="81" customFormat="false" ht="15" hidden="false" customHeight="false" outlineLevel="0" collapsed="false">
      <c r="B81" s="1" t="s">
        <v>292</v>
      </c>
      <c r="F81" s="57" t="s">
        <v>290</v>
      </c>
      <c r="G81" s="58" t="n">
        <v>1</v>
      </c>
      <c r="H81" s="59" t="n">
        <f aca="false">G81*8/$D$76</f>
        <v>1.6</v>
      </c>
      <c r="I81" s="1" t="n">
        <v>20.51</v>
      </c>
      <c r="J81" s="30" t="n">
        <f aca="false">H81*I81</f>
        <v>32.816</v>
      </c>
      <c r="K81" s="1" t="n">
        <v>47</v>
      </c>
    </row>
    <row r="82" customFormat="false" ht="15" hidden="false" customHeight="false" outlineLevel="0" collapsed="false">
      <c r="F82" s="57"/>
      <c r="G82" s="58"/>
      <c r="H82" s="59"/>
      <c r="J82" s="55" t="n">
        <f aca="false">ROUND(SUM(J79:J81),2)</f>
        <v>84.68</v>
      </c>
    </row>
    <row r="83" customFormat="false" ht="15" hidden="false" customHeight="false" outlineLevel="0" collapsed="false">
      <c r="B83" s="56" t="s">
        <v>652</v>
      </c>
      <c r="F83" s="57"/>
      <c r="G83" s="58"/>
      <c r="H83" s="30"/>
      <c r="J83" s="30"/>
    </row>
    <row r="84" customFormat="false" ht="15" hidden="false" customHeight="false" outlineLevel="0" collapsed="false">
      <c r="B84" s="1" t="s">
        <v>1027</v>
      </c>
      <c r="F84" s="57" t="s">
        <v>148</v>
      </c>
      <c r="H84" s="30" t="n">
        <v>1</v>
      </c>
      <c r="I84" s="65" t="n">
        <v>450</v>
      </c>
      <c r="J84" s="30" t="n">
        <f aca="false">H84*I84</f>
        <v>450</v>
      </c>
      <c r="K84" s="1" t="n">
        <v>39</v>
      </c>
    </row>
    <row r="85" customFormat="false" ht="15" hidden="false" customHeight="false" outlineLevel="0" collapsed="false">
      <c r="F85" s="57"/>
      <c r="H85" s="30"/>
      <c r="I85" s="30"/>
      <c r="J85" s="55" t="n">
        <f aca="false">ROUND(SUM(J84),2)</f>
        <v>450</v>
      </c>
    </row>
    <row r="86" customFormat="false" ht="15" hidden="false" customHeight="false" outlineLevel="0" collapsed="false">
      <c r="B86" s="56" t="s">
        <v>308</v>
      </c>
    </row>
    <row r="87" customFormat="false" ht="15" hidden="false" customHeight="false" outlineLevel="0" collapsed="false">
      <c r="B87" s="1" t="s">
        <v>309</v>
      </c>
      <c r="F87" s="57" t="s">
        <v>310</v>
      </c>
      <c r="H87" s="59" t="n">
        <v>3</v>
      </c>
      <c r="I87" s="30" t="n">
        <f aca="false">J82</f>
        <v>84.68</v>
      </c>
      <c r="J87" s="30" t="n">
        <f aca="false">H87%*I87</f>
        <v>2.5404</v>
      </c>
      <c r="K87" s="1" t="n">
        <v>37</v>
      </c>
    </row>
    <row r="88" customFormat="false" ht="15" hidden="false" customHeight="false" outlineLevel="0" collapsed="false">
      <c r="A88" s="62"/>
      <c r="B88" s="62"/>
      <c r="C88" s="62"/>
      <c r="D88" s="62"/>
      <c r="E88" s="62"/>
      <c r="F88" s="62"/>
      <c r="G88" s="62"/>
      <c r="H88" s="62"/>
      <c r="I88" s="83"/>
      <c r="J88" s="63" t="n">
        <f aca="false">ROUND(SUM(J87:J87),2)</f>
        <v>2.54</v>
      </c>
    </row>
    <row r="89" customFormat="false" ht="15" hidden="false" customHeight="false" outlineLevel="0" collapsed="false">
      <c r="F89" s="57"/>
      <c r="H89" s="30"/>
      <c r="I89" s="30"/>
      <c r="J89" s="30"/>
    </row>
    <row r="90" customFormat="false" ht="15" hidden="false" customHeight="false" outlineLevel="0" collapsed="false">
      <c r="A90" s="14" t="s">
        <v>276</v>
      </c>
      <c r="B90" s="14" t="str">
        <f aca="false">SANITARIAS!A17</f>
        <v>04.05.01</v>
      </c>
      <c r="C90" s="14" t="s">
        <v>998</v>
      </c>
      <c r="D90" s="14"/>
    </row>
    <row r="91" customFormat="false" ht="15" hidden="false" customHeight="false" outlineLevel="0" collapsed="false">
      <c r="A91" s="14" t="s">
        <v>277</v>
      </c>
      <c r="B91" s="14" t="s">
        <v>412</v>
      </c>
      <c r="C91" s="38" t="s">
        <v>279</v>
      </c>
      <c r="D91" s="54" t="n">
        <v>4</v>
      </c>
      <c r="E91" s="38" t="s">
        <v>280</v>
      </c>
      <c r="F91" s="54" t="n">
        <f aca="false">D91</f>
        <v>4</v>
      </c>
      <c r="G91" s="14" t="s">
        <v>281</v>
      </c>
      <c r="I91" s="38" t="s">
        <v>213</v>
      </c>
      <c r="J91" s="55" t="n">
        <f aca="false">J97+J102+J105</f>
        <v>158.16</v>
      </c>
      <c r="N91" s="14"/>
    </row>
    <row r="92" customFormat="false" ht="15" hidden="false" customHeight="false" outlineLevel="0" collapsed="false">
      <c r="A92" s="14" t="s">
        <v>282</v>
      </c>
      <c r="B92" s="14" t="s">
        <v>283</v>
      </c>
      <c r="F92" s="38" t="s">
        <v>121</v>
      </c>
      <c r="G92" s="38" t="s">
        <v>284</v>
      </c>
      <c r="H92" s="38" t="s">
        <v>285</v>
      </c>
      <c r="I92" s="38" t="s">
        <v>286</v>
      </c>
      <c r="J92" s="38" t="s">
        <v>287</v>
      </c>
      <c r="M92" s="14"/>
      <c r="N92" s="14"/>
    </row>
    <row r="93" customFormat="false" ht="15" hidden="false" customHeight="false" outlineLevel="0" collapsed="false">
      <c r="B93" s="56" t="s">
        <v>288</v>
      </c>
      <c r="N93" s="14"/>
    </row>
    <row r="94" customFormat="false" ht="15" hidden="false" customHeight="false" outlineLevel="0" collapsed="false">
      <c r="B94" s="1" t="s">
        <v>649</v>
      </c>
      <c r="F94" s="57" t="s">
        <v>290</v>
      </c>
      <c r="G94" s="58" t="n">
        <v>0.1</v>
      </c>
      <c r="H94" s="59" t="n">
        <f aca="false">G94*8/$D$91</f>
        <v>0.2</v>
      </c>
      <c r="I94" s="30" t="n">
        <v>34.73</v>
      </c>
      <c r="J94" s="30" t="n">
        <f aca="false">H94*I94</f>
        <v>6.946</v>
      </c>
      <c r="K94" s="1" t="n">
        <v>47</v>
      </c>
      <c r="N94" s="14"/>
    </row>
    <row r="95" customFormat="false" ht="15" hidden="false" customHeight="false" outlineLevel="0" collapsed="false">
      <c r="B95" s="1" t="s">
        <v>289</v>
      </c>
      <c r="F95" s="57" t="s">
        <v>290</v>
      </c>
      <c r="G95" s="58" t="n">
        <v>1</v>
      </c>
      <c r="H95" s="59" t="n">
        <f aca="false">G95*8/$D$91</f>
        <v>2</v>
      </c>
      <c r="I95" s="30" t="n">
        <v>28.94</v>
      </c>
      <c r="J95" s="30" t="n">
        <f aca="false">H95*I95</f>
        <v>57.88</v>
      </c>
      <c r="K95" s="1" t="n">
        <v>47</v>
      </c>
      <c r="M95" s="14"/>
      <c r="N95" s="14"/>
    </row>
    <row r="96" customFormat="false" ht="15" hidden="false" customHeight="false" outlineLevel="0" collapsed="false">
      <c r="B96" s="1" t="s">
        <v>292</v>
      </c>
      <c r="F96" s="57" t="s">
        <v>290</v>
      </c>
      <c r="G96" s="58" t="n">
        <v>1</v>
      </c>
      <c r="H96" s="59" t="n">
        <f aca="false">G96*8/$D$91</f>
        <v>2</v>
      </c>
      <c r="I96" s="1" t="n">
        <v>20.51</v>
      </c>
      <c r="J96" s="30" t="n">
        <f aca="false">H96*I96</f>
        <v>41.02</v>
      </c>
      <c r="K96" s="1" t="n">
        <v>47</v>
      </c>
      <c r="N96" s="14"/>
    </row>
    <row r="97" customFormat="false" ht="15" hidden="false" customHeight="false" outlineLevel="0" collapsed="false">
      <c r="F97" s="57"/>
      <c r="G97" s="58"/>
      <c r="H97" s="59"/>
      <c r="J97" s="55" t="n">
        <f aca="false">ROUND(SUM(J94:J96),2)</f>
        <v>105.85</v>
      </c>
      <c r="M97" s="14"/>
      <c r="N97" s="14"/>
    </row>
    <row r="98" customFormat="false" ht="15" hidden="false" customHeight="false" outlineLevel="0" collapsed="false">
      <c r="B98" s="56" t="s">
        <v>652</v>
      </c>
      <c r="F98" s="57"/>
      <c r="G98" s="58"/>
      <c r="H98" s="30"/>
      <c r="J98" s="30"/>
      <c r="N98" s="14"/>
    </row>
    <row r="99" customFormat="false" ht="15" hidden="false" customHeight="false" outlineLevel="0" collapsed="false">
      <c r="B99" s="1" t="s">
        <v>1028</v>
      </c>
      <c r="F99" s="57" t="s">
        <v>202</v>
      </c>
      <c r="H99" s="30" t="n">
        <v>0.0324</v>
      </c>
      <c r="I99" s="65" t="n">
        <v>88.0374646046613</v>
      </c>
      <c r="J99" s="30" t="n">
        <f aca="false">H99*I99</f>
        <v>2.85241385319103</v>
      </c>
      <c r="K99" s="1" t="n">
        <v>5</v>
      </c>
      <c r="M99" s="14"/>
      <c r="N99" s="14"/>
    </row>
    <row r="100" customFormat="false" ht="15" hidden="false" customHeight="false" outlineLevel="0" collapsed="false">
      <c r="B100" s="1" t="s">
        <v>1029</v>
      </c>
      <c r="F100" s="57" t="s">
        <v>202</v>
      </c>
      <c r="H100" s="30" t="n">
        <v>0.3</v>
      </c>
      <c r="I100" s="65" t="n">
        <v>19.2424744064474</v>
      </c>
      <c r="J100" s="30" t="n">
        <f aca="false">H100*I100</f>
        <v>5.77274232193422</v>
      </c>
      <c r="K100" s="1" t="n">
        <v>72</v>
      </c>
      <c r="N100" s="14"/>
    </row>
    <row r="101" customFormat="false" ht="15" hidden="false" customHeight="false" outlineLevel="0" collapsed="false">
      <c r="B101" s="1" t="s">
        <v>1030</v>
      </c>
      <c r="F101" s="57" t="s">
        <v>148</v>
      </c>
      <c r="H101" s="30" t="n">
        <v>2</v>
      </c>
      <c r="I101" s="65" t="n">
        <v>20.2507485168107</v>
      </c>
      <c r="J101" s="30" t="n">
        <f aca="false">H101*I101</f>
        <v>40.5014970336213</v>
      </c>
      <c r="K101" s="1" t="n">
        <v>72</v>
      </c>
    </row>
    <row r="102" customFormat="false" ht="15" hidden="false" customHeight="false" outlineLevel="0" collapsed="false">
      <c r="F102" s="57"/>
      <c r="H102" s="30"/>
      <c r="I102" s="30"/>
      <c r="J102" s="55" t="n">
        <f aca="false">ROUND(SUM(J99:J101),2)</f>
        <v>49.13</v>
      </c>
    </row>
    <row r="103" customFormat="false" ht="15" hidden="false" customHeight="false" outlineLevel="0" collapsed="false">
      <c r="B103" s="56" t="s">
        <v>308</v>
      </c>
    </row>
    <row r="104" customFormat="false" ht="15" hidden="false" customHeight="false" outlineLevel="0" collapsed="false">
      <c r="B104" s="1" t="s">
        <v>309</v>
      </c>
      <c r="F104" s="57" t="s">
        <v>310</v>
      </c>
      <c r="H104" s="59" t="n">
        <v>3</v>
      </c>
      <c r="I104" s="30" t="n">
        <f aca="false">J97</f>
        <v>105.85</v>
      </c>
      <c r="J104" s="30" t="n">
        <f aca="false">H104%*I104</f>
        <v>3.1755</v>
      </c>
      <c r="K104" s="1" t="n">
        <v>37</v>
      </c>
    </row>
    <row r="105" customFormat="false" ht="15" hidden="false" customHeight="false" outlineLevel="0" collapsed="false">
      <c r="A105" s="62"/>
      <c r="B105" s="62"/>
      <c r="C105" s="62"/>
      <c r="D105" s="62"/>
      <c r="E105" s="62"/>
      <c r="F105" s="62"/>
      <c r="G105" s="62"/>
      <c r="H105" s="62"/>
      <c r="I105" s="83"/>
      <c r="J105" s="63" t="n">
        <f aca="false">ROUND(SUM(J104:J104),2)</f>
        <v>3.18</v>
      </c>
    </row>
    <row r="107" customFormat="false" ht="15" hidden="false" customHeight="false" outlineLevel="0" collapsed="false">
      <c r="A107" s="14" t="s">
        <v>276</v>
      </c>
      <c r="B107" s="14" t="str">
        <f aca="false">SANITARIAS!A19</f>
        <v>04.06.01</v>
      </c>
      <c r="C107" s="14" t="s">
        <v>1031</v>
      </c>
      <c r="D107" s="14"/>
    </row>
    <row r="108" customFormat="false" ht="15" hidden="false" customHeight="false" outlineLevel="0" collapsed="false">
      <c r="A108" s="14" t="s">
        <v>277</v>
      </c>
      <c r="B108" s="14" t="s">
        <v>412</v>
      </c>
      <c r="C108" s="38" t="s">
        <v>279</v>
      </c>
      <c r="D108" s="54" t="n">
        <v>4</v>
      </c>
      <c r="E108" s="38" t="s">
        <v>280</v>
      </c>
      <c r="F108" s="54" t="n">
        <f aca="false">D108</f>
        <v>4</v>
      </c>
      <c r="G108" s="14" t="s">
        <v>281</v>
      </c>
      <c r="I108" s="38" t="s">
        <v>213</v>
      </c>
      <c r="J108" s="55" t="n">
        <f aca="false">J114+J121+J124</f>
        <v>138.65</v>
      </c>
    </row>
    <row r="109" customFormat="false" ht="15" hidden="false" customHeight="false" outlineLevel="0" collapsed="false">
      <c r="A109" s="14" t="s">
        <v>282</v>
      </c>
      <c r="B109" s="14" t="s">
        <v>283</v>
      </c>
      <c r="F109" s="38" t="s">
        <v>121</v>
      </c>
      <c r="G109" s="38" t="s">
        <v>284</v>
      </c>
      <c r="H109" s="38" t="s">
        <v>285</v>
      </c>
      <c r="I109" s="38" t="s">
        <v>286</v>
      </c>
      <c r="J109" s="38" t="s">
        <v>287</v>
      </c>
    </row>
    <row r="110" customFormat="false" ht="15" hidden="false" customHeight="false" outlineLevel="0" collapsed="false">
      <c r="B110" s="56" t="s">
        <v>288</v>
      </c>
    </row>
    <row r="111" customFormat="false" ht="15" hidden="false" customHeight="false" outlineLevel="0" collapsed="false">
      <c r="B111" s="1" t="s">
        <v>649</v>
      </c>
      <c r="F111" s="57" t="s">
        <v>290</v>
      </c>
      <c r="G111" s="58" t="n">
        <v>0.1</v>
      </c>
      <c r="H111" s="59" t="n">
        <f aca="false">G111*8/$D$108</f>
        <v>0.2</v>
      </c>
      <c r="I111" s="30" t="n">
        <v>34.73</v>
      </c>
      <c r="J111" s="30" t="n">
        <f aca="false">H111*I111</f>
        <v>6.946</v>
      </c>
      <c r="K111" s="1" t="n">
        <v>47</v>
      </c>
    </row>
    <row r="112" customFormat="false" ht="15" hidden="false" customHeight="false" outlineLevel="0" collapsed="false">
      <c r="B112" s="1" t="s">
        <v>289</v>
      </c>
      <c r="F112" s="57" t="s">
        <v>290</v>
      </c>
      <c r="G112" s="58" t="n">
        <v>1</v>
      </c>
      <c r="H112" s="59" t="n">
        <f aca="false">G112*8/$D$108</f>
        <v>2</v>
      </c>
      <c r="I112" s="30" t="n">
        <v>28.94</v>
      </c>
      <c r="J112" s="30" t="n">
        <f aca="false">H112*I112</f>
        <v>57.88</v>
      </c>
      <c r="K112" s="1" t="n">
        <v>47</v>
      </c>
    </row>
    <row r="113" customFormat="false" ht="15" hidden="false" customHeight="false" outlineLevel="0" collapsed="false">
      <c r="B113" s="1" t="s">
        <v>292</v>
      </c>
      <c r="F113" s="57" t="s">
        <v>290</v>
      </c>
      <c r="G113" s="58" t="n">
        <v>1</v>
      </c>
      <c r="H113" s="59" t="n">
        <f aca="false">G113*8/$D$108</f>
        <v>2</v>
      </c>
      <c r="I113" s="1" t="n">
        <v>20.51</v>
      </c>
      <c r="J113" s="30" t="n">
        <f aca="false">H113*I113</f>
        <v>41.02</v>
      </c>
      <c r="K113" s="1" t="n">
        <v>47</v>
      </c>
    </row>
    <row r="114" customFormat="false" ht="15" hidden="false" customHeight="false" outlineLevel="0" collapsed="false">
      <c r="F114" s="57"/>
      <c r="G114" s="58"/>
      <c r="H114" s="59"/>
      <c r="J114" s="55" t="n">
        <f aca="false">ROUND(SUM(J111:J113),2)</f>
        <v>105.85</v>
      </c>
    </row>
    <row r="115" customFormat="false" ht="15" hidden="false" customHeight="false" outlineLevel="0" collapsed="false">
      <c r="B115" s="56" t="s">
        <v>652</v>
      </c>
      <c r="F115" s="57"/>
      <c r="G115" s="58"/>
      <c r="H115" s="59"/>
      <c r="J115" s="30"/>
    </row>
    <row r="116" customFormat="false" ht="15" hidden="false" customHeight="false" outlineLevel="0" collapsed="false">
      <c r="B116" s="1" t="s">
        <v>1018</v>
      </c>
      <c r="F116" s="57" t="s">
        <v>437</v>
      </c>
      <c r="H116" s="1" t="n">
        <v>0.03</v>
      </c>
      <c r="I116" s="1" t="n">
        <v>189.66</v>
      </c>
      <c r="J116" s="30" t="n">
        <f aca="false">H116*I116</f>
        <v>5.6898</v>
      </c>
      <c r="K116" s="1" t="n">
        <v>30</v>
      </c>
    </row>
    <row r="117" customFormat="false" ht="15" hidden="false" customHeight="false" outlineLevel="0" collapsed="false">
      <c r="B117" s="1" t="s">
        <v>1032</v>
      </c>
      <c r="F117" s="57" t="s">
        <v>330</v>
      </c>
      <c r="H117" s="1" t="n">
        <v>0.35</v>
      </c>
      <c r="I117" s="1" t="n">
        <v>16.53</v>
      </c>
      <c r="J117" s="30" t="n">
        <f aca="false">H117*I117</f>
        <v>5.7855</v>
      </c>
      <c r="K117" s="1" t="n">
        <v>72</v>
      </c>
    </row>
    <row r="118" customFormat="false" ht="15" hidden="false" customHeight="false" outlineLevel="0" collapsed="false">
      <c r="B118" s="1" t="s">
        <v>1033</v>
      </c>
      <c r="F118" s="57" t="s">
        <v>330</v>
      </c>
      <c r="H118" s="59" t="n">
        <v>1.03</v>
      </c>
      <c r="I118" s="30" t="n">
        <v>1.44</v>
      </c>
      <c r="J118" s="30" t="n">
        <f aca="false">H118*I118</f>
        <v>1.4832</v>
      </c>
      <c r="K118" s="1" t="n">
        <v>72</v>
      </c>
    </row>
    <row r="119" customFormat="false" ht="15" hidden="false" customHeight="false" outlineLevel="0" collapsed="false">
      <c r="B119" s="1" t="s">
        <v>1034</v>
      </c>
      <c r="F119" s="57" t="s">
        <v>330</v>
      </c>
      <c r="H119" s="59" t="n">
        <v>1.03</v>
      </c>
      <c r="I119" s="30" t="n">
        <v>3.47</v>
      </c>
      <c r="J119" s="30" t="n">
        <f aca="false">H119*I119</f>
        <v>3.5741</v>
      </c>
      <c r="K119" s="1" t="n">
        <v>72</v>
      </c>
    </row>
    <row r="120" customFormat="false" ht="15" hidden="false" customHeight="false" outlineLevel="0" collapsed="false">
      <c r="B120" s="1" t="s">
        <v>1035</v>
      </c>
      <c r="F120" s="57" t="s">
        <v>330</v>
      </c>
      <c r="H120" s="1" t="n">
        <v>1.03</v>
      </c>
      <c r="I120" s="1" t="n">
        <v>12.71</v>
      </c>
      <c r="J120" s="30" t="n">
        <f aca="false">H120*I120</f>
        <v>13.0913</v>
      </c>
      <c r="K120" s="1" t="n">
        <v>72</v>
      </c>
    </row>
    <row r="121" customFormat="false" ht="15" hidden="false" customHeight="false" outlineLevel="0" collapsed="false">
      <c r="F121" s="57"/>
      <c r="H121" s="59"/>
      <c r="I121" s="30"/>
      <c r="J121" s="55" t="n">
        <f aca="false">ROUND(SUM(J116:J120),2)</f>
        <v>29.62</v>
      </c>
    </row>
    <row r="122" customFormat="false" ht="15" hidden="false" customHeight="false" outlineLevel="0" collapsed="false">
      <c r="B122" s="56" t="s">
        <v>308</v>
      </c>
    </row>
    <row r="123" customFormat="false" ht="15" hidden="false" customHeight="false" outlineLevel="0" collapsed="false">
      <c r="B123" s="1" t="s">
        <v>309</v>
      </c>
      <c r="F123" s="57" t="s">
        <v>310</v>
      </c>
      <c r="H123" s="59" t="n">
        <v>3</v>
      </c>
      <c r="I123" s="30" t="n">
        <f aca="false">J114</f>
        <v>105.85</v>
      </c>
      <c r="J123" s="30" t="n">
        <f aca="false">H123%*I123</f>
        <v>3.1755</v>
      </c>
      <c r="K123" s="1" t="n">
        <v>37</v>
      </c>
    </row>
    <row r="124" customFormat="false" ht="15" hidden="false" customHeight="false" outlineLevel="0" collapsed="false">
      <c r="A124" s="62"/>
      <c r="B124" s="62"/>
      <c r="C124" s="62"/>
      <c r="D124" s="62"/>
      <c r="E124" s="62"/>
      <c r="F124" s="62"/>
      <c r="G124" s="62"/>
      <c r="H124" s="62"/>
      <c r="I124" s="83"/>
      <c r="J124" s="63" t="n">
        <f aca="false">ROUND(SUM(J123),2)</f>
        <v>3.18</v>
      </c>
    </row>
    <row r="125" customFormat="false" ht="15" hidden="false" customHeight="false" outlineLevel="0" collapsed="false">
      <c r="A125" s="14"/>
      <c r="B125" s="14"/>
      <c r="C125" s="38"/>
      <c r="D125" s="54"/>
      <c r="E125" s="38"/>
      <c r="F125" s="54"/>
      <c r="G125" s="14"/>
      <c r="I125" s="38"/>
      <c r="J125" s="55"/>
    </row>
    <row r="126" customFormat="false" ht="15" hidden="false" customHeight="false" outlineLevel="0" collapsed="false">
      <c r="A126" s="14" t="s">
        <v>276</v>
      </c>
      <c r="B126" s="14" t="str">
        <f aca="false">SANITARIAS!A20</f>
        <v>04.06.02</v>
      </c>
      <c r="C126" s="14" t="s">
        <v>1036</v>
      </c>
      <c r="D126" s="14"/>
    </row>
    <row r="127" customFormat="false" ht="15" hidden="false" customHeight="false" outlineLevel="0" collapsed="false">
      <c r="A127" s="14" t="s">
        <v>277</v>
      </c>
      <c r="B127" s="14" t="s">
        <v>412</v>
      </c>
      <c r="C127" s="38" t="s">
        <v>279</v>
      </c>
      <c r="D127" s="54" t="n">
        <v>4</v>
      </c>
      <c r="E127" s="38" t="s">
        <v>280</v>
      </c>
      <c r="F127" s="54" t="n">
        <f aca="false">D127</f>
        <v>4</v>
      </c>
      <c r="G127" s="14" t="s">
        <v>281</v>
      </c>
      <c r="I127" s="38" t="s">
        <v>213</v>
      </c>
      <c r="J127" s="55" t="n">
        <f aca="false">J133+J139+J142</f>
        <v>145.94</v>
      </c>
    </row>
    <row r="128" customFormat="false" ht="15" hidden="false" customHeight="false" outlineLevel="0" collapsed="false">
      <c r="A128" s="14" t="s">
        <v>282</v>
      </c>
      <c r="B128" s="14" t="s">
        <v>283</v>
      </c>
      <c r="F128" s="38" t="s">
        <v>121</v>
      </c>
      <c r="G128" s="38" t="s">
        <v>284</v>
      </c>
      <c r="H128" s="38" t="s">
        <v>285</v>
      </c>
      <c r="I128" s="38" t="s">
        <v>286</v>
      </c>
      <c r="J128" s="38" t="s">
        <v>287</v>
      </c>
    </row>
    <row r="129" customFormat="false" ht="15" hidden="false" customHeight="false" outlineLevel="0" collapsed="false">
      <c r="B129" s="56" t="s">
        <v>288</v>
      </c>
    </row>
    <row r="130" customFormat="false" ht="15" hidden="false" customHeight="false" outlineLevel="0" collapsed="false">
      <c r="B130" s="1" t="s">
        <v>649</v>
      </c>
      <c r="F130" s="57" t="s">
        <v>290</v>
      </c>
      <c r="G130" s="58" t="n">
        <v>0.1</v>
      </c>
      <c r="H130" s="59" t="n">
        <f aca="false">G130*8/$D$127</f>
        <v>0.2</v>
      </c>
      <c r="I130" s="30" t="n">
        <v>34.73</v>
      </c>
      <c r="J130" s="30" t="n">
        <f aca="false">H130*I130</f>
        <v>6.946</v>
      </c>
      <c r="K130" s="1" t="n">
        <v>47</v>
      </c>
    </row>
    <row r="131" customFormat="false" ht="15" hidden="false" customHeight="false" outlineLevel="0" collapsed="false">
      <c r="B131" s="1" t="s">
        <v>289</v>
      </c>
      <c r="F131" s="57" t="s">
        <v>290</v>
      </c>
      <c r="G131" s="58" t="n">
        <v>1</v>
      </c>
      <c r="H131" s="59" t="n">
        <f aca="false">G131*8/$D$127</f>
        <v>2</v>
      </c>
      <c r="I131" s="30" t="n">
        <v>28.94</v>
      </c>
      <c r="J131" s="30" t="n">
        <f aca="false">H131*I131</f>
        <v>57.88</v>
      </c>
      <c r="K131" s="1" t="n">
        <v>47</v>
      </c>
    </row>
    <row r="132" customFormat="false" ht="15" hidden="false" customHeight="false" outlineLevel="0" collapsed="false">
      <c r="B132" s="1" t="s">
        <v>292</v>
      </c>
      <c r="F132" s="57" t="s">
        <v>290</v>
      </c>
      <c r="G132" s="58" t="n">
        <v>1</v>
      </c>
      <c r="H132" s="59" t="n">
        <f aca="false">G132*8/$D$127</f>
        <v>2</v>
      </c>
      <c r="I132" s="1" t="n">
        <v>20.51</v>
      </c>
      <c r="J132" s="30" t="n">
        <f aca="false">H132*I132</f>
        <v>41.02</v>
      </c>
      <c r="K132" s="1" t="n">
        <v>47</v>
      </c>
    </row>
    <row r="133" customFormat="false" ht="15" hidden="false" customHeight="false" outlineLevel="0" collapsed="false">
      <c r="F133" s="57"/>
      <c r="G133" s="58"/>
      <c r="H133" s="59"/>
      <c r="J133" s="55" t="n">
        <f aca="false">ROUND(SUM(J130:J132),2)</f>
        <v>105.85</v>
      </c>
    </row>
    <row r="134" customFormat="false" ht="15" hidden="false" customHeight="false" outlineLevel="0" collapsed="false">
      <c r="B134" s="56" t="s">
        <v>652</v>
      </c>
      <c r="F134" s="57"/>
      <c r="G134" s="58"/>
      <c r="H134" s="59"/>
      <c r="J134" s="30"/>
    </row>
    <row r="135" customFormat="false" ht="15" hidden="false" customHeight="false" outlineLevel="0" collapsed="false">
      <c r="B135" s="1" t="s">
        <v>1018</v>
      </c>
      <c r="F135" s="57" t="s">
        <v>437</v>
      </c>
      <c r="H135" s="1" t="n">
        <v>0.03</v>
      </c>
      <c r="I135" s="1" t="n">
        <v>189.66</v>
      </c>
      <c r="J135" s="30" t="n">
        <f aca="false">H135*I135</f>
        <v>5.6898</v>
      </c>
      <c r="K135" s="1" t="n">
        <v>30</v>
      </c>
    </row>
    <row r="136" customFormat="false" ht="15" hidden="false" customHeight="false" outlineLevel="0" collapsed="false">
      <c r="B136" s="1" t="s">
        <v>1037</v>
      </c>
      <c r="F136" s="57" t="s">
        <v>330</v>
      </c>
      <c r="H136" s="1" t="n">
        <v>0.35</v>
      </c>
      <c r="I136" s="1" t="n">
        <v>29.12</v>
      </c>
      <c r="J136" s="30" t="n">
        <f aca="false">H136*I136</f>
        <v>10.192</v>
      </c>
      <c r="K136" s="1" t="n">
        <v>72</v>
      </c>
    </row>
    <row r="137" customFormat="false" ht="15" hidden="false" customHeight="false" outlineLevel="0" collapsed="false">
      <c r="B137" s="1" t="s">
        <v>1038</v>
      </c>
      <c r="F137" s="57" t="s">
        <v>330</v>
      </c>
      <c r="H137" s="59" t="n">
        <v>1.03</v>
      </c>
      <c r="I137" s="30" t="n">
        <v>5.93</v>
      </c>
      <c r="J137" s="30" t="n">
        <f aca="false">H137*I137</f>
        <v>6.1079</v>
      </c>
      <c r="K137" s="1" t="n">
        <v>72</v>
      </c>
    </row>
    <row r="138" customFormat="false" ht="15" hidden="false" customHeight="false" outlineLevel="0" collapsed="false">
      <c r="B138" s="1" t="s">
        <v>1039</v>
      </c>
      <c r="F138" s="57" t="s">
        <v>330</v>
      </c>
      <c r="H138" s="59" t="n">
        <v>1.03</v>
      </c>
      <c r="I138" s="30" t="n">
        <v>14.49</v>
      </c>
      <c r="J138" s="30" t="n">
        <f aca="false">H138*I138</f>
        <v>14.9247</v>
      </c>
      <c r="K138" s="1" t="n">
        <v>72</v>
      </c>
    </row>
    <row r="139" customFormat="false" ht="15" hidden="false" customHeight="false" outlineLevel="0" collapsed="false">
      <c r="F139" s="57"/>
      <c r="H139" s="59"/>
      <c r="I139" s="30"/>
      <c r="J139" s="55" t="n">
        <f aca="false">ROUND(SUM(J135:J138),2)</f>
        <v>36.91</v>
      </c>
    </row>
    <row r="140" customFormat="false" ht="15" hidden="false" customHeight="false" outlineLevel="0" collapsed="false">
      <c r="B140" s="56" t="s">
        <v>308</v>
      </c>
    </row>
    <row r="141" customFormat="false" ht="15" hidden="false" customHeight="false" outlineLevel="0" collapsed="false">
      <c r="B141" s="1" t="s">
        <v>309</v>
      </c>
      <c r="F141" s="57" t="s">
        <v>310</v>
      </c>
      <c r="H141" s="59" t="n">
        <v>3</v>
      </c>
      <c r="I141" s="30" t="n">
        <f aca="false">J133</f>
        <v>105.85</v>
      </c>
      <c r="J141" s="30" t="n">
        <f aca="false">H141%*I141</f>
        <v>3.1755</v>
      </c>
      <c r="K141" s="1" t="n">
        <v>37</v>
      </c>
    </row>
    <row r="142" customFormat="false" ht="15" hidden="false" customHeight="false" outlineLevel="0" collapsed="false">
      <c r="A142" s="62"/>
      <c r="B142" s="62"/>
      <c r="C142" s="62"/>
      <c r="D142" s="62"/>
      <c r="E142" s="62"/>
      <c r="F142" s="62"/>
      <c r="G142" s="62"/>
      <c r="H142" s="62"/>
      <c r="I142" s="83"/>
      <c r="J142" s="63" t="n">
        <f aca="false">ROUND(SUM(J141),2)</f>
        <v>3.18</v>
      </c>
    </row>
    <row r="144" customFormat="false" ht="15" hidden="false" customHeight="false" outlineLevel="0" collapsed="false">
      <c r="A144" s="14" t="s">
        <v>276</v>
      </c>
      <c r="B144" s="14" t="str">
        <f aca="false">SANITARIAS!A22</f>
        <v>04.07.01</v>
      </c>
      <c r="C144" s="14" t="s">
        <v>1040</v>
      </c>
      <c r="D144" s="14"/>
    </row>
    <row r="145" customFormat="false" ht="15" hidden="false" customHeight="false" outlineLevel="0" collapsed="false">
      <c r="A145" s="14" t="s">
        <v>277</v>
      </c>
      <c r="B145" s="14" t="s">
        <v>412</v>
      </c>
      <c r="C145" s="38" t="s">
        <v>279</v>
      </c>
      <c r="D145" s="54" t="n">
        <v>4</v>
      </c>
      <c r="E145" s="38" t="s">
        <v>280</v>
      </c>
      <c r="F145" s="54" t="n">
        <f aca="false">D145</f>
        <v>4</v>
      </c>
      <c r="G145" s="14" t="s">
        <v>281</v>
      </c>
      <c r="I145" s="38" t="s">
        <v>213</v>
      </c>
      <c r="J145" s="55" t="n">
        <f aca="false">J151+J157+J160</f>
        <v>141.08</v>
      </c>
    </row>
    <row r="146" customFormat="false" ht="15" hidden="false" customHeight="false" outlineLevel="0" collapsed="false">
      <c r="A146" s="14" t="s">
        <v>282</v>
      </c>
      <c r="B146" s="14" t="s">
        <v>283</v>
      </c>
      <c r="F146" s="38" t="s">
        <v>121</v>
      </c>
      <c r="G146" s="38" t="s">
        <v>284</v>
      </c>
      <c r="H146" s="38" t="s">
        <v>285</v>
      </c>
      <c r="I146" s="38" t="s">
        <v>286</v>
      </c>
      <c r="J146" s="38" t="s">
        <v>287</v>
      </c>
    </row>
    <row r="147" customFormat="false" ht="15" hidden="false" customHeight="false" outlineLevel="0" collapsed="false">
      <c r="B147" s="56" t="s">
        <v>288</v>
      </c>
    </row>
    <row r="148" customFormat="false" ht="15" hidden="false" customHeight="false" outlineLevel="0" collapsed="false">
      <c r="B148" s="1" t="s">
        <v>649</v>
      </c>
      <c r="F148" s="57" t="s">
        <v>290</v>
      </c>
      <c r="G148" s="58" t="n">
        <v>0.1</v>
      </c>
      <c r="H148" s="59" t="n">
        <f aca="false">G148*8/$D$145</f>
        <v>0.2</v>
      </c>
      <c r="I148" s="30" t="n">
        <v>34.73</v>
      </c>
      <c r="J148" s="30" t="n">
        <f aca="false">H148*I148</f>
        <v>6.946</v>
      </c>
      <c r="K148" s="1" t="n">
        <v>47</v>
      </c>
    </row>
    <row r="149" customFormat="false" ht="15" hidden="false" customHeight="false" outlineLevel="0" collapsed="false">
      <c r="B149" s="1" t="s">
        <v>289</v>
      </c>
      <c r="F149" s="57" t="s">
        <v>290</v>
      </c>
      <c r="G149" s="58" t="n">
        <v>1</v>
      </c>
      <c r="H149" s="59" t="n">
        <f aca="false">G149*8/$D$145</f>
        <v>2</v>
      </c>
      <c r="I149" s="30" t="n">
        <v>28.94</v>
      </c>
      <c r="J149" s="30" t="n">
        <f aca="false">H149*I149</f>
        <v>57.88</v>
      </c>
      <c r="K149" s="1" t="n">
        <v>47</v>
      </c>
    </row>
    <row r="150" customFormat="false" ht="15" hidden="false" customHeight="false" outlineLevel="0" collapsed="false">
      <c r="B150" s="1" t="s">
        <v>292</v>
      </c>
      <c r="F150" s="57" t="s">
        <v>290</v>
      </c>
      <c r="G150" s="58" t="n">
        <v>1</v>
      </c>
      <c r="H150" s="59" t="n">
        <f aca="false">G150*8/$D$145</f>
        <v>2</v>
      </c>
      <c r="I150" s="1" t="n">
        <v>20.51</v>
      </c>
      <c r="J150" s="30" t="n">
        <f aca="false">H150*I150</f>
        <v>41.02</v>
      </c>
      <c r="K150" s="1" t="n">
        <v>47</v>
      </c>
    </row>
    <row r="151" customFormat="false" ht="15" hidden="false" customHeight="false" outlineLevel="0" collapsed="false">
      <c r="F151" s="57"/>
      <c r="G151" s="58"/>
      <c r="H151" s="59"/>
      <c r="J151" s="55" t="n">
        <f aca="false">ROUND(SUM(J148:J150),2)</f>
        <v>105.85</v>
      </c>
    </row>
    <row r="152" customFormat="false" ht="15" hidden="false" customHeight="false" outlineLevel="0" collapsed="false">
      <c r="B152" s="56" t="s">
        <v>652</v>
      </c>
      <c r="F152" s="57"/>
      <c r="G152" s="58"/>
      <c r="H152" s="59"/>
      <c r="J152" s="30"/>
    </row>
    <row r="153" customFormat="false" ht="15" hidden="false" customHeight="false" outlineLevel="0" collapsed="false">
      <c r="B153" s="1" t="s">
        <v>1018</v>
      </c>
      <c r="F153" s="57" t="s">
        <v>437</v>
      </c>
      <c r="H153" s="59" t="n">
        <v>0.03</v>
      </c>
      <c r="I153" s="1" t="n">
        <v>189.66</v>
      </c>
      <c r="J153" s="30" t="n">
        <f aca="false">H153*I153</f>
        <v>5.6898</v>
      </c>
      <c r="K153" s="1" t="n">
        <v>30</v>
      </c>
    </row>
    <row r="154" customFormat="false" ht="15" hidden="false" customHeight="false" outlineLevel="0" collapsed="false">
      <c r="B154" s="1" t="s">
        <v>1032</v>
      </c>
      <c r="F154" s="57" t="s">
        <v>330</v>
      </c>
      <c r="H154" s="59" t="n">
        <v>1</v>
      </c>
      <c r="I154" s="1" t="n">
        <v>16.53</v>
      </c>
      <c r="J154" s="30" t="n">
        <f aca="false">H154*I154</f>
        <v>16.53</v>
      </c>
      <c r="K154" s="1" t="n">
        <v>72</v>
      </c>
    </row>
    <row r="155" customFormat="false" ht="15" hidden="false" customHeight="false" outlineLevel="0" collapsed="false">
      <c r="B155" s="1" t="s">
        <v>1033</v>
      </c>
      <c r="F155" s="57" t="s">
        <v>330</v>
      </c>
      <c r="H155" s="59" t="n">
        <v>1</v>
      </c>
      <c r="I155" s="30" t="n">
        <v>1.44</v>
      </c>
      <c r="J155" s="30" t="n">
        <f aca="false">H155*I155</f>
        <v>1.44</v>
      </c>
      <c r="K155" s="1" t="n">
        <v>72</v>
      </c>
    </row>
    <row r="156" customFormat="false" ht="15" hidden="false" customHeight="false" outlineLevel="0" collapsed="false">
      <c r="B156" s="1" t="s">
        <v>1041</v>
      </c>
      <c r="F156" s="57" t="s">
        <v>330</v>
      </c>
      <c r="H156" s="59" t="n">
        <v>1</v>
      </c>
      <c r="I156" s="30" t="n">
        <v>8.39</v>
      </c>
      <c r="J156" s="30" t="n">
        <f aca="false">H156*I156</f>
        <v>8.39</v>
      </c>
      <c r="K156" s="1" t="n">
        <v>72</v>
      </c>
    </row>
    <row r="157" customFormat="false" ht="15" hidden="false" customHeight="false" outlineLevel="0" collapsed="false">
      <c r="F157" s="57"/>
      <c r="H157" s="59"/>
      <c r="I157" s="30"/>
      <c r="J157" s="55" t="n">
        <f aca="false">ROUND(SUM(J153:J156),2)</f>
        <v>32.05</v>
      </c>
    </row>
    <row r="158" customFormat="false" ht="15" hidden="false" customHeight="false" outlineLevel="0" collapsed="false">
      <c r="B158" s="56" t="s">
        <v>308</v>
      </c>
    </row>
    <row r="159" customFormat="false" ht="15" hidden="false" customHeight="false" outlineLevel="0" collapsed="false">
      <c r="B159" s="1" t="s">
        <v>309</v>
      </c>
      <c r="F159" s="57" t="s">
        <v>310</v>
      </c>
      <c r="H159" s="59" t="n">
        <v>3</v>
      </c>
      <c r="I159" s="30" t="n">
        <f aca="false">J151</f>
        <v>105.85</v>
      </c>
      <c r="J159" s="30" t="n">
        <f aca="false">H159%*I159</f>
        <v>3.1755</v>
      </c>
      <c r="K159" s="1" t="n">
        <v>37</v>
      </c>
    </row>
    <row r="160" customFormat="false" ht="15" hidden="false" customHeight="false" outlineLevel="0" collapsed="false">
      <c r="A160" s="62"/>
      <c r="B160" s="62"/>
      <c r="C160" s="62"/>
      <c r="D160" s="62"/>
      <c r="E160" s="62"/>
      <c r="F160" s="62"/>
      <c r="G160" s="62"/>
      <c r="H160" s="62"/>
      <c r="I160" s="83"/>
      <c r="J160" s="63" t="n">
        <f aca="false">ROUND(SUM(J159),2)</f>
        <v>3.18</v>
      </c>
    </row>
    <row r="162" customFormat="false" ht="15" hidden="false" customHeight="false" outlineLevel="0" collapsed="false">
      <c r="A162" s="14" t="s">
        <v>276</v>
      </c>
      <c r="B162" s="14" t="str">
        <f aca="false">SANITARIAS!A24</f>
        <v>04.08.01</v>
      </c>
      <c r="C162" s="14" t="s">
        <v>1009</v>
      </c>
      <c r="D162" s="14"/>
    </row>
    <row r="163" customFormat="false" ht="15" hidden="false" customHeight="false" outlineLevel="0" collapsed="false">
      <c r="A163" s="14" t="s">
        <v>277</v>
      </c>
      <c r="B163" s="14" t="s">
        <v>325</v>
      </c>
      <c r="C163" s="38" t="s">
        <v>279</v>
      </c>
      <c r="D163" s="54" t="n">
        <v>6</v>
      </c>
      <c r="E163" s="38" t="s">
        <v>280</v>
      </c>
      <c r="F163" s="54" t="n">
        <f aca="false">D163</f>
        <v>6</v>
      </c>
      <c r="G163" s="14" t="s">
        <v>281</v>
      </c>
      <c r="I163" s="38" t="s">
        <v>148</v>
      </c>
      <c r="J163" s="55" t="n">
        <f aca="false">J169+J172+J175</f>
        <v>214.33</v>
      </c>
    </row>
    <row r="164" customFormat="false" ht="15" hidden="false" customHeight="false" outlineLevel="0" collapsed="false">
      <c r="A164" s="14" t="s">
        <v>282</v>
      </c>
      <c r="B164" s="14" t="s">
        <v>283</v>
      </c>
      <c r="F164" s="38" t="s">
        <v>121</v>
      </c>
      <c r="G164" s="38" t="s">
        <v>284</v>
      </c>
      <c r="H164" s="38" t="s">
        <v>285</v>
      </c>
      <c r="I164" s="38" t="s">
        <v>286</v>
      </c>
      <c r="J164" s="38" t="s">
        <v>287</v>
      </c>
    </row>
    <row r="165" customFormat="false" ht="15" hidden="false" customHeight="false" outlineLevel="0" collapsed="false">
      <c r="B165" s="56" t="s">
        <v>288</v>
      </c>
    </row>
    <row r="166" customFormat="false" ht="15" hidden="false" customHeight="false" outlineLevel="0" collapsed="false">
      <c r="B166" s="1" t="s">
        <v>649</v>
      </c>
      <c r="F166" s="57" t="s">
        <v>290</v>
      </c>
      <c r="G166" s="58" t="n">
        <v>0.1</v>
      </c>
      <c r="H166" s="59" t="n">
        <f aca="false">G166*8/$D$163</f>
        <v>0.133333333333333</v>
      </c>
      <c r="I166" s="30" t="n">
        <v>34.73</v>
      </c>
      <c r="J166" s="30" t="n">
        <f aca="false">H166*I166</f>
        <v>4.63066666666667</v>
      </c>
      <c r="K166" s="1" t="n">
        <v>47</v>
      </c>
    </row>
    <row r="167" customFormat="false" ht="15" hidden="false" customHeight="false" outlineLevel="0" collapsed="false">
      <c r="B167" s="1" t="s">
        <v>289</v>
      </c>
      <c r="F167" s="57" t="s">
        <v>290</v>
      </c>
      <c r="G167" s="58" t="n">
        <v>1</v>
      </c>
      <c r="H167" s="59" t="n">
        <f aca="false">G167*8/$D$163</f>
        <v>1.33333333333333</v>
      </c>
      <c r="I167" s="30" t="n">
        <v>28.94</v>
      </c>
      <c r="J167" s="30" t="n">
        <f aca="false">H167*I167</f>
        <v>38.5866666666667</v>
      </c>
      <c r="K167" s="1" t="n">
        <v>47</v>
      </c>
    </row>
    <row r="168" customFormat="false" ht="15" hidden="false" customHeight="false" outlineLevel="0" collapsed="false">
      <c r="B168" s="1" t="s">
        <v>292</v>
      </c>
      <c r="F168" s="57" t="s">
        <v>290</v>
      </c>
      <c r="G168" s="58" t="n">
        <v>1</v>
      </c>
      <c r="H168" s="59" t="n">
        <f aca="false">G168*8/$D$163</f>
        <v>1.33333333333333</v>
      </c>
      <c r="I168" s="1" t="n">
        <v>20.51</v>
      </c>
      <c r="J168" s="30" t="n">
        <f aca="false">H168*I168</f>
        <v>27.3466666666667</v>
      </c>
      <c r="K168" s="1" t="n">
        <v>47</v>
      </c>
    </row>
    <row r="169" customFormat="false" ht="15" hidden="false" customHeight="false" outlineLevel="0" collapsed="false">
      <c r="F169" s="57"/>
      <c r="G169" s="58"/>
      <c r="H169" s="59"/>
      <c r="J169" s="55" t="n">
        <f aca="false">ROUND(SUM(J166:J168),2)</f>
        <v>70.56</v>
      </c>
    </row>
    <row r="170" customFormat="false" ht="15" hidden="false" customHeight="false" outlineLevel="0" collapsed="false">
      <c r="B170" s="56" t="s">
        <v>652</v>
      </c>
      <c r="F170" s="57"/>
      <c r="G170" s="58"/>
      <c r="H170" s="30"/>
      <c r="J170" s="30"/>
    </row>
    <row r="171" customFormat="false" ht="15" hidden="false" customHeight="false" outlineLevel="0" collapsed="false">
      <c r="B171" s="1" t="s">
        <v>1042</v>
      </c>
      <c r="F171" s="57" t="s">
        <v>148</v>
      </c>
      <c r="H171" s="30" t="n">
        <v>1</v>
      </c>
      <c r="I171" s="65" t="n">
        <v>141.65</v>
      </c>
      <c r="J171" s="30" t="n">
        <f aca="false">H171*I171</f>
        <v>141.65</v>
      </c>
      <c r="K171" s="1" t="n">
        <v>10</v>
      </c>
    </row>
    <row r="172" customFormat="false" ht="15" hidden="false" customHeight="false" outlineLevel="0" collapsed="false">
      <c r="F172" s="57"/>
      <c r="H172" s="30"/>
      <c r="I172" s="30"/>
      <c r="J172" s="55" t="n">
        <f aca="false">ROUND(SUM(J171:J171),2)</f>
        <v>141.65</v>
      </c>
    </row>
    <row r="173" customFormat="false" ht="15" hidden="false" customHeight="false" outlineLevel="0" collapsed="false">
      <c r="B173" s="56" t="s">
        <v>308</v>
      </c>
    </row>
    <row r="174" customFormat="false" ht="15" hidden="false" customHeight="false" outlineLevel="0" collapsed="false">
      <c r="B174" s="1" t="s">
        <v>309</v>
      </c>
      <c r="F174" s="57" t="s">
        <v>310</v>
      </c>
      <c r="H174" s="59" t="n">
        <v>3</v>
      </c>
      <c r="I174" s="30" t="n">
        <f aca="false">J169</f>
        <v>70.56</v>
      </c>
      <c r="J174" s="30" t="n">
        <f aca="false">H174%*I174</f>
        <v>2.1168</v>
      </c>
      <c r="K174" s="1" t="n">
        <v>37</v>
      </c>
    </row>
    <row r="175" customFormat="false" ht="15" hidden="false" customHeight="false" outlineLevel="0" collapsed="false">
      <c r="A175" s="62"/>
      <c r="B175" s="62"/>
      <c r="C175" s="62"/>
      <c r="D175" s="62"/>
      <c r="E175" s="62"/>
      <c r="F175" s="62"/>
      <c r="G175" s="62"/>
      <c r="H175" s="62"/>
      <c r="I175" s="83"/>
      <c r="J175" s="63" t="n">
        <f aca="false">ROUND(SUM(J174:J174),2)</f>
        <v>2.12</v>
      </c>
    </row>
    <row r="177" customFormat="false" ht="15" hidden="false" customHeight="false" outlineLevel="0" collapsed="false">
      <c r="A177" s="14" t="s">
        <v>276</v>
      </c>
      <c r="B177" s="14" t="str">
        <f aca="false">SANITARIAS!A25</f>
        <v>04.08.02</v>
      </c>
      <c r="C177" s="14" t="s">
        <v>1011</v>
      </c>
      <c r="D177" s="14"/>
    </row>
    <row r="178" customFormat="false" ht="15" hidden="false" customHeight="false" outlineLevel="0" collapsed="false">
      <c r="A178" s="14" t="s">
        <v>277</v>
      </c>
      <c r="B178" s="14" t="s">
        <v>325</v>
      </c>
      <c r="C178" s="38" t="s">
        <v>279</v>
      </c>
      <c r="D178" s="54" t="n">
        <v>8</v>
      </c>
      <c r="E178" s="38" t="s">
        <v>280</v>
      </c>
      <c r="F178" s="54" t="n">
        <f aca="false">D178</f>
        <v>8</v>
      </c>
      <c r="G178" s="14" t="s">
        <v>281</v>
      </c>
      <c r="I178" s="38" t="s">
        <v>148</v>
      </c>
      <c r="J178" s="55" t="n">
        <f aca="false">J184+J189+J192</f>
        <v>103.69</v>
      </c>
    </row>
    <row r="179" customFormat="false" ht="15" hidden="false" customHeight="false" outlineLevel="0" collapsed="false">
      <c r="A179" s="14" t="s">
        <v>282</v>
      </c>
      <c r="B179" s="14" t="s">
        <v>283</v>
      </c>
      <c r="F179" s="38" t="s">
        <v>121</v>
      </c>
      <c r="G179" s="38" t="s">
        <v>284</v>
      </c>
      <c r="H179" s="38" t="s">
        <v>285</v>
      </c>
      <c r="I179" s="38" t="s">
        <v>286</v>
      </c>
      <c r="J179" s="38" t="s">
        <v>287</v>
      </c>
    </row>
    <row r="180" customFormat="false" ht="15" hidden="false" customHeight="false" outlineLevel="0" collapsed="false">
      <c r="B180" s="56" t="s">
        <v>288</v>
      </c>
    </row>
    <row r="181" customFormat="false" ht="15" hidden="false" customHeight="false" outlineLevel="0" collapsed="false">
      <c r="B181" s="1" t="s">
        <v>649</v>
      </c>
      <c r="F181" s="57" t="s">
        <v>290</v>
      </c>
      <c r="G181" s="58" t="n">
        <v>0.1</v>
      </c>
      <c r="H181" s="59" t="n">
        <f aca="false">G181*8/$D$178</f>
        <v>0.1</v>
      </c>
      <c r="I181" s="30" t="n">
        <v>34.73</v>
      </c>
      <c r="J181" s="30" t="n">
        <f aca="false">H181*I181</f>
        <v>3.473</v>
      </c>
      <c r="K181" s="1" t="n">
        <v>47</v>
      </c>
    </row>
    <row r="182" customFormat="false" ht="15" hidden="false" customHeight="false" outlineLevel="0" collapsed="false">
      <c r="B182" s="1" t="s">
        <v>289</v>
      </c>
      <c r="F182" s="57" t="s">
        <v>290</v>
      </c>
      <c r="G182" s="58" t="n">
        <v>1</v>
      </c>
      <c r="H182" s="59" t="n">
        <f aca="false">G182*8/$D$178</f>
        <v>1</v>
      </c>
      <c r="I182" s="30" t="n">
        <v>28.94</v>
      </c>
      <c r="J182" s="30" t="n">
        <f aca="false">H182*I182</f>
        <v>28.94</v>
      </c>
      <c r="K182" s="1" t="n">
        <v>47</v>
      </c>
    </row>
    <row r="183" customFormat="false" ht="15" hidden="false" customHeight="false" outlineLevel="0" collapsed="false">
      <c r="B183" s="1" t="s">
        <v>292</v>
      </c>
      <c r="F183" s="57" t="s">
        <v>290</v>
      </c>
      <c r="G183" s="58" t="n">
        <v>1</v>
      </c>
      <c r="H183" s="59" t="n">
        <f aca="false">G183*8/$D$178</f>
        <v>1</v>
      </c>
      <c r="I183" s="1" t="n">
        <v>20.51</v>
      </c>
      <c r="J183" s="30" t="n">
        <f aca="false">H183*I183</f>
        <v>20.51</v>
      </c>
      <c r="K183" s="1" t="n">
        <v>47</v>
      </c>
    </row>
    <row r="184" customFormat="false" ht="15" hidden="false" customHeight="false" outlineLevel="0" collapsed="false">
      <c r="F184" s="57"/>
      <c r="G184" s="58"/>
      <c r="H184" s="59"/>
      <c r="J184" s="55" t="n">
        <f aca="false">ROUND(SUM(J181:J183),2)</f>
        <v>52.92</v>
      </c>
    </row>
    <row r="185" customFormat="false" ht="15" hidden="false" customHeight="false" outlineLevel="0" collapsed="false">
      <c r="B185" s="56" t="s">
        <v>652</v>
      </c>
      <c r="F185" s="57"/>
      <c r="G185" s="58"/>
      <c r="H185" s="30"/>
      <c r="J185" s="30"/>
    </row>
    <row r="186" customFormat="false" ht="15" hidden="false" customHeight="false" outlineLevel="0" collapsed="false">
      <c r="B186" s="1" t="s">
        <v>1043</v>
      </c>
      <c r="F186" s="57" t="s">
        <v>148</v>
      </c>
      <c r="H186" s="30" t="n">
        <v>1</v>
      </c>
      <c r="I186" s="65" t="n">
        <v>18.0125078912685</v>
      </c>
      <c r="J186" s="30" t="n">
        <f aca="false">H186*I186</f>
        <v>18.0125078912685</v>
      </c>
      <c r="K186" s="1" t="n">
        <v>10</v>
      </c>
    </row>
    <row r="187" customFormat="false" ht="15" hidden="false" customHeight="false" outlineLevel="0" collapsed="false">
      <c r="B187" s="1" t="s">
        <v>1044</v>
      </c>
      <c r="F187" s="57" t="s">
        <v>306</v>
      </c>
      <c r="H187" s="30" t="n">
        <v>1</v>
      </c>
      <c r="I187" s="65" t="n">
        <v>23.76798378552</v>
      </c>
      <c r="J187" s="30" t="n">
        <f aca="false">H187*I187</f>
        <v>23.76798378552</v>
      </c>
      <c r="K187" s="1" t="n">
        <v>30</v>
      </c>
    </row>
    <row r="188" customFormat="false" ht="15" hidden="false" customHeight="false" outlineLevel="0" collapsed="false">
      <c r="B188" s="1" t="s">
        <v>912</v>
      </c>
      <c r="F188" s="57" t="s">
        <v>295</v>
      </c>
      <c r="H188" s="30" t="n">
        <v>1</v>
      </c>
      <c r="I188" s="65" t="n">
        <v>7.4</v>
      </c>
      <c r="J188" s="30" t="n">
        <f aca="false">H188*I188</f>
        <v>7.4</v>
      </c>
      <c r="K188" s="1" t="n">
        <v>30</v>
      </c>
    </row>
    <row r="189" customFormat="false" ht="15" hidden="false" customHeight="false" outlineLevel="0" collapsed="false">
      <c r="F189" s="57"/>
      <c r="H189" s="30"/>
      <c r="I189" s="30"/>
      <c r="J189" s="55" t="n">
        <f aca="false">ROUND(SUM(J186:J188),2)</f>
        <v>49.18</v>
      </c>
    </row>
    <row r="190" customFormat="false" ht="15" hidden="false" customHeight="false" outlineLevel="0" collapsed="false">
      <c r="B190" s="56" t="s">
        <v>308</v>
      </c>
    </row>
    <row r="191" customFormat="false" ht="15" hidden="false" customHeight="false" outlineLevel="0" collapsed="false">
      <c r="B191" s="1" t="s">
        <v>309</v>
      </c>
      <c r="F191" s="57" t="s">
        <v>310</v>
      </c>
      <c r="H191" s="59" t="n">
        <v>3</v>
      </c>
      <c r="I191" s="30" t="n">
        <f aca="false">J184</f>
        <v>52.92</v>
      </c>
      <c r="J191" s="30" t="n">
        <f aca="false">H191%*I191</f>
        <v>1.5876</v>
      </c>
      <c r="K191" s="1" t="n">
        <v>37</v>
      </c>
    </row>
    <row r="192" customFormat="false" ht="15" hidden="false" customHeight="false" outlineLevel="0" collapsed="false">
      <c r="A192" s="62"/>
      <c r="B192" s="62"/>
      <c r="C192" s="62"/>
      <c r="D192" s="62"/>
      <c r="E192" s="62"/>
      <c r="F192" s="62"/>
      <c r="G192" s="62"/>
      <c r="H192" s="62"/>
      <c r="I192" s="83"/>
      <c r="J192" s="63" t="n">
        <f aca="false">ROUND(SUM(J191:J191),2)</f>
        <v>1.59</v>
      </c>
    </row>
    <row r="194" customFormat="false" ht="15" hidden="false" customHeight="false" outlineLevel="0" collapsed="false">
      <c r="A194" s="14" t="s">
        <v>276</v>
      </c>
      <c r="B194" s="14" t="str">
        <f aca="false">SANITARIAS!A27</f>
        <v>04.09.01</v>
      </c>
      <c r="C194" s="14" t="s">
        <v>1045</v>
      </c>
      <c r="D194" s="14"/>
      <c r="E194" s="14"/>
      <c r="F194" s="14"/>
      <c r="G194" s="14"/>
      <c r="H194" s="14"/>
      <c r="I194" s="14"/>
    </row>
    <row r="195" customFormat="false" ht="15" hidden="false" customHeight="false" outlineLevel="0" collapsed="false">
      <c r="A195" s="14" t="s">
        <v>277</v>
      </c>
      <c r="B195" s="14" t="s">
        <v>331</v>
      </c>
      <c r="C195" s="38" t="s">
        <v>279</v>
      </c>
      <c r="D195" s="54" t="n">
        <v>1</v>
      </c>
      <c r="E195" s="38" t="s">
        <v>280</v>
      </c>
      <c r="F195" s="54" t="n">
        <f aca="false">D195</f>
        <v>1</v>
      </c>
      <c r="G195" s="14" t="s">
        <v>281</v>
      </c>
      <c r="I195" s="38" t="s">
        <v>153</v>
      </c>
      <c r="J195" s="55" t="n">
        <f aca="false">J199</f>
        <v>79716.91</v>
      </c>
    </row>
    <row r="196" customFormat="false" ht="15" hidden="false" customHeight="false" outlineLevel="0" collapsed="false">
      <c r="A196" s="14" t="s">
        <v>282</v>
      </c>
      <c r="B196" s="14" t="s">
        <v>283</v>
      </c>
      <c r="F196" s="38" t="s">
        <v>121</v>
      </c>
      <c r="G196" s="38" t="s">
        <v>284</v>
      </c>
      <c r="H196" s="38" t="s">
        <v>285</v>
      </c>
      <c r="I196" s="38" t="s">
        <v>286</v>
      </c>
      <c r="J196" s="38" t="s">
        <v>287</v>
      </c>
    </row>
    <row r="197" customFormat="false" ht="15" hidden="false" customHeight="false" outlineLevel="0" collapsed="false">
      <c r="B197" s="56" t="s">
        <v>293</v>
      </c>
    </row>
    <row r="198" customFormat="false" ht="15" hidden="false" customHeight="false" outlineLevel="0" collapsed="false">
      <c r="B198" s="1" t="s">
        <v>1045</v>
      </c>
      <c r="F198" s="57" t="s">
        <v>153</v>
      </c>
      <c r="G198" s="58"/>
      <c r="H198" s="59" t="n">
        <v>1</v>
      </c>
      <c r="I198" s="65" t="n">
        <v>79716.91</v>
      </c>
      <c r="J198" s="30" t="n">
        <f aca="false">H198*I198</f>
        <v>79716.91</v>
      </c>
      <c r="K198" s="1" t="n">
        <v>39</v>
      </c>
    </row>
    <row r="199" customFormat="false" ht="15" hidden="false" customHeight="false" outlineLevel="0" collapsed="false">
      <c r="A199" s="62"/>
      <c r="B199" s="62"/>
      <c r="C199" s="62"/>
      <c r="D199" s="62"/>
      <c r="E199" s="62"/>
      <c r="F199" s="62"/>
      <c r="G199" s="62"/>
      <c r="H199" s="62"/>
      <c r="I199" s="62"/>
      <c r="J199" s="63" t="n">
        <f aca="false">ROUND(SUM(J198),2)</f>
        <v>79716.91</v>
      </c>
    </row>
    <row r="201" customFormat="false" ht="15" hidden="false" customHeight="false" outlineLevel="0" collapsed="false">
      <c r="A201" s="14" t="s">
        <v>276</v>
      </c>
      <c r="B201" s="14" t="str">
        <f aca="false">SANITARIAS!A28</f>
        <v>04.09.02</v>
      </c>
      <c r="C201" s="14" t="s">
        <v>1046</v>
      </c>
      <c r="D201" s="14"/>
      <c r="E201" s="14"/>
      <c r="F201" s="14"/>
      <c r="G201" s="14"/>
      <c r="H201" s="14"/>
      <c r="I201" s="14"/>
    </row>
    <row r="202" customFormat="false" ht="15" hidden="false" customHeight="false" outlineLevel="0" collapsed="false">
      <c r="A202" s="14" t="s">
        <v>277</v>
      </c>
      <c r="B202" s="14" t="s">
        <v>331</v>
      </c>
      <c r="C202" s="38" t="s">
        <v>279</v>
      </c>
      <c r="D202" s="54" t="n">
        <v>1</v>
      </c>
      <c r="E202" s="38" t="s">
        <v>280</v>
      </c>
      <c r="F202" s="54" t="n">
        <f aca="false">D202</f>
        <v>1</v>
      </c>
      <c r="G202" s="14" t="s">
        <v>281</v>
      </c>
      <c r="I202" s="38" t="s">
        <v>153</v>
      </c>
      <c r="J202" s="55" t="n">
        <f aca="false">J206</f>
        <v>131735.24</v>
      </c>
    </row>
    <row r="203" customFormat="false" ht="15" hidden="false" customHeight="false" outlineLevel="0" collapsed="false">
      <c r="A203" s="14" t="s">
        <v>282</v>
      </c>
      <c r="B203" s="14" t="s">
        <v>283</v>
      </c>
      <c r="F203" s="38" t="s">
        <v>121</v>
      </c>
      <c r="G203" s="38" t="s">
        <v>284</v>
      </c>
      <c r="H203" s="38" t="s">
        <v>285</v>
      </c>
      <c r="I203" s="38" t="s">
        <v>286</v>
      </c>
      <c r="J203" s="38" t="s">
        <v>287</v>
      </c>
      <c r="N203" s="30"/>
    </row>
    <row r="204" customFormat="false" ht="15" hidden="false" customHeight="false" outlineLevel="0" collapsed="false">
      <c r="B204" s="56" t="s">
        <v>293</v>
      </c>
      <c r="N204" s="30"/>
    </row>
    <row r="205" customFormat="false" ht="15" hidden="false" customHeight="false" outlineLevel="0" collapsed="false">
      <c r="B205" s="1" t="s">
        <v>1046</v>
      </c>
      <c r="F205" s="57" t="s">
        <v>153</v>
      </c>
      <c r="G205" s="58"/>
      <c r="H205" s="59" t="n">
        <v>1</v>
      </c>
      <c r="I205" s="65" t="n">
        <v>131735.24</v>
      </c>
      <c r="J205" s="30" t="n">
        <f aca="false">H205*I205</f>
        <v>131735.24</v>
      </c>
      <c r="K205" s="1" t="n">
        <v>72</v>
      </c>
      <c r="N205" s="30"/>
    </row>
    <row r="206" customFormat="false" ht="15" hidden="false" customHeight="false" outlineLevel="0" collapsed="false">
      <c r="A206" s="62"/>
      <c r="B206" s="62"/>
      <c r="C206" s="62"/>
      <c r="D206" s="62"/>
      <c r="E206" s="62"/>
      <c r="F206" s="62"/>
      <c r="G206" s="62"/>
      <c r="H206" s="62"/>
      <c r="I206" s="62"/>
      <c r="J206" s="63" t="n">
        <f aca="false">ROUND(SUM(J205),2)</f>
        <v>131735.24</v>
      </c>
      <c r="N206" s="14"/>
    </row>
    <row r="207" customFormat="false" ht="15" hidden="false" customHeight="false" outlineLevel="0" collapsed="false">
      <c r="N207" s="14"/>
    </row>
    <row r="208" customFormat="false" ht="15" hidden="false" customHeight="false" outlineLevel="0" collapsed="false">
      <c r="A208" s="14" t="s">
        <v>276</v>
      </c>
      <c r="B208" s="14" t="str">
        <f aca="false">SANITARIAS!A29</f>
        <v>04.09.03</v>
      </c>
      <c r="C208" s="14" t="s">
        <v>114</v>
      </c>
      <c r="D208" s="14"/>
      <c r="E208" s="14"/>
      <c r="F208" s="14"/>
      <c r="G208" s="14"/>
      <c r="H208" s="14"/>
      <c r="I208" s="14"/>
      <c r="M208" s="14"/>
      <c r="N208" s="14"/>
    </row>
    <row r="209" customFormat="false" ht="15" hidden="false" customHeight="false" outlineLevel="0" collapsed="false">
      <c r="A209" s="14" t="s">
        <v>277</v>
      </c>
      <c r="B209" s="14" t="s">
        <v>331</v>
      </c>
      <c r="C209" s="38" t="s">
        <v>279</v>
      </c>
      <c r="D209" s="54" t="n">
        <v>1</v>
      </c>
      <c r="E209" s="38" t="s">
        <v>280</v>
      </c>
      <c r="F209" s="54" t="n">
        <f aca="false">D209</f>
        <v>1</v>
      </c>
      <c r="G209" s="14" t="s">
        <v>281</v>
      </c>
      <c r="I209" s="38" t="s">
        <v>153</v>
      </c>
      <c r="J209" s="55" t="n">
        <f aca="false">J213</f>
        <v>170038</v>
      </c>
      <c r="N209" s="14"/>
    </row>
    <row r="210" customFormat="false" ht="15" hidden="false" customHeight="false" outlineLevel="0" collapsed="false">
      <c r="A210" s="14" t="s">
        <v>282</v>
      </c>
      <c r="B210" s="14" t="s">
        <v>283</v>
      </c>
      <c r="F210" s="38" t="s">
        <v>121</v>
      </c>
      <c r="G210" s="38" t="s">
        <v>284</v>
      </c>
      <c r="H210" s="38" t="s">
        <v>285</v>
      </c>
      <c r="I210" s="38" t="s">
        <v>286</v>
      </c>
      <c r="J210" s="38" t="s">
        <v>287</v>
      </c>
      <c r="M210" s="14"/>
      <c r="N210" s="14"/>
    </row>
    <row r="211" customFormat="false" ht="15" hidden="false" customHeight="false" outlineLevel="0" collapsed="false">
      <c r="B211" s="56" t="s">
        <v>293</v>
      </c>
      <c r="N211" s="14"/>
    </row>
    <row r="212" customFormat="false" ht="15" hidden="false" customHeight="false" outlineLevel="0" collapsed="false">
      <c r="B212" s="1" t="s">
        <v>114</v>
      </c>
      <c r="F212" s="57" t="s">
        <v>153</v>
      </c>
      <c r="G212" s="58"/>
      <c r="H212" s="59" t="n">
        <v>1</v>
      </c>
      <c r="I212" s="65" t="n">
        <v>170038</v>
      </c>
      <c r="J212" s="30" t="n">
        <f aca="false">H212*I212</f>
        <v>170038</v>
      </c>
      <c r="K212" s="1" t="n">
        <v>72</v>
      </c>
      <c r="N212" s="14"/>
    </row>
    <row r="213" customFormat="false" ht="15" hidden="false" customHeight="false" outlineLevel="0" collapsed="false">
      <c r="A213" s="62"/>
      <c r="B213" s="62"/>
      <c r="C213" s="62"/>
      <c r="D213" s="62"/>
      <c r="E213" s="62"/>
      <c r="F213" s="62"/>
      <c r="G213" s="62"/>
      <c r="H213" s="62"/>
      <c r="I213" s="62"/>
      <c r="J213" s="63" t="n">
        <f aca="false">ROUND(SUM(J212),2)</f>
        <v>170038</v>
      </c>
      <c r="M213" s="14"/>
      <c r="N213" s="14"/>
    </row>
    <row r="214" customFormat="false" ht="15" hidden="false" customHeight="false" outlineLevel="0" collapsed="false">
      <c r="N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4"/>
      <c r="G215" s="14"/>
      <c r="H215" s="14"/>
      <c r="I215" s="14"/>
      <c r="N215" s="14"/>
    </row>
    <row r="216" customFormat="false" ht="15" hidden="false" customHeight="false" outlineLevel="0" collapsed="false">
      <c r="A216" s="14"/>
      <c r="B216" s="14"/>
      <c r="C216" s="38"/>
      <c r="D216" s="54"/>
      <c r="E216" s="38"/>
      <c r="F216" s="54"/>
      <c r="G216" s="14"/>
      <c r="I216" s="38"/>
      <c r="J216" s="55"/>
      <c r="N216" s="14"/>
      <c r="O216" s="30"/>
    </row>
    <row r="217" customFormat="false" ht="15" hidden="false" customHeight="false" outlineLevel="0" collapsed="false">
      <c r="A217" s="14"/>
      <c r="B217" s="14"/>
      <c r="F217" s="38"/>
      <c r="G217" s="38"/>
      <c r="H217" s="38"/>
      <c r="I217" s="38"/>
      <c r="J217" s="38"/>
    </row>
    <row r="218" customFormat="false" ht="15" hidden="false" customHeight="false" outlineLevel="0" collapsed="false">
      <c r="B218" s="56"/>
    </row>
    <row r="219" customFormat="false" ht="15" hidden="false" customHeight="false" outlineLevel="0" collapsed="false">
      <c r="F219" s="57"/>
      <c r="G219" s="58"/>
      <c r="H219" s="59"/>
      <c r="J219" s="30"/>
    </row>
    <row r="220" customFormat="false" ht="15" hidden="false" customHeight="false" outlineLevel="0" collapsed="false">
      <c r="J220" s="55"/>
    </row>
    <row r="221" customFormat="false" ht="15" hidden="false" customHeight="false" outlineLevel="0" collapsed="false">
      <c r="F221" s="57"/>
      <c r="G221" s="58"/>
      <c r="H221" s="59"/>
      <c r="J221" s="30"/>
    </row>
    <row r="222" customFormat="false" ht="15" hidden="false" customHeight="false" outlineLevel="0" collapsed="false">
      <c r="J222" s="55"/>
    </row>
    <row r="223" customFormat="false" ht="15" hidden="false" customHeight="false" outlineLevel="0" collapsed="false">
      <c r="B223" s="56"/>
      <c r="F223" s="57"/>
      <c r="G223" s="58"/>
      <c r="H223" s="59"/>
      <c r="J223" s="30"/>
    </row>
    <row r="224" customFormat="false" ht="15" hidden="false" customHeight="false" outlineLevel="0" collapsed="false">
      <c r="F224" s="57"/>
      <c r="H224" s="59"/>
      <c r="J224" s="30"/>
    </row>
    <row r="225" customFormat="false" ht="15" hidden="false" customHeight="false" outlineLevel="0" collapsed="false">
      <c r="F225" s="57"/>
      <c r="H225" s="59"/>
      <c r="J225" s="30"/>
    </row>
    <row r="226" customFormat="false" ht="15" hidden="false" customHeight="false" outlineLevel="0" collapsed="false">
      <c r="F226" s="57"/>
      <c r="H226" s="59"/>
      <c r="J226" s="30"/>
    </row>
    <row r="227" customFormat="false" ht="15" hidden="false" customHeight="false" outlineLevel="0" collapsed="false">
      <c r="F227" s="57"/>
      <c r="H227" s="59"/>
      <c r="J227" s="30"/>
    </row>
    <row r="228" customFormat="false" ht="15" hidden="false" customHeight="false" outlineLevel="0" collapsed="false">
      <c r="F228" s="57"/>
      <c r="H228" s="59"/>
      <c r="J228" s="30"/>
    </row>
    <row r="229" customFormat="false" ht="15" hidden="false" customHeight="false" outlineLevel="0" collapsed="false">
      <c r="F229" s="57"/>
      <c r="H229" s="59"/>
      <c r="J229" s="30"/>
    </row>
    <row r="230" customFormat="false" ht="15" hidden="false" customHeight="false" outlineLevel="0" collapsed="false">
      <c r="F230" s="57"/>
      <c r="J230" s="30"/>
    </row>
    <row r="231" customFormat="false" ht="15" hidden="false" customHeight="false" outlineLevel="0" collapsed="false">
      <c r="F231" s="57"/>
      <c r="H231" s="59"/>
      <c r="J231" s="30"/>
    </row>
    <row r="232" customFormat="false" ht="15" hidden="false" customHeight="false" outlineLevel="0" collapsed="false">
      <c r="J232" s="55"/>
    </row>
    <row r="233" customFormat="false" ht="15" hidden="false" customHeight="false" outlineLevel="0" collapsed="false">
      <c r="B233" s="56"/>
    </row>
    <row r="234" customFormat="false" ht="15" hidden="false" customHeight="false" outlineLevel="0" collapsed="false">
      <c r="F234" s="57"/>
      <c r="H234" s="59"/>
      <c r="I234" s="30"/>
      <c r="J234" s="30"/>
    </row>
    <row r="235" customFormat="false" ht="15" hidden="false" customHeight="false" outlineLevel="0" collapsed="false">
      <c r="I235" s="14"/>
      <c r="J235" s="55"/>
    </row>
    <row r="237" customFormat="false" ht="15" hidden="false" customHeight="false" outlineLevel="0" collapsed="false">
      <c r="A237" s="14"/>
      <c r="B237" s="14"/>
      <c r="C237" s="14"/>
      <c r="D237" s="14"/>
    </row>
    <row r="238" customFormat="false" ht="15" hidden="false" customHeight="false" outlineLevel="0" collapsed="false">
      <c r="A238" s="14"/>
      <c r="B238" s="14"/>
      <c r="C238" s="38"/>
      <c r="D238" s="54"/>
      <c r="E238" s="38"/>
      <c r="F238" s="54"/>
      <c r="G238" s="14"/>
      <c r="I238" s="38"/>
      <c r="J238" s="55"/>
    </row>
    <row r="239" customFormat="false" ht="15" hidden="false" customHeight="false" outlineLevel="0" collapsed="false">
      <c r="A239" s="14"/>
      <c r="B239" s="14"/>
      <c r="F239" s="38"/>
      <c r="G239" s="38"/>
      <c r="H239" s="38"/>
      <c r="I239" s="38"/>
      <c r="J239" s="38"/>
    </row>
    <row r="240" customFormat="false" ht="15" hidden="false" customHeight="false" outlineLevel="0" collapsed="false">
      <c r="B240" s="56"/>
    </row>
    <row r="241" customFormat="false" ht="15" hidden="false" customHeight="false" outlineLevel="0" collapsed="false">
      <c r="F241" s="57"/>
      <c r="G241" s="58"/>
      <c r="H241" s="59"/>
      <c r="I241" s="30"/>
      <c r="J241" s="30"/>
    </row>
    <row r="242" customFormat="false" ht="15" hidden="false" customHeight="false" outlineLevel="0" collapsed="false">
      <c r="F242" s="57"/>
      <c r="G242" s="58"/>
      <c r="H242" s="59"/>
      <c r="J242" s="30"/>
    </row>
    <row r="243" customFormat="false" ht="15" hidden="false" customHeight="false" outlineLevel="0" collapsed="false">
      <c r="J243" s="55"/>
    </row>
    <row r="244" customFormat="false" ht="15" hidden="false" customHeight="false" outlineLevel="0" collapsed="false">
      <c r="B244" s="56"/>
      <c r="F244" s="57"/>
      <c r="G244" s="58"/>
      <c r="H244" s="59"/>
      <c r="J244" s="30"/>
    </row>
    <row r="245" customFormat="false" ht="15" hidden="false" customHeight="false" outlineLevel="0" collapsed="false">
      <c r="F245" s="57"/>
      <c r="H245" s="59"/>
      <c r="J245" s="30"/>
    </row>
    <row r="246" customFormat="false" ht="15" hidden="false" customHeight="false" outlineLevel="0" collapsed="false">
      <c r="F246" s="57"/>
      <c r="H246" s="59"/>
      <c r="J246" s="30"/>
    </row>
    <row r="247" customFormat="false" ht="15" hidden="false" customHeight="false" outlineLevel="0" collapsed="false">
      <c r="F247" s="57"/>
      <c r="H247" s="59"/>
      <c r="J247" s="30"/>
    </row>
    <row r="248" customFormat="false" ht="15" hidden="false" customHeight="false" outlineLevel="0" collapsed="false">
      <c r="F248" s="57"/>
      <c r="H248" s="59"/>
      <c r="J248" s="30"/>
    </row>
    <row r="249" customFormat="false" ht="15" hidden="false" customHeight="false" outlineLevel="0" collapsed="false">
      <c r="F249" s="57"/>
      <c r="J249" s="30"/>
    </row>
    <row r="250" customFormat="false" ht="15" hidden="false" customHeight="false" outlineLevel="0" collapsed="false">
      <c r="F250" s="57"/>
      <c r="H250" s="59"/>
      <c r="J250" s="55"/>
    </row>
    <row r="251" customFormat="false" ht="15" hidden="false" customHeight="false" outlineLevel="0" collapsed="false">
      <c r="B251" s="56"/>
    </row>
    <row r="252" customFormat="false" ht="15" hidden="false" customHeight="false" outlineLevel="0" collapsed="false">
      <c r="F252" s="57"/>
      <c r="H252" s="59"/>
      <c r="I252" s="30"/>
      <c r="J252" s="30"/>
    </row>
    <row r="253" customFormat="false" ht="15" hidden="false" customHeight="false" outlineLevel="0" collapsed="false">
      <c r="I253" s="14"/>
      <c r="J253" s="55"/>
    </row>
    <row r="254" customFormat="false" ht="15" hidden="false" customHeight="false" outlineLevel="0" collapsed="false">
      <c r="I254" s="14"/>
      <c r="J254" s="55"/>
    </row>
    <row r="255" customFormat="false" ht="15" hidden="false" customHeight="false" outlineLevel="0" collapsed="false">
      <c r="A255" s="14"/>
      <c r="B255" s="14"/>
      <c r="C255" s="14"/>
      <c r="D255" s="14"/>
    </row>
    <row r="256" customFormat="false" ht="15" hidden="false" customHeight="false" outlineLevel="0" collapsed="false">
      <c r="A256" s="14"/>
      <c r="B256" s="14"/>
      <c r="C256" s="38"/>
      <c r="D256" s="54"/>
      <c r="E256" s="38"/>
      <c r="F256" s="54"/>
      <c r="G256" s="14"/>
      <c r="I256" s="38"/>
      <c r="J256" s="55"/>
    </row>
    <row r="257" customFormat="false" ht="15" hidden="false" customHeight="false" outlineLevel="0" collapsed="false">
      <c r="A257" s="14"/>
      <c r="B257" s="14"/>
      <c r="F257" s="38"/>
      <c r="G257" s="38"/>
      <c r="H257" s="38"/>
      <c r="I257" s="38"/>
      <c r="J257" s="38"/>
    </row>
    <row r="258" customFormat="false" ht="15" hidden="false" customHeight="false" outlineLevel="0" collapsed="false">
      <c r="B258" s="56"/>
    </row>
    <row r="259" customFormat="false" ht="15" hidden="false" customHeight="false" outlineLevel="0" collapsed="false">
      <c r="F259" s="57"/>
      <c r="G259" s="58"/>
      <c r="H259" s="59"/>
      <c r="J259" s="30"/>
    </row>
    <row r="260" customFormat="false" ht="15" hidden="false" customHeight="false" outlineLevel="0" collapsed="false">
      <c r="F260" s="57"/>
      <c r="G260" s="58"/>
      <c r="H260" s="59"/>
      <c r="J260" s="55"/>
    </row>
    <row r="263" customFormat="false" ht="15" hidden="false" customHeight="false" outlineLevel="0" collapsed="false">
      <c r="A263" s="14"/>
      <c r="B263" s="14"/>
      <c r="C263" s="14"/>
      <c r="D263" s="14"/>
    </row>
    <row r="264" customFormat="false" ht="15" hidden="false" customHeight="false" outlineLevel="0" collapsed="false">
      <c r="A264" s="14"/>
      <c r="B264" s="14"/>
      <c r="C264" s="38"/>
      <c r="D264" s="54"/>
      <c r="E264" s="38"/>
      <c r="F264" s="54"/>
      <c r="G264" s="14"/>
      <c r="I264" s="38"/>
      <c r="J264" s="55"/>
    </row>
    <row r="265" customFormat="false" ht="15" hidden="false" customHeight="false" outlineLevel="0" collapsed="false">
      <c r="A265" s="14"/>
      <c r="B265" s="14"/>
      <c r="F265" s="38"/>
      <c r="G265" s="38"/>
      <c r="H265" s="38"/>
      <c r="I265" s="38"/>
      <c r="J265" s="38"/>
    </row>
    <row r="266" customFormat="false" ht="15" hidden="false" customHeight="false" outlineLevel="0" collapsed="false">
      <c r="B266" s="56"/>
      <c r="T266" s="30"/>
    </row>
    <row r="267" customFormat="false" ht="15" hidden="false" customHeight="false" outlineLevel="0" collapsed="false">
      <c r="F267" s="57"/>
      <c r="G267" s="58"/>
      <c r="H267" s="59"/>
      <c r="I267" s="30"/>
      <c r="J267" s="30"/>
      <c r="T267" s="30"/>
    </row>
    <row r="268" customFormat="false" ht="15" hidden="false" customHeight="false" outlineLevel="0" collapsed="false">
      <c r="F268" s="57"/>
      <c r="G268" s="58"/>
      <c r="H268" s="59"/>
      <c r="J268" s="30"/>
    </row>
    <row r="269" customFormat="false" ht="15" hidden="false" customHeight="false" outlineLevel="0" collapsed="false">
      <c r="J269" s="55"/>
      <c r="T269" s="30"/>
    </row>
    <row r="270" customFormat="false" ht="15" hidden="false" customHeight="false" outlineLevel="0" collapsed="false">
      <c r="B270" s="56"/>
      <c r="F270" s="57"/>
      <c r="G270" s="58"/>
      <c r="H270" s="59"/>
      <c r="J270" s="30"/>
      <c r="S270" s="137"/>
    </row>
    <row r="271" customFormat="false" ht="15" hidden="false" customHeight="false" outlineLevel="0" collapsed="false">
      <c r="F271" s="57"/>
      <c r="G271" s="58"/>
      <c r="H271" s="59"/>
      <c r="J271" s="30"/>
    </row>
    <row r="272" customFormat="false" ht="15" hidden="false" customHeight="false" outlineLevel="0" collapsed="false">
      <c r="F272" s="57"/>
      <c r="J272" s="55"/>
    </row>
    <row r="273" customFormat="false" ht="15" hidden="false" customHeight="false" outlineLevel="0" collapsed="false">
      <c r="B273" s="56"/>
    </row>
    <row r="274" customFormat="false" ht="15" hidden="false" customHeight="false" outlineLevel="0" collapsed="false">
      <c r="F274" s="57"/>
      <c r="H274" s="59"/>
      <c r="I274" s="30"/>
      <c r="J274" s="30"/>
    </row>
    <row r="275" customFormat="false" ht="15" hidden="false" customHeight="false" outlineLevel="0" collapsed="false">
      <c r="I275" s="14"/>
      <c r="J275" s="55"/>
    </row>
    <row r="277" customFormat="false" ht="15" hidden="false" customHeight="false" outlineLevel="0" collapsed="false">
      <c r="A277" s="14"/>
      <c r="B277" s="14"/>
      <c r="C277" s="14"/>
      <c r="D277" s="14"/>
    </row>
    <row r="278" customFormat="false" ht="15" hidden="false" customHeight="false" outlineLevel="0" collapsed="false">
      <c r="A278" s="14"/>
      <c r="B278" s="14"/>
      <c r="C278" s="38"/>
      <c r="D278" s="54"/>
      <c r="E278" s="38"/>
      <c r="F278" s="54"/>
      <c r="G278" s="14"/>
      <c r="I278" s="38"/>
      <c r="J278" s="55"/>
    </row>
    <row r="279" customFormat="false" ht="15" hidden="false" customHeight="false" outlineLevel="0" collapsed="false">
      <c r="A279" s="14"/>
      <c r="B279" s="14"/>
      <c r="F279" s="38"/>
      <c r="G279" s="38"/>
      <c r="H279" s="38"/>
      <c r="I279" s="38"/>
      <c r="J279" s="38"/>
    </row>
    <row r="280" customFormat="false" ht="15" hidden="false" customHeight="false" outlineLevel="0" collapsed="false">
      <c r="B280" s="56"/>
    </row>
    <row r="281" customFormat="false" ht="15" hidden="false" customHeight="false" outlineLevel="0" collapsed="false">
      <c r="F281" s="57"/>
      <c r="G281" s="58"/>
      <c r="H281" s="59"/>
      <c r="J281" s="30"/>
      <c r="T281" s="137"/>
    </row>
    <row r="282" customFormat="false" ht="15" hidden="false" customHeight="false" outlineLevel="0" collapsed="false">
      <c r="F282" s="57"/>
      <c r="G282" s="58"/>
      <c r="H282" s="59"/>
      <c r="J282" s="30"/>
    </row>
    <row r="283" customFormat="false" ht="15" hidden="false" customHeight="false" outlineLevel="0" collapsed="false">
      <c r="F283" s="57"/>
      <c r="G283" s="58"/>
      <c r="H283" s="59"/>
      <c r="J283" s="30"/>
    </row>
    <row r="284" customFormat="false" ht="15" hidden="false" customHeight="false" outlineLevel="0" collapsed="false">
      <c r="J284" s="55"/>
    </row>
    <row r="285" customFormat="false" ht="15" hidden="false" customHeight="false" outlineLevel="0" collapsed="false">
      <c r="B285" s="56"/>
      <c r="F285" s="57"/>
      <c r="G285" s="58"/>
      <c r="H285" s="59"/>
      <c r="J285" s="30"/>
    </row>
    <row r="286" customFormat="false" ht="15" hidden="false" customHeight="false" outlineLevel="0" collapsed="false">
      <c r="F286" s="57"/>
      <c r="G286" s="58"/>
      <c r="H286" s="59"/>
      <c r="J286" s="30"/>
    </row>
    <row r="287" customFormat="false" ht="15" hidden="false" customHeight="false" outlineLevel="0" collapsed="false">
      <c r="F287" s="57"/>
      <c r="G287" s="58"/>
      <c r="H287" s="59"/>
      <c r="J287" s="30"/>
    </row>
    <row r="288" customFormat="false" ht="15" hidden="false" customHeight="false" outlineLevel="0" collapsed="false">
      <c r="F288" s="57"/>
      <c r="J288" s="30"/>
    </row>
    <row r="289" customFormat="false" ht="15" hidden="false" customHeight="false" outlineLevel="0" collapsed="false">
      <c r="F289" s="57"/>
      <c r="J289" s="55"/>
    </row>
    <row r="290" customFormat="false" ht="15" hidden="false" customHeight="false" outlineLevel="0" collapsed="false">
      <c r="B290" s="56"/>
    </row>
    <row r="291" customFormat="false" ht="15" hidden="false" customHeight="false" outlineLevel="0" collapsed="false">
      <c r="F291" s="57"/>
      <c r="H291" s="59"/>
      <c r="I291" s="30"/>
      <c r="J291" s="30"/>
    </row>
    <row r="292" customFormat="false" ht="15" hidden="false" customHeight="false" outlineLevel="0" collapsed="false">
      <c r="F292" s="57"/>
      <c r="G292" s="58"/>
      <c r="H292" s="59"/>
      <c r="J292" s="30"/>
    </row>
    <row r="293" customFormat="false" ht="15" hidden="false" customHeight="false" outlineLevel="0" collapsed="false">
      <c r="I293" s="14"/>
      <c r="J293" s="55"/>
    </row>
    <row r="294" customFormat="false" ht="15" hidden="false" customHeight="false" outlineLevel="0" collapsed="false">
      <c r="I294" s="14"/>
      <c r="J294" s="55"/>
    </row>
    <row r="295" customFormat="false" ht="15" hidden="false" customHeight="false" outlineLevel="0" collapsed="false">
      <c r="A295" s="14"/>
      <c r="B295" s="14"/>
      <c r="C295" s="14"/>
      <c r="D295" s="14"/>
    </row>
    <row r="296" customFormat="false" ht="15" hidden="false" customHeight="false" outlineLevel="0" collapsed="false">
      <c r="A296" s="14"/>
      <c r="B296" s="14"/>
      <c r="C296" s="38"/>
      <c r="D296" s="54"/>
      <c r="E296" s="38"/>
      <c r="F296" s="54"/>
      <c r="G296" s="14"/>
      <c r="I296" s="38"/>
      <c r="J296" s="55"/>
    </row>
    <row r="297" customFormat="false" ht="15" hidden="false" customHeight="false" outlineLevel="0" collapsed="false">
      <c r="A297" s="14"/>
      <c r="B297" s="14"/>
      <c r="F297" s="38"/>
      <c r="G297" s="38"/>
      <c r="H297" s="38"/>
      <c r="I297" s="38"/>
      <c r="J297" s="38"/>
    </row>
    <row r="298" customFormat="false" ht="15" hidden="false" customHeight="false" outlineLevel="0" collapsed="false">
      <c r="B298" s="56"/>
    </row>
    <row r="299" customFormat="false" ht="15" hidden="false" customHeight="false" outlineLevel="0" collapsed="false">
      <c r="F299" s="57"/>
      <c r="G299" s="58"/>
      <c r="H299" s="59"/>
      <c r="J299" s="30"/>
    </row>
    <row r="300" customFormat="false" ht="15" hidden="false" customHeight="false" outlineLevel="0" collapsed="false">
      <c r="F300" s="57"/>
      <c r="G300" s="58"/>
      <c r="H300" s="59"/>
      <c r="J300" s="55"/>
    </row>
    <row r="301" customFormat="false" ht="15" hidden="false" customHeight="false" outlineLevel="0" collapsed="false">
      <c r="I301" s="14"/>
      <c r="J301" s="55"/>
    </row>
    <row r="302" customFormat="false" ht="15" hidden="false" customHeight="false" outlineLevel="0" collapsed="false">
      <c r="I302" s="14"/>
      <c r="J302" s="55"/>
    </row>
    <row r="303" customFormat="false" ht="15" hidden="false" customHeight="false" outlineLevel="0" collapsed="false">
      <c r="A303" s="14"/>
      <c r="B303" s="14"/>
      <c r="C303" s="14"/>
      <c r="D303" s="14"/>
    </row>
    <row r="304" customFormat="false" ht="15" hidden="false" customHeight="false" outlineLevel="0" collapsed="false">
      <c r="A304" s="14"/>
      <c r="B304" s="14"/>
      <c r="C304" s="38"/>
      <c r="D304" s="54"/>
      <c r="E304" s="38"/>
      <c r="F304" s="54"/>
      <c r="G304" s="14"/>
      <c r="I304" s="38"/>
      <c r="J304" s="55"/>
    </row>
    <row r="305" customFormat="false" ht="15" hidden="false" customHeight="false" outlineLevel="0" collapsed="false">
      <c r="A305" s="14"/>
      <c r="B305" s="14"/>
      <c r="F305" s="38"/>
      <c r="G305" s="38"/>
      <c r="H305" s="38"/>
      <c r="I305" s="38"/>
      <c r="J305" s="38"/>
    </row>
    <row r="306" customFormat="false" ht="15" hidden="false" customHeight="false" outlineLevel="0" collapsed="false">
      <c r="B306" s="56"/>
    </row>
    <row r="307" customFormat="false" ht="15" hidden="false" customHeight="false" outlineLevel="0" collapsed="false">
      <c r="F307" s="57"/>
      <c r="G307" s="58"/>
      <c r="H307" s="59"/>
      <c r="J307" s="30"/>
    </row>
    <row r="308" customFormat="false" ht="15" hidden="false" customHeight="false" outlineLevel="0" collapsed="false">
      <c r="F308" s="57"/>
      <c r="G308" s="58"/>
      <c r="H308" s="59"/>
      <c r="J308" s="30"/>
    </row>
    <row r="309" customFormat="false" ht="15" hidden="false" customHeight="false" outlineLevel="0" collapsed="false">
      <c r="J309" s="55"/>
    </row>
    <row r="310" customFormat="false" ht="15" hidden="false" customHeight="false" outlineLevel="0" collapsed="false">
      <c r="B310" s="56"/>
      <c r="F310" s="57"/>
      <c r="G310" s="58"/>
      <c r="H310" s="59"/>
      <c r="J310" s="30"/>
    </row>
    <row r="311" customFormat="false" ht="15" hidden="false" customHeight="false" outlineLevel="0" collapsed="false">
      <c r="F311" s="57"/>
      <c r="G311" s="58"/>
      <c r="H311" s="59"/>
      <c r="J311" s="30"/>
    </row>
    <row r="312" customFormat="false" ht="15" hidden="false" customHeight="false" outlineLevel="0" collapsed="false">
      <c r="F312" s="57"/>
      <c r="H312" s="59"/>
      <c r="J312" s="30"/>
    </row>
    <row r="313" customFormat="false" ht="15" hidden="false" customHeight="false" outlineLevel="0" collapsed="false">
      <c r="F313" s="57"/>
      <c r="H313" s="59"/>
      <c r="J313" s="30"/>
    </row>
    <row r="314" customFormat="false" ht="15" hidden="false" customHeight="false" outlineLevel="0" collapsed="false">
      <c r="F314" s="57"/>
      <c r="G314" s="58"/>
      <c r="H314" s="59"/>
      <c r="J314" s="30"/>
    </row>
    <row r="315" customFormat="false" ht="15" hidden="false" customHeight="false" outlineLevel="0" collapsed="false">
      <c r="F315" s="57"/>
      <c r="G315" s="58"/>
      <c r="H315" s="59"/>
      <c r="J315" s="30"/>
    </row>
    <row r="316" customFormat="false" ht="15" hidden="false" customHeight="false" outlineLevel="0" collapsed="false">
      <c r="F316" s="57"/>
      <c r="G316" s="58"/>
      <c r="H316" s="59"/>
      <c r="J316" s="30"/>
    </row>
    <row r="317" customFormat="false" ht="15" hidden="false" customHeight="false" outlineLevel="0" collapsed="false">
      <c r="F317" s="57"/>
      <c r="J317" s="55"/>
    </row>
    <row r="318" customFormat="false" ht="15" hidden="false" customHeight="false" outlineLevel="0" collapsed="false">
      <c r="B318" s="56"/>
    </row>
    <row r="319" customFormat="false" ht="15" hidden="false" customHeight="false" outlineLevel="0" collapsed="false">
      <c r="F319" s="57"/>
      <c r="H319" s="59"/>
      <c r="I319" s="30"/>
      <c r="J319" s="30"/>
    </row>
    <row r="320" customFormat="false" ht="15" hidden="false" customHeight="false" outlineLevel="0" collapsed="false">
      <c r="I320" s="14"/>
      <c r="J320" s="55"/>
    </row>
    <row r="322" customFormat="false" ht="15" hidden="false" customHeight="false" outlineLevel="0" collapsed="false">
      <c r="A322" s="14"/>
      <c r="B322" s="14"/>
      <c r="C322" s="14"/>
      <c r="D322" s="14"/>
    </row>
    <row r="323" customFormat="false" ht="15" hidden="false" customHeight="false" outlineLevel="0" collapsed="false">
      <c r="A323" s="14"/>
      <c r="B323" s="14"/>
      <c r="C323" s="38"/>
      <c r="D323" s="54"/>
      <c r="E323" s="38"/>
      <c r="F323" s="54"/>
      <c r="G323" s="14"/>
      <c r="I323" s="38"/>
      <c r="J323" s="55"/>
    </row>
    <row r="324" customFormat="false" ht="15" hidden="false" customHeight="false" outlineLevel="0" collapsed="false">
      <c r="A324" s="14"/>
      <c r="B324" s="14"/>
      <c r="F324" s="38"/>
      <c r="G324" s="38"/>
      <c r="H324" s="38"/>
      <c r="I324" s="38"/>
      <c r="J324" s="38"/>
    </row>
    <row r="325" customFormat="false" ht="15" hidden="false" customHeight="false" outlineLevel="0" collapsed="false">
      <c r="B325" s="56"/>
    </row>
    <row r="326" customFormat="false" ht="15" hidden="false" customHeight="false" outlineLevel="0" collapsed="false">
      <c r="F326" s="57"/>
      <c r="G326" s="58"/>
      <c r="H326" s="59"/>
      <c r="J326" s="30"/>
    </row>
    <row r="327" customFormat="false" ht="15" hidden="false" customHeight="false" outlineLevel="0" collapsed="false">
      <c r="F327" s="57"/>
      <c r="G327" s="58"/>
      <c r="H327" s="59"/>
      <c r="J327" s="55"/>
    </row>
    <row r="329" customFormat="false" ht="15" hidden="false" customHeight="false" outlineLevel="0" collapsed="false">
      <c r="A329" s="14"/>
      <c r="B329" s="14"/>
      <c r="C329" s="14"/>
      <c r="D329" s="14"/>
    </row>
    <row r="330" customFormat="false" ht="15" hidden="false" customHeight="false" outlineLevel="0" collapsed="false">
      <c r="A330" s="14"/>
      <c r="B330" s="14"/>
      <c r="C330" s="38"/>
      <c r="D330" s="54"/>
      <c r="E330" s="38"/>
      <c r="F330" s="54"/>
      <c r="G330" s="14"/>
      <c r="I330" s="38"/>
      <c r="J330" s="55"/>
    </row>
    <row r="331" customFormat="false" ht="15" hidden="false" customHeight="false" outlineLevel="0" collapsed="false">
      <c r="A331" s="14"/>
      <c r="B331" s="14"/>
      <c r="F331" s="38"/>
      <c r="G331" s="38"/>
      <c r="H331" s="38"/>
      <c r="I331" s="38"/>
      <c r="J331" s="38"/>
    </row>
    <row r="332" customFormat="false" ht="15" hidden="false" customHeight="false" outlineLevel="0" collapsed="false">
      <c r="B332" s="56"/>
    </row>
    <row r="333" customFormat="false" ht="15" hidden="false" customHeight="false" outlineLevel="0" collapsed="false">
      <c r="F333" s="57"/>
      <c r="G333" s="58"/>
      <c r="H333" s="59"/>
      <c r="J333" s="30"/>
    </row>
    <row r="334" customFormat="false" ht="15" hidden="false" customHeight="false" outlineLevel="0" collapsed="false">
      <c r="F334" s="57"/>
      <c r="G334" s="58"/>
      <c r="H334" s="59"/>
      <c r="J334" s="55"/>
    </row>
    <row r="338" customFormat="false" ht="15" hidden="false" customHeight="false" outlineLevel="0" collapsed="false">
      <c r="A338" s="14"/>
      <c r="B338" s="14"/>
      <c r="C338" s="14"/>
      <c r="D338" s="14"/>
    </row>
    <row r="339" customFormat="false" ht="15" hidden="false" customHeight="false" outlineLevel="0" collapsed="false">
      <c r="A339" s="14"/>
      <c r="B339" s="14"/>
      <c r="C339" s="38"/>
      <c r="D339" s="54"/>
      <c r="E339" s="38"/>
      <c r="F339" s="54"/>
      <c r="G339" s="14"/>
      <c r="I339" s="38"/>
      <c r="J339" s="55"/>
    </row>
    <row r="340" customFormat="false" ht="15" hidden="false" customHeight="false" outlineLevel="0" collapsed="false">
      <c r="A340" s="14"/>
      <c r="B340" s="14"/>
      <c r="F340" s="38"/>
      <c r="G340" s="38"/>
      <c r="H340" s="38"/>
      <c r="I340" s="38"/>
      <c r="J340" s="38"/>
    </row>
    <row r="341" customFormat="false" ht="15" hidden="false" customHeight="false" outlineLevel="0" collapsed="false">
      <c r="B341" s="56"/>
    </row>
    <row r="342" customFormat="false" ht="15" hidden="false" customHeight="false" outlineLevel="0" collapsed="false">
      <c r="F342" s="57"/>
      <c r="G342" s="58"/>
      <c r="H342" s="59"/>
      <c r="I342" s="30"/>
      <c r="J342" s="30"/>
    </row>
    <row r="343" customFormat="false" ht="15" hidden="false" customHeight="false" outlineLevel="0" collapsed="false">
      <c r="F343" s="57"/>
      <c r="G343" s="58"/>
      <c r="H343" s="59"/>
      <c r="J343" s="30"/>
    </row>
    <row r="344" customFormat="false" ht="15" hidden="false" customHeight="false" outlineLevel="0" collapsed="false">
      <c r="F344" s="57"/>
      <c r="G344" s="58"/>
      <c r="H344" s="59"/>
      <c r="J344" s="55"/>
    </row>
    <row r="345" customFormat="false" ht="15" hidden="false" customHeight="false" outlineLevel="0" collapsed="false">
      <c r="B345" s="56"/>
      <c r="F345" s="57"/>
      <c r="G345" s="58"/>
      <c r="H345" s="59"/>
      <c r="I345" s="59"/>
      <c r="J345" s="30"/>
    </row>
    <row r="346" customFormat="false" ht="15" hidden="false" customHeight="false" outlineLevel="0" collapsed="false">
      <c r="F346" s="57"/>
      <c r="H346" s="59"/>
      <c r="I346" s="30"/>
      <c r="J346" s="30"/>
    </row>
    <row r="347" customFormat="false" ht="15" hidden="false" customHeight="false" outlineLevel="0" collapsed="false">
      <c r="F347" s="57"/>
      <c r="H347" s="59"/>
      <c r="I347" s="30"/>
      <c r="J347" s="30"/>
    </row>
    <row r="348" customFormat="false" ht="15" hidden="false" customHeight="false" outlineLevel="0" collapsed="false">
      <c r="F348" s="57"/>
      <c r="H348" s="59"/>
      <c r="I348" s="30"/>
      <c r="J348" s="30"/>
    </row>
    <row r="349" customFormat="false" ht="15" hidden="false" customHeight="false" outlineLevel="0" collapsed="false">
      <c r="F349" s="57"/>
      <c r="H349" s="59"/>
      <c r="I349" s="30"/>
      <c r="J349" s="30"/>
    </row>
    <row r="350" customFormat="false" ht="15" hidden="false" customHeight="false" outlineLevel="0" collapsed="false">
      <c r="F350" s="57"/>
      <c r="H350" s="59"/>
      <c r="I350" s="30"/>
      <c r="J350" s="30"/>
    </row>
    <row r="351" customFormat="false" ht="15" hidden="false" customHeight="false" outlineLevel="0" collapsed="false">
      <c r="J351" s="55"/>
    </row>
    <row r="352" customFormat="false" ht="15" hidden="false" customHeight="false" outlineLevel="0" collapsed="false">
      <c r="B352" s="56"/>
    </row>
    <row r="353" customFormat="false" ht="15" hidden="false" customHeight="false" outlineLevel="0" collapsed="false">
      <c r="F353" s="57"/>
      <c r="H353" s="59"/>
      <c r="I353" s="30"/>
      <c r="J353" s="30"/>
    </row>
    <row r="354" customFormat="false" ht="15" hidden="false" customHeight="false" outlineLevel="0" collapsed="false">
      <c r="I354" s="14"/>
      <c r="J354" s="55"/>
    </row>
    <row r="356" customFormat="false" ht="15" hidden="false" customHeight="false" outlineLevel="0" collapsed="false">
      <c r="A356" s="14"/>
      <c r="B356" s="14"/>
      <c r="C356" s="14"/>
      <c r="D356" s="14"/>
    </row>
    <row r="357" customFormat="false" ht="15" hidden="false" customHeight="false" outlineLevel="0" collapsed="false">
      <c r="A357" s="14"/>
      <c r="B357" s="14"/>
      <c r="C357" s="38"/>
      <c r="D357" s="54"/>
      <c r="E357" s="38"/>
      <c r="F357" s="54"/>
      <c r="G357" s="14"/>
      <c r="I357" s="38"/>
      <c r="J357" s="55"/>
    </row>
    <row r="358" customFormat="false" ht="15" hidden="false" customHeight="false" outlineLevel="0" collapsed="false">
      <c r="A358" s="14"/>
      <c r="B358" s="14"/>
      <c r="F358" s="38"/>
      <c r="G358" s="38"/>
      <c r="H358" s="38"/>
      <c r="I358" s="38"/>
      <c r="J358" s="38"/>
    </row>
    <row r="359" customFormat="false" ht="15" hidden="false" customHeight="false" outlineLevel="0" collapsed="false">
      <c r="B359" s="56"/>
    </row>
    <row r="360" customFormat="false" ht="15" hidden="false" customHeight="false" outlineLevel="0" collapsed="false">
      <c r="F360" s="57"/>
      <c r="G360" s="58"/>
      <c r="H360" s="59"/>
      <c r="I360" s="30"/>
      <c r="J360" s="30"/>
    </row>
    <row r="361" customFormat="false" ht="15" hidden="false" customHeight="false" outlineLevel="0" collapsed="false">
      <c r="F361" s="57"/>
      <c r="G361" s="58"/>
      <c r="H361" s="59"/>
      <c r="J361" s="30"/>
    </row>
    <row r="362" customFormat="false" ht="15" hidden="false" customHeight="false" outlineLevel="0" collapsed="false">
      <c r="F362" s="57"/>
      <c r="G362" s="58"/>
      <c r="H362" s="59"/>
      <c r="J362" s="55"/>
    </row>
    <row r="363" customFormat="false" ht="15" hidden="false" customHeight="false" outlineLevel="0" collapsed="false">
      <c r="B363" s="56"/>
      <c r="F363" s="57"/>
      <c r="G363" s="58"/>
      <c r="H363" s="59"/>
      <c r="I363" s="59"/>
      <c r="J363" s="30"/>
    </row>
    <row r="364" customFormat="false" ht="15" hidden="false" customHeight="false" outlineLevel="0" collapsed="false">
      <c r="F364" s="57"/>
      <c r="H364" s="59"/>
      <c r="I364" s="30"/>
      <c r="J364" s="30"/>
    </row>
    <row r="365" customFormat="false" ht="15" hidden="false" customHeight="false" outlineLevel="0" collapsed="false">
      <c r="F365" s="57"/>
      <c r="H365" s="59"/>
      <c r="I365" s="30"/>
      <c r="J365" s="30"/>
    </row>
    <row r="366" customFormat="false" ht="15" hidden="false" customHeight="false" outlineLevel="0" collapsed="false">
      <c r="F366" s="57"/>
      <c r="H366" s="59"/>
      <c r="I366" s="30"/>
      <c r="J366" s="30"/>
    </row>
    <row r="367" customFormat="false" ht="15" hidden="false" customHeight="false" outlineLevel="0" collapsed="false">
      <c r="F367" s="57"/>
      <c r="H367" s="59"/>
      <c r="I367" s="30"/>
      <c r="J367" s="30"/>
    </row>
    <row r="368" customFormat="false" ht="15" hidden="false" customHeight="false" outlineLevel="0" collapsed="false">
      <c r="F368" s="57"/>
      <c r="H368" s="59"/>
      <c r="I368" s="30"/>
      <c r="J368" s="30"/>
    </row>
    <row r="369" customFormat="false" ht="15" hidden="false" customHeight="false" outlineLevel="0" collapsed="false">
      <c r="J369" s="55"/>
    </row>
    <row r="370" customFormat="false" ht="15" hidden="false" customHeight="false" outlineLevel="0" collapsed="false">
      <c r="B370" s="56"/>
    </row>
    <row r="371" customFormat="false" ht="15" hidden="false" customHeight="false" outlineLevel="0" collapsed="false">
      <c r="F371" s="57"/>
      <c r="H371" s="59"/>
      <c r="I371" s="30"/>
      <c r="J371" s="30"/>
    </row>
    <row r="372" customFormat="false" ht="15" hidden="false" customHeight="false" outlineLevel="0" collapsed="false">
      <c r="I372" s="14"/>
      <c r="J372" s="55"/>
    </row>
    <row r="374" customFormat="false" ht="15" hidden="false" customHeight="false" outlineLevel="0" collapsed="false">
      <c r="A374" s="14"/>
      <c r="B374" s="14"/>
      <c r="C374" s="14"/>
      <c r="D374" s="14"/>
    </row>
    <row r="375" customFormat="false" ht="15" hidden="false" customHeight="false" outlineLevel="0" collapsed="false">
      <c r="A375" s="14"/>
      <c r="B375" s="14"/>
      <c r="C375" s="38"/>
      <c r="D375" s="54"/>
      <c r="E375" s="38"/>
      <c r="F375" s="54"/>
      <c r="G375" s="14"/>
      <c r="I375" s="38"/>
      <c r="J375" s="55"/>
    </row>
    <row r="376" customFormat="false" ht="15" hidden="false" customHeight="false" outlineLevel="0" collapsed="false">
      <c r="A376" s="14"/>
      <c r="B376" s="14"/>
      <c r="F376" s="38"/>
      <c r="G376" s="38"/>
      <c r="H376" s="38"/>
      <c r="I376" s="38"/>
      <c r="J376" s="38"/>
    </row>
    <row r="377" customFormat="false" ht="15" hidden="false" customHeight="false" outlineLevel="0" collapsed="false">
      <c r="B377" s="56"/>
    </row>
    <row r="378" customFormat="false" ht="15" hidden="false" customHeight="false" outlineLevel="0" collapsed="false">
      <c r="F378" s="57"/>
      <c r="G378" s="58"/>
      <c r="H378" s="59"/>
      <c r="I378" s="30"/>
      <c r="J378" s="30"/>
    </row>
    <row r="379" customFormat="false" ht="15" hidden="false" customHeight="false" outlineLevel="0" collapsed="false">
      <c r="F379" s="57"/>
      <c r="G379" s="58"/>
      <c r="H379" s="59"/>
      <c r="J379" s="30"/>
    </row>
    <row r="380" customFormat="false" ht="15" hidden="false" customHeight="false" outlineLevel="0" collapsed="false">
      <c r="F380" s="57"/>
      <c r="G380" s="58"/>
      <c r="H380" s="59"/>
      <c r="J380" s="55"/>
    </row>
    <row r="381" customFormat="false" ht="15" hidden="false" customHeight="false" outlineLevel="0" collapsed="false">
      <c r="B381" s="56"/>
      <c r="F381" s="57"/>
      <c r="G381" s="58"/>
      <c r="H381" s="59"/>
      <c r="I381" s="59"/>
      <c r="J381" s="30"/>
    </row>
    <row r="382" customFormat="false" ht="15" hidden="false" customHeight="false" outlineLevel="0" collapsed="false">
      <c r="F382" s="57"/>
      <c r="H382" s="59"/>
      <c r="I382" s="30"/>
      <c r="J382" s="30"/>
    </row>
    <row r="383" customFormat="false" ht="15" hidden="false" customHeight="false" outlineLevel="0" collapsed="false">
      <c r="F383" s="57"/>
      <c r="H383" s="59"/>
      <c r="I383" s="30"/>
      <c r="J383" s="30"/>
    </row>
    <row r="384" customFormat="false" ht="15" hidden="false" customHeight="false" outlineLevel="0" collapsed="false">
      <c r="F384" s="57"/>
      <c r="H384" s="59"/>
      <c r="I384" s="30"/>
      <c r="J384" s="30"/>
    </row>
    <row r="385" customFormat="false" ht="15" hidden="false" customHeight="false" outlineLevel="0" collapsed="false">
      <c r="F385" s="57"/>
      <c r="H385" s="59"/>
      <c r="I385" s="30"/>
      <c r="J385" s="30"/>
    </row>
    <row r="386" customFormat="false" ht="15" hidden="false" customHeight="false" outlineLevel="0" collapsed="false">
      <c r="F386" s="57"/>
      <c r="H386" s="59"/>
      <c r="I386" s="30"/>
      <c r="J386" s="30"/>
    </row>
    <row r="387" customFormat="false" ht="15" hidden="false" customHeight="false" outlineLevel="0" collapsed="false">
      <c r="J387" s="55"/>
    </row>
    <row r="388" customFormat="false" ht="15" hidden="false" customHeight="false" outlineLevel="0" collapsed="false">
      <c r="B388" s="56"/>
    </row>
    <row r="389" customFormat="false" ht="15" hidden="false" customHeight="false" outlineLevel="0" collapsed="false">
      <c r="F389" s="57"/>
      <c r="H389" s="59"/>
      <c r="I389" s="30"/>
      <c r="J389" s="30"/>
    </row>
    <row r="390" customFormat="false" ht="15" hidden="false" customHeight="false" outlineLevel="0" collapsed="false">
      <c r="I390" s="14"/>
      <c r="J390" s="55"/>
    </row>
    <row r="392" customFormat="false" ht="15" hidden="false" customHeight="false" outlineLevel="0" collapsed="false">
      <c r="A392" s="14"/>
      <c r="B392" s="14"/>
      <c r="C392" s="14"/>
      <c r="D392" s="14"/>
    </row>
    <row r="393" customFormat="false" ht="15" hidden="false" customHeight="false" outlineLevel="0" collapsed="false">
      <c r="A393" s="14"/>
      <c r="B393" s="14"/>
      <c r="C393" s="38"/>
      <c r="D393" s="54"/>
      <c r="E393" s="38"/>
      <c r="F393" s="54"/>
      <c r="G393" s="14"/>
      <c r="I393" s="38"/>
      <c r="J393" s="55"/>
    </row>
    <row r="394" customFormat="false" ht="15" hidden="false" customHeight="false" outlineLevel="0" collapsed="false">
      <c r="A394" s="14"/>
      <c r="B394" s="14"/>
      <c r="F394" s="38"/>
      <c r="G394" s="38"/>
      <c r="H394" s="38"/>
      <c r="I394" s="38"/>
      <c r="J394" s="38"/>
    </row>
    <row r="395" customFormat="false" ht="15" hidden="false" customHeight="false" outlineLevel="0" collapsed="false">
      <c r="B395" s="56"/>
    </row>
    <row r="396" customFormat="false" ht="15" hidden="false" customHeight="false" outlineLevel="0" collapsed="false">
      <c r="F396" s="57"/>
      <c r="G396" s="58"/>
      <c r="H396" s="59"/>
      <c r="J396" s="30"/>
    </row>
    <row r="397" customFormat="false" ht="15" hidden="false" customHeight="false" outlineLevel="0" collapsed="false">
      <c r="F397" s="57"/>
      <c r="G397" s="58"/>
      <c r="H397" s="59"/>
      <c r="I397" s="30"/>
      <c r="J397" s="30"/>
    </row>
    <row r="398" customFormat="false" ht="15" hidden="false" customHeight="false" outlineLevel="0" collapsed="false">
      <c r="F398" s="57"/>
      <c r="G398" s="58"/>
      <c r="H398" s="59"/>
      <c r="J398" s="30"/>
    </row>
    <row r="399" customFormat="false" ht="15" hidden="false" customHeight="false" outlineLevel="0" collapsed="false">
      <c r="F399" s="57"/>
      <c r="G399" s="58"/>
      <c r="H399" s="59"/>
      <c r="J399" s="55"/>
    </row>
    <row r="400" customFormat="false" ht="15" hidden="false" customHeight="false" outlineLevel="0" collapsed="false">
      <c r="B400" s="56"/>
      <c r="F400" s="57"/>
      <c r="G400" s="58"/>
      <c r="H400" s="59"/>
      <c r="I400" s="59"/>
      <c r="J400" s="30"/>
    </row>
    <row r="401" customFormat="false" ht="15" hidden="false" customHeight="false" outlineLevel="0" collapsed="false">
      <c r="F401" s="57"/>
      <c r="G401" s="58"/>
      <c r="H401" s="59"/>
      <c r="J401" s="30"/>
    </row>
    <row r="402" customFormat="false" ht="15" hidden="false" customHeight="false" outlineLevel="0" collapsed="false">
      <c r="F402" s="57"/>
      <c r="G402" s="58"/>
      <c r="H402" s="59"/>
      <c r="J402" s="30"/>
    </row>
    <row r="403" customFormat="false" ht="15" hidden="false" customHeight="false" outlineLevel="0" collapsed="false">
      <c r="F403" s="57"/>
      <c r="G403" s="58"/>
      <c r="H403" s="59"/>
      <c r="J403" s="30"/>
    </row>
    <row r="404" customFormat="false" ht="15" hidden="false" customHeight="false" outlineLevel="0" collapsed="false">
      <c r="F404" s="57"/>
      <c r="G404" s="58"/>
      <c r="H404" s="59"/>
      <c r="J404" s="30"/>
    </row>
    <row r="405" customFormat="false" ht="15" hidden="false" customHeight="false" outlineLevel="0" collapsed="false">
      <c r="J405" s="55"/>
    </row>
    <row r="406" customFormat="false" ht="15" hidden="false" customHeight="false" outlineLevel="0" collapsed="false">
      <c r="B406" s="56"/>
    </row>
    <row r="407" customFormat="false" ht="15" hidden="false" customHeight="false" outlineLevel="0" collapsed="false">
      <c r="F407" s="57"/>
      <c r="H407" s="59"/>
      <c r="I407" s="30"/>
      <c r="J407" s="30"/>
    </row>
    <row r="408" customFormat="false" ht="15" hidden="false" customHeight="false" outlineLevel="0" collapsed="false">
      <c r="I408" s="14"/>
      <c r="J408" s="55"/>
    </row>
    <row r="410" customFormat="false" ht="15" hidden="false" customHeight="false" outlineLevel="0" collapsed="false">
      <c r="A410" s="14"/>
      <c r="B410" s="14"/>
      <c r="C410" s="14"/>
      <c r="D410" s="14"/>
    </row>
    <row r="411" customFormat="false" ht="15" hidden="false" customHeight="false" outlineLevel="0" collapsed="false">
      <c r="A411" s="14"/>
      <c r="B411" s="14"/>
      <c r="C411" s="38"/>
      <c r="D411" s="54"/>
      <c r="E411" s="38"/>
      <c r="F411" s="54"/>
      <c r="G411" s="14"/>
      <c r="I411" s="38"/>
      <c r="J411" s="55"/>
    </row>
    <row r="412" customFormat="false" ht="15" hidden="false" customHeight="false" outlineLevel="0" collapsed="false">
      <c r="A412" s="14"/>
      <c r="B412" s="14"/>
      <c r="F412" s="38"/>
      <c r="G412" s="38"/>
      <c r="H412" s="38"/>
      <c r="I412" s="38"/>
      <c r="J412" s="38"/>
    </row>
    <row r="413" customFormat="false" ht="15" hidden="false" customHeight="false" outlineLevel="0" collapsed="false">
      <c r="B413" s="56"/>
    </row>
    <row r="414" customFormat="false" ht="15" hidden="false" customHeight="false" outlineLevel="0" collapsed="false">
      <c r="F414" s="57"/>
      <c r="G414" s="58"/>
      <c r="H414" s="59"/>
      <c r="J414" s="30"/>
    </row>
    <row r="415" customFormat="false" ht="15" hidden="false" customHeight="false" outlineLevel="0" collapsed="false">
      <c r="F415" s="57"/>
      <c r="G415" s="58"/>
      <c r="H415" s="59"/>
      <c r="I415" s="30"/>
      <c r="J415" s="30"/>
    </row>
    <row r="416" customFormat="false" ht="15" hidden="false" customHeight="false" outlineLevel="0" collapsed="false">
      <c r="F416" s="57"/>
      <c r="G416" s="58"/>
      <c r="H416" s="59"/>
      <c r="J416" s="30"/>
    </row>
    <row r="417" customFormat="false" ht="15" hidden="false" customHeight="false" outlineLevel="0" collapsed="false">
      <c r="F417" s="57"/>
      <c r="G417" s="58"/>
      <c r="H417" s="59"/>
      <c r="J417" s="55"/>
    </row>
    <row r="418" customFormat="false" ht="15" hidden="false" customHeight="false" outlineLevel="0" collapsed="false">
      <c r="B418" s="56"/>
      <c r="F418" s="57"/>
      <c r="G418" s="58"/>
      <c r="H418" s="59"/>
      <c r="I418" s="59"/>
      <c r="J418" s="30"/>
    </row>
    <row r="419" customFormat="false" ht="15" hidden="false" customHeight="false" outlineLevel="0" collapsed="false">
      <c r="F419" s="57"/>
      <c r="G419" s="58"/>
      <c r="H419" s="59"/>
      <c r="J419" s="30"/>
    </row>
    <row r="420" customFormat="false" ht="15" hidden="false" customHeight="false" outlineLevel="0" collapsed="false">
      <c r="F420" s="57"/>
      <c r="G420" s="58"/>
      <c r="H420" s="59"/>
      <c r="J420" s="30"/>
    </row>
    <row r="421" customFormat="false" ht="15" hidden="false" customHeight="false" outlineLevel="0" collapsed="false">
      <c r="F421" s="57"/>
      <c r="G421" s="58"/>
      <c r="H421" s="59"/>
      <c r="J421" s="30"/>
    </row>
    <row r="422" customFormat="false" ht="15" hidden="false" customHeight="false" outlineLevel="0" collapsed="false">
      <c r="F422" s="57"/>
      <c r="G422" s="58"/>
      <c r="H422" s="59"/>
      <c r="J422" s="30"/>
    </row>
    <row r="423" customFormat="false" ht="15" hidden="false" customHeight="false" outlineLevel="0" collapsed="false">
      <c r="J423" s="55"/>
    </row>
    <row r="424" customFormat="false" ht="15" hidden="false" customHeight="false" outlineLevel="0" collapsed="false">
      <c r="B424" s="56"/>
    </row>
    <row r="425" customFormat="false" ht="15" hidden="false" customHeight="false" outlineLevel="0" collapsed="false">
      <c r="F425" s="57"/>
      <c r="H425" s="59"/>
      <c r="I425" s="30"/>
      <c r="J425" s="30"/>
    </row>
    <row r="426" customFormat="false" ht="15" hidden="false" customHeight="false" outlineLevel="0" collapsed="false">
      <c r="I426" s="14"/>
      <c r="J426" s="55"/>
    </row>
    <row r="428" customFormat="false" ht="15" hidden="false" customHeight="false" outlineLevel="0" collapsed="false">
      <c r="A428" s="14"/>
      <c r="B428" s="14"/>
      <c r="C428" s="14"/>
      <c r="D428" s="14"/>
    </row>
    <row r="429" customFormat="false" ht="15" hidden="false" customHeight="false" outlineLevel="0" collapsed="false">
      <c r="A429" s="14"/>
      <c r="B429" s="14"/>
      <c r="C429" s="38"/>
      <c r="D429" s="54"/>
      <c r="E429" s="38"/>
      <c r="F429" s="54"/>
      <c r="G429" s="14"/>
      <c r="I429" s="38"/>
      <c r="J429" s="55"/>
    </row>
    <row r="430" customFormat="false" ht="15" hidden="false" customHeight="false" outlineLevel="0" collapsed="false">
      <c r="A430" s="14"/>
      <c r="B430" s="14"/>
      <c r="F430" s="38"/>
      <c r="G430" s="38"/>
      <c r="H430" s="38"/>
      <c r="I430" s="38"/>
      <c r="J430" s="38"/>
    </row>
    <row r="431" customFormat="false" ht="15" hidden="false" customHeight="false" outlineLevel="0" collapsed="false">
      <c r="B431" s="56"/>
    </row>
    <row r="432" customFormat="false" ht="15" hidden="false" customHeight="false" outlineLevel="0" collapsed="false">
      <c r="F432" s="57"/>
      <c r="G432" s="58"/>
      <c r="H432" s="59"/>
      <c r="J432" s="30"/>
    </row>
    <row r="433" customFormat="false" ht="15" hidden="false" customHeight="false" outlineLevel="0" collapsed="false">
      <c r="F433" s="57"/>
      <c r="G433" s="58"/>
      <c r="H433" s="59"/>
      <c r="I433" s="30"/>
      <c r="J433" s="30"/>
    </row>
    <row r="434" customFormat="false" ht="15" hidden="false" customHeight="false" outlineLevel="0" collapsed="false">
      <c r="F434" s="57"/>
      <c r="G434" s="58"/>
      <c r="H434" s="59"/>
      <c r="J434" s="30"/>
    </row>
    <row r="435" customFormat="false" ht="15" hidden="false" customHeight="false" outlineLevel="0" collapsed="false">
      <c r="F435" s="57"/>
      <c r="G435" s="58"/>
      <c r="H435" s="59"/>
      <c r="J435" s="55"/>
    </row>
    <row r="436" customFormat="false" ht="15" hidden="false" customHeight="false" outlineLevel="0" collapsed="false">
      <c r="B436" s="56"/>
      <c r="F436" s="57"/>
      <c r="G436" s="58"/>
      <c r="H436" s="59"/>
      <c r="I436" s="59"/>
      <c r="J436" s="30"/>
    </row>
    <row r="437" customFormat="false" ht="15" hidden="false" customHeight="false" outlineLevel="0" collapsed="false">
      <c r="F437" s="57"/>
      <c r="G437" s="58"/>
      <c r="H437" s="59"/>
      <c r="J437" s="30"/>
    </row>
    <row r="438" customFormat="false" ht="15" hidden="false" customHeight="false" outlineLevel="0" collapsed="false">
      <c r="F438" s="57"/>
      <c r="G438" s="58"/>
      <c r="H438" s="59"/>
      <c r="J438" s="30"/>
    </row>
    <row r="439" customFormat="false" ht="15" hidden="false" customHeight="false" outlineLevel="0" collapsed="false">
      <c r="F439" s="57"/>
      <c r="G439" s="58"/>
      <c r="H439" s="59"/>
      <c r="J439" s="30"/>
    </row>
    <row r="440" customFormat="false" ht="15" hidden="false" customHeight="false" outlineLevel="0" collapsed="false">
      <c r="F440" s="57"/>
      <c r="G440" s="58"/>
      <c r="H440" s="59"/>
      <c r="J440" s="30"/>
    </row>
    <row r="441" customFormat="false" ht="15" hidden="false" customHeight="false" outlineLevel="0" collapsed="false">
      <c r="J441" s="55"/>
    </row>
    <row r="442" customFormat="false" ht="15" hidden="false" customHeight="false" outlineLevel="0" collapsed="false">
      <c r="B442" s="56"/>
    </row>
    <row r="443" customFormat="false" ht="15" hidden="false" customHeight="false" outlineLevel="0" collapsed="false">
      <c r="F443" s="57"/>
      <c r="H443" s="59"/>
      <c r="I443" s="30"/>
      <c r="J443" s="30"/>
    </row>
    <row r="444" customFormat="false" ht="15" hidden="false" customHeight="false" outlineLevel="0" collapsed="false">
      <c r="I444" s="14"/>
      <c r="J444" s="55"/>
    </row>
    <row r="446" customFormat="false" ht="15" hidden="false" customHeight="false" outlineLevel="0" collapsed="false">
      <c r="A446" s="14"/>
      <c r="B446" s="14"/>
      <c r="C446" s="14"/>
      <c r="D446" s="14"/>
    </row>
    <row r="447" customFormat="false" ht="15" hidden="false" customHeight="false" outlineLevel="0" collapsed="false">
      <c r="A447" s="14"/>
      <c r="B447" s="14"/>
      <c r="C447" s="38"/>
      <c r="D447" s="54"/>
      <c r="E447" s="38"/>
      <c r="F447" s="54"/>
      <c r="G447" s="14"/>
      <c r="I447" s="38"/>
      <c r="J447" s="55"/>
    </row>
    <row r="448" customFormat="false" ht="15" hidden="false" customHeight="false" outlineLevel="0" collapsed="false">
      <c r="A448" s="14"/>
      <c r="B448" s="14"/>
      <c r="F448" s="38"/>
      <c r="G448" s="38"/>
      <c r="H448" s="38"/>
      <c r="I448" s="38"/>
      <c r="J448" s="38"/>
    </row>
    <row r="449" customFormat="false" ht="15" hidden="false" customHeight="false" outlineLevel="0" collapsed="false">
      <c r="B449" s="56"/>
    </row>
    <row r="450" customFormat="false" ht="15" hidden="false" customHeight="false" outlineLevel="0" collapsed="false">
      <c r="F450" s="57"/>
      <c r="G450" s="58"/>
      <c r="H450" s="59"/>
      <c r="J450" s="30"/>
    </row>
    <row r="451" customFormat="false" ht="15" hidden="false" customHeight="false" outlineLevel="0" collapsed="false">
      <c r="F451" s="57"/>
      <c r="G451" s="58"/>
      <c r="H451" s="59"/>
      <c r="I451" s="30"/>
      <c r="J451" s="30"/>
    </row>
    <row r="452" customFormat="false" ht="15" hidden="false" customHeight="false" outlineLevel="0" collapsed="false">
      <c r="F452" s="57"/>
      <c r="G452" s="58"/>
      <c r="H452" s="59"/>
      <c r="J452" s="30"/>
    </row>
    <row r="453" customFormat="false" ht="15" hidden="false" customHeight="false" outlineLevel="0" collapsed="false">
      <c r="F453" s="57"/>
      <c r="G453" s="58"/>
      <c r="H453" s="59"/>
      <c r="J453" s="55"/>
    </row>
    <row r="454" customFormat="false" ht="15" hidden="false" customHeight="false" outlineLevel="0" collapsed="false">
      <c r="B454" s="56"/>
      <c r="F454" s="57"/>
      <c r="G454" s="58"/>
      <c r="H454" s="59"/>
      <c r="I454" s="59"/>
      <c r="J454" s="30"/>
    </row>
    <row r="455" customFormat="false" ht="15" hidden="false" customHeight="false" outlineLevel="0" collapsed="false">
      <c r="F455" s="57"/>
      <c r="G455" s="58"/>
      <c r="H455" s="59"/>
      <c r="J455" s="30"/>
    </row>
    <row r="456" customFormat="false" ht="15" hidden="false" customHeight="false" outlineLevel="0" collapsed="false">
      <c r="F456" s="57"/>
      <c r="G456" s="58"/>
      <c r="H456" s="59"/>
      <c r="J456" s="30"/>
    </row>
    <row r="457" customFormat="false" ht="15" hidden="false" customHeight="false" outlineLevel="0" collapsed="false">
      <c r="F457" s="57"/>
      <c r="G457" s="58"/>
      <c r="H457" s="59"/>
      <c r="J457" s="30"/>
    </row>
    <row r="458" customFormat="false" ht="15" hidden="false" customHeight="false" outlineLevel="0" collapsed="false">
      <c r="F458" s="57"/>
      <c r="G458" s="58"/>
      <c r="H458" s="59"/>
      <c r="J458" s="30"/>
    </row>
    <row r="459" customFormat="false" ht="15" hidden="false" customHeight="false" outlineLevel="0" collapsed="false">
      <c r="J459" s="55"/>
    </row>
    <row r="460" customFormat="false" ht="15" hidden="false" customHeight="false" outlineLevel="0" collapsed="false">
      <c r="B460" s="56"/>
    </row>
    <row r="461" customFormat="false" ht="15" hidden="false" customHeight="false" outlineLevel="0" collapsed="false">
      <c r="F461" s="57"/>
      <c r="H461" s="59"/>
      <c r="I461" s="30"/>
      <c r="J461" s="30"/>
    </row>
    <row r="462" customFormat="false" ht="15" hidden="false" customHeight="false" outlineLevel="0" collapsed="false">
      <c r="I462" s="14"/>
      <c r="J462" s="55"/>
    </row>
    <row r="464" customFormat="false" ht="15" hidden="false" customHeight="false" outlineLevel="0" collapsed="false">
      <c r="A464" s="14"/>
      <c r="B464" s="14"/>
      <c r="C464" s="14"/>
      <c r="D464" s="14"/>
    </row>
    <row r="465" customFormat="false" ht="15" hidden="false" customHeight="false" outlineLevel="0" collapsed="false">
      <c r="A465" s="14"/>
      <c r="B465" s="14"/>
      <c r="C465" s="38"/>
      <c r="D465" s="54"/>
      <c r="E465" s="38"/>
      <c r="F465" s="54"/>
      <c r="G465" s="14"/>
      <c r="I465" s="38"/>
      <c r="J465" s="55"/>
    </row>
    <row r="466" customFormat="false" ht="15" hidden="false" customHeight="false" outlineLevel="0" collapsed="false">
      <c r="A466" s="14"/>
      <c r="B466" s="14"/>
      <c r="F466" s="38"/>
      <c r="G466" s="38"/>
      <c r="H466" s="38"/>
      <c r="I466" s="38"/>
      <c r="J466" s="38"/>
    </row>
    <row r="467" customFormat="false" ht="15" hidden="false" customHeight="false" outlineLevel="0" collapsed="false">
      <c r="B467" s="56"/>
    </row>
    <row r="468" customFormat="false" ht="15" hidden="false" customHeight="false" outlineLevel="0" collapsed="false">
      <c r="F468" s="57"/>
      <c r="G468" s="58"/>
      <c r="H468" s="59"/>
      <c r="J468" s="30"/>
    </row>
    <row r="469" customFormat="false" ht="15" hidden="false" customHeight="false" outlineLevel="0" collapsed="false">
      <c r="F469" s="57"/>
      <c r="G469" s="58"/>
      <c r="H469" s="59"/>
      <c r="I469" s="30"/>
      <c r="J469" s="30"/>
    </row>
    <row r="470" customFormat="false" ht="15" hidden="false" customHeight="false" outlineLevel="0" collapsed="false">
      <c r="F470" s="57"/>
      <c r="G470" s="58"/>
      <c r="H470" s="59"/>
      <c r="J470" s="30"/>
    </row>
    <row r="471" customFormat="false" ht="15" hidden="false" customHeight="false" outlineLevel="0" collapsed="false">
      <c r="F471" s="57"/>
      <c r="G471" s="58"/>
      <c r="H471" s="59"/>
      <c r="J471" s="55"/>
    </row>
    <row r="472" customFormat="false" ht="15" hidden="false" customHeight="false" outlineLevel="0" collapsed="false">
      <c r="B472" s="56"/>
      <c r="F472" s="57"/>
      <c r="G472" s="58"/>
      <c r="H472" s="59"/>
      <c r="I472" s="59"/>
      <c r="J472" s="30"/>
    </row>
    <row r="473" customFormat="false" ht="15" hidden="false" customHeight="false" outlineLevel="0" collapsed="false">
      <c r="F473" s="57"/>
      <c r="G473" s="58"/>
      <c r="H473" s="59"/>
      <c r="J473" s="30"/>
    </row>
    <row r="474" customFormat="false" ht="15" hidden="false" customHeight="false" outlineLevel="0" collapsed="false">
      <c r="J474" s="55"/>
    </row>
    <row r="475" customFormat="false" ht="15" hidden="false" customHeight="false" outlineLevel="0" collapsed="false">
      <c r="B475" s="56"/>
    </row>
    <row r="476" customFormat="false" ht="15" hidden="false" customHeight="false" outlineLevel="0" collapsed="false">
      <c r="F476" s="57"/>
      <c r="H476" s="59"/>
      <c r="I476" s="30"/>
      <c r="J476" s="30"/>
    </row>
    <row r="477" customFormat="false" ht="15" hidden="false" customHeight="false" outlineLevel="0" collapsed="false">
      <c r="I477" s="14"/>
      <c r="J477" s="55"/>
    </row>
    <row r="479" customFormat="false" ht="15" hidden="false" customHeight="false" outlineLevel="0" collapsed="false">
      <c r="A479" s="14"/>
      <c r="B479" s="14"/>
      <c r="C479" s="14"/>
      <c r="D479" s="14"/>
    </row>
    <row r="480" customFormat="false" ht="15" hidden="false" customHeight="false" outlineLevel="0" collapsed="false">
      <c r="A480" s="14"/>
      <c r="B480" s="14"/>
      <c r="C480" s="38"/>
      <c r="D480" s="54"/>
      <c r="E480" s="38"/>
      <c r="F480" s="54"/>
      <c r="G480" s="14"/>
      <c r="I480" s="38"/>
      <c r="J480" s="55"/>
    </row>
    <row r="481" customFormat="false" ht="15" hidden="false" customHeight="false" outlineLevel="0" collapsed="false">
      <c r="A481" s="14"/>
      <c r="B481" s="14"/>
      <c r="F481" s="38"/>
      <c r="G481" s="38"/>
      <c r="H481" s="38"/>
      <c r="I481" s="38"/>
      <c r="J481" s="38"/>
    </row>
    <row r="482" customFormat="false" ht="15" hidden="false" customHeight="false" outlineLevel="0" collapsed="false">
      <c r="B482" s="56"/>
    </row>
    <row r="483" customFormat="false" ht="15" hidden="false" customHeight="false" outlineLevel="0" collapsed="false">
      <c r="F483" s="57"/>
      <c r="G483" s="58"/>
      <c r="H483" s="59"/>
      <c r="J483" s="30"/>
    </row>
    <row r="484" customFormat="false" ht="15" hidden="false" customHeight="false" outlineLevel="0" collapsed="false">
      <c r="F484" s="57"/>
      <c r="G484" s="58"/>
      <c r="H484" s="59"/>
      <c r="I484" s="30"/>
      <c r="J484" s="30"/>
    </row>
    <row r="485" customFormat="false" ht="15" hidden="false" customHeight="false" outlineLevel="0" collapsed="false">
      <c r="F485" s="57"/>
      <c r="G485" s="58"/>
      <c r="H485" s="59"/>
      <c r="J485" s="30"/>
    </row>
    <row r="486" customFormat="false" ht="15" hidden="false" customHeight="false" outlineLevel="0" collapsed="false">
      <c r="F486" s="57"/>
      <c r="G486" s="58"/>
      <c r="H486" s="59"/>
      <c r="J486" s="55"/>
    </row>
    <row r="487" customFormat="false" ht="15" hidden="false" customHeight="false" outlineLevel="0" collapsed="false">
      <c r="B487" s="56"/>
      <c r="F487" s="57"/>
      <c r="G487" s="58"/>
      <c r="H487" s="59"/>
      <c r="I487" s="59"/>
      <c r="J487" s="30"/>
    </row>
    <row r="488" customFormat="false" ht="15" hidden="false" customHeight="false" outlineLevel="0" collapsed="false">
      <c r="F488" s="57"/>
      <c r="G488" s="58"/>
      <c r="H488" s="59"/>
      <c r="J488" s="30"/>
    </row>
    <row r="489" customFormat="false" ht="15" hidden="false" customHeight="false" outlineLevel="0" collapsed="false">
      <c r="J489" s="55"/>
    </row>
    <row r="490" customFormat="false" ht="15" hidden="false" customHeight="false" outlineLevel="0" collapsed="false">
      <c r="B490" s="56"/>
    </row>
    <row r="491" customFormat="false" ht="15" hidden="false" customHeight="false" outlineLevel="0" collapsed="false">
      <c r="F491" s="57"/>
      <c r="H491" s="59"/>
      <c r="I491" s="30"/>
      <c r="J491" s="30"/>
    </row>
    <row r="492" customFormat="false" ht="15" hidden="false" customHeight="false" outlineLevel="0" collapsed="false">
      <c r="I492" s="14"/>
      <c r="J492" s="55"/>
    </row>
    <row r="493" customFormat="false" ht="15" hidden="false" customHeight="false" outlineLevel="0" collapsed="false">
      <c r="F493" s="57"/>
      <c r="G493" s="58"/>
      <c r="H493" s="59"/>
      <c r="J493" s="30"/>
    </row>
    <row r="494" customFormat="false" ht="15" hidden="false" customHeight="false" outlineLevel="0" collapsed="false">
      <c r="A494" s="14"/>
      <c r="B494" s="14"/>
      <c r="C494" s="14"/>
      <c r="D494" s="14"/>
    </row>
    <row r="495" customFormat="false" ht="15" hidden="false" customHeight="false" outlineLevel="0" collapsed="false">
      <c r="A495" s="14"/>
      <c r="B495" s="14"/>
      <c r="C495" s="38"/>
      <c r="D495" s="54"/>
      <c r="E495" s="38"/>
      <c r="F495" s="54"/>
      <c r="G495" s="14"/>
      <c r="I495" s="38"/>
      <c r="J495" s="55"/>
    </row>
    <row r="496" customFormat="false" ht="15" hidden="false" customHeight="false" outlineLevel="0" collapsed="false">
      <c r="A496" s="14"/>
      <c r="B496" s="14"/>
      <c r="F496" s="38"/>
      <c r="G496" s="38"/>
      <c r="H496" s="38"/>
      <c r="I496" s="38"/>
      <c r="J496" s="38"/>
    </row>
    <row r="497" customFormat="false" ht="15" hidden="false" customHeight="false" outlineLevel="0" collapsed="false">
      <c r="B497" s="56"/>
    </row>
    <row r="498" customFormat="false" ht="15" hidden="false" customHeight="false" outlineLevel="0" collapsed="false">
      <c r="F498" s="57"/>
      <c r="G498" s="58"/>
      <c r="H498" s="59"/>
      <c r="J498" s="30"/>
    </row>
    <row r="499" customFormat="false" ht="15" hidden="false" customHeight="false" outlineLevel="0" collapsed="false">
      <c r="F499" s="57"/>
      <c r="G499" s="58"/>
      <c r="H499" s="59"/>
      <c r="I499" s="30"/>
      <c r="J499" s="30"/>
    </row>
    <row r="500" customFormat="false" ht="15" hidden="false" customHeight="false" outlineLevel="0" collapsed="false">
      <c r="F500" s="57"/>
      <c r="G500" s="58"/>
      <c r="H500" s="59"/>
      <c r="J500" s="30"/>
    </row>
    <row r="501" customFormat="false" ht="15" hidden="false" customHeight="false" outlineLevel="0" collapsed="false">
      <c r="F501" s="57"/>
      <c r="G501" s="58"/>
      <c r="H501" s="59"/>
      <c r="J501" s="55"/>
    </row>
    <row r="502" customFormat="false" ht="15" hidden="false" customHeight="false" outlineLevel="0" collapsed="false">
      <c r="B502" s="56"/>
      <c r="F502" s="57"/>
      <c r="G502" s="58"/>
      <c r="H502" s="59"/>
      <c r="I502" s="59"/>
      <c r="J502" s="30"/>
    </row>
    <row r="503" customFormat="false" ht="15" hidden="false" customHeight="false" outlineLevel="0" collapsed="false">
      <c r="F503" s="57"/>
      <c r="G503" s="58"/>
      <c r="H503" s="59"/>
      <c r="J503" s="30"/>
    </row>
    <row r="504" customFormat="false" ht="15" hidden="false" customHeight="false" outlineLevel="0" collapsed="false">
      <c r="J504" s="55"/>
    </row>
    <row r="505" customFormat="false" ht="15" hidden="false" customHeight="false" outlineLevel="0" collapsed="false">
      <c r="B505" s="56"/>
    </row>
    <row r="506" customFormat="false" ht="15" hidden="false" customHeight="false" outlineLevel="0" collapsed="false">
      <c r="F506" s="57"/>
      <c r="H506" s="59"/>
      <c r="I506" s="30"/>
      <c r="J506" s="30"/>
    </row>
    <row r="507" customFormat="false" ht="15" hidden="false" customHeight="false" outlineLevel="0" collapsed="false">
      <c r="I507" s="14"/>
      <c r="J507" s="55"/>
    </row>
    <row r="509" customFormat="false" ht="15" hidden="false" customHeight="false" outlineLevel="0" collapsed="false">
      <c r="A509" s="14"/>
      <c r="B509" s="14"/>
      <c r="C509" s="14"/>
      <c r="D509" s="14"/>
    </row>
    <row r="510" customFormat="false" ht="15" hidden="false" customHeight="false" outlineLevel="0" collapsed="false">
      <c r="A510" s="14"/>
      <c r="B510" s="14"/>
      <c r="C510" s="38"/>
      <c r="D510" s="54"/>
      <c r="E510" s="38"/>
      <c r="F510" s="54"/>
      <c r="G510" s="14"/>
      <c r="I510" s="38"/>
      <c r="J510" s="55"/>
    </row>
    <row r="511" customFormat="false" ht="15" hidden="false" customHeight="false" outlineLevel="0" collapsed="false">
      <c r="A511" s="14"/>
      <c r="B511" s="14"/>
      <c r="F511" s="38"/>
      <c r="G511" s="38"/>
      <c r="H511" s="38"/>
      <c r="I511" s="38"/>
      <c r="J511" s="38"/>
    </row>
    <row r="512" customFormat="false" ht="15" hidden="false" customHeight="false" outlineLevel="0" collapsed="false">
      <c r="B512" s="56"/>
    </row>
    <row r="513" customFormat="false" ht="15" hidden="false" customHeight="false" outlineLevel="0" collapsed="false">
      <c r="F513" s="57"/>
      <c r="G513" s="58"/>
      <c r="H513" s="59"/>
      <c r="J513" s="30"/>
    </row>
    <row r="514" customFormat="false" ht="15" hidden="false" customHeight="false" outlineLevel="0" collapsed="false">
      <c r="F514" s="57"/>
      <c r="G514" s="58"/>
      <c r="H514" s="59"/>
      <c r="I514" s="30"/>
      <c r="J514" s="30"/>
    </row>
    <row r="515" customFormat="false" ht="15" hidden="false" customHeight="false" outlineLevel="0" collapsed="false">
      <c r="F515" s="57"/>
      <c r="G515" s="58"/>
      <c r="H515" s="59"/>
      <c r="J515" s="30"/>
    </row>
    <row r="516" customFormat="false" ht="15" hidden="false" customHeight="false" outlineLevel="0" collapsed="false">
      <c r="F516" s="57"/>
      <c r="G516" s="58"/>
      <c r="H516" s="59"/>
      <c r="J516" s="55"/>
    </row>
    <row r="517" customFormat="false" ht="15" hidden="false" customHeight="false" outlineLevel="0" collapsed="false">
      <c r="B517" s="56"/>
      <c r="F517" s="57"/>
      <c r="G517" s="58"/>
      <c r="H517" s="59"/>
      <c r="I517" s="59"/>
      <c r="J517" s="30"/>
    </row>
    <row r="518" customFormat="false" ht="15" hidden="false" customHeight="false" outlineLevel="0" collapsed="false">
      <c r="F518" s="57"/>
      <c r="G518" s="58"/>
      <c r="H518" s="59"/>
      <c r="J518" s="30"/>
    </row>
    <row r="519" customFormat="false" ht="15" hidden="false" customHeight="false" outlineLevel="0" collapsed="false">
      <c r="J519" s="55"/>
    </row>
    <row r="520" customFormat="false" ht="15" hidden="false" customHeight="false" outlineLevel="0" collapsed="false">
      <c r="B520" s="56"/>
    </row>
    <row r="521" customFormat="false" ht="15" hidden="false" customHeight="false" outlineLevel="0" collapsed="false">
      <c r="F521" s="57"/>
      <c r="H521" s="59"/>
      <c r="I521" s="30"/>
      <c r="J521" s="30"/>
    </row>
    <row r="522" customFormat="false" ht="15" hidden="false" customHeight="false" outlineLevel="0" collapsed="false">
      <c r="I522" s="14"/>
      <c r="J522" s="55"/>
    </row>
    <row r="524" customFormat="false" ht="15" hidden="false" customHeight="false" outlineLevel="0" collapsed="false">
      <c r="A524" s="14"/>
      <c r="B524" s="14"/>
      <c r="C524" s="14"/>
      <c r="D524" s="14"/>
    </row>
    <row r="525" customFormat="false" ht="15" hidden="false" customHeight="false" outlineLevel="0" collapsed="false">
      <c r="A525" s="14"/>
      <c r="B525" s="14"/>
      <c r="C525" s="38"/>
      <c r="D525" s="54"/>
      <c r="E525" s="38"/>
      <c r="F525" s="54"/>
      <c r="G525" s="14"/>
      <c r="I525" s="38"/>
      <c r="J525" s="55"/>
    </row>
    <row r="526" customFormat="false" ht="15" hidden="false" customHeight="false" outlineLevel="0" collapsed="false">
      <c r="A526" s="14"/>
      <c r="B526" s="14"/>
      <c r="F526" s="38"/>
      <c r="G526" s="38"/>
      <c r="H526" s="38"/>
      <c r="I526" s="38"/>
      <c r="J526" s="38"/>
    </row>
    <row r="527" customFormat="false" ht="15" hidden="false" customHeight="false" outlineLevel="0" collapsed="false">
      <c r="B527" s="56"/>
    </row>
    <row r="528" customFormat="false" ht="15" hidden="false" customHeight="false" outlineLevel="0" collapsed="false">
      <c r="F528" s="57"/>
      <c r="G528" s="58"/>
      <c r="H528" s="59"/>
      <c r="I528" s="30"/>
      <c r="J528" s="30"/>
    </row>
    <row r="529" customFormat="false" ht="15" hidden="false" customHeight="false" outlineLevel="0" collapsed="false">
      <c r="F529" s="57"/>
      <c r="G529" s="58"/>
      <c r="H529" s="59"/>
      <c r="J529" s="30"/>
    </row>
    <row r="530" customFormat="false" ht="15" hidden="false" customHeight="false" outlineLevel="0" collapsed="false">
      <c r="F530" s="57"/>
      <c r="G530" s="58"/>
      <c r="H530" s="59"/>
      <c r="J530" s="55"/>
    </row>
    <row r="531" customFormat="false" ht="15" hidden="false" customHeight="false" outlineLevel="0" collapsed="false">
      <c r="B531" s="56"/>
      <c r="F531" s="57"/>
      <c r="G531" s="58"/>
      <c r="H531" s="59"/>
      <c r="I531" s="59"/>
      <c r="J531" s="30"/>
    </row>
    <row r="532" customFormat="false" ht="15" hidden="false" customHeight="false" outlineLevel="0" collapsed="false">
      <c r="F532" s="57"/>
      <c r="G532" s="58"/>
      <c r="H532" s="59"/>
      <c r="J532" s="30"/>
    </row>
    <row r="533" customFormat="false" ht="15" hidden="false" customHeight="false" outlineLevel="0" collapsed="false">
      <c r="J533" s="55"/>
    </row>
    <row r="534" customFormat="false" ht="15" hidden="false" customHeight="false" outlineLevel="0" collapsed="false">
      <c r="B534" s="56"/>
    </row>
    <row r="535" customFormat="false" ht="15" hidden="false" customHeight="false" outlineLevel="0" collapsed="false">
      <c r="F535" s="57"/>
      <c r="H535" s="59"/>
      <c r="I535" s="30"/>
      <c r="J535" s="30"/>
    </row>
    <row r="536" customFormat="false" ht="15" hidden="false" customHeight="false" outlineLevel="0" collapsed="false">
      <c r="I536" s="14"/>
      <c r="J536" s="55"/>
    </row>
    <row r="538" customFormat="false" ht="15" hidden="false" customHeight="false" outlineLevel="0" collapsed="false">
      <c r="A538" s="14"/>
      <c r="B538" s="14"/>
      <c r="C538" s="14"/>
      <c r="D538" s="14"/>
    </row>
    <row r="539" customFormat="false" ht="15" hidden="false" customHeight="false" outlineLevel="0" collapsed="false">
      <c r="A539" s="14"/>
      <c r="B539" s="14"/>
      <c r="C539" s="38"/>
      <c r="D539" s="54"/>
      <c r="E539" s="38"/>
      <c r="F539" s="54"/>
      <c r="G539" s="14"/>
      <c r="I539" s="38"/>
      <c r="J539" s="55"/>
    </row>
    <row r="540" customFormat="false" ht="15" hidden="false" customHeight="false" outlineLevel="0" collapsed="false">
      <c r="A540" s="14"/>
      <c r="B540" s="14"/>
      <c r="F540" s="38"/>
      <c r="G540" s="38"/>
      <c r="H540" s="38"/>
      <c r="I540" s="38"/>
      <c r="J540" s="38"/>
    </row>
    <row r="541" customFormat="false" ht="15" hidden="false" customHeight="false" outlineLevel="0" collapsed="false">
      <c r="B541" s="56"/>
    </row>
    <row r="542" customFormat="false" ht="15" hidden="false" customHeight="false" outlineLevel="0" collapsed="false">
      <c r="F542" s="57"/>
      <c r="G542" s="58"/>
      <c r="H542" s="59"/>
      <c r="I542" s="30"/>
      <c r="J542" s="30"/>
    </row>
    <row r="543" customFormat="false" ht="15" hidden="false" customHeight="false" outlineLevel="0" collapsed="false">
      <c r="F543" s="57"/>
      <c r="G543" s="58"/>
      <c r="H543" s="59"/>
      <c r="J543" s="30"/>
    </row>
    <row r="544" customFormat="false" ht="15" hidden="false" customHeight="false" outlineLevel="0" collapsed="false">
      <c r="F544" s="57"/>
      <c r="G544" s="58"/>
      <c r="H544" s="59"/>
      <c r="J544" s="55"/>
    </row>
    <row r="545" customFormat="false" ht="15" hidden="false" customHeight="false" outlineLevel="0" collapsed="false">
      <c r="B545" s="56"/>
      <c r="F545" s="57"/>
      <c r="G545" s="58"/>
      <c r="H545" s="59"/>
      <c r="I545" s="59"/>
      <c r="J545" s="30"/>
    </row>
    <row r="546" customFormat="false" ht="15" hidden="false" customHeight="false" outlineLevel="0" collapsed="false">
      <c r="F546" s="57"/>
      <c r="G546" s="58"/>
      <c r="H546" s="59"/>
      <c r="J546" s="30"/>
    </row>
    <row r="547" customFormat="false" ht="15" hidden="false" customHeight="false" outlineLevel="0" collapsed="false">
      <c r="J547" s="55"/>
    </row>
    <row r="548" customFormat="false" ht="15" hidden="false" customHeight="false" outlineLevel="0" collapsed="false">
      <c r="B548" s="56"/>
    </row>
    <row r="549" customFormat="false" ht="15" hidden="false" customHeight="false" outlineLevel="0" collapsed="false">
      <c r="F549" s="57"/>
      <c r="H549" s="59"/>
      <c r="I549" s="30"/>
      <c r="J549" s="30"/>
    </row>
    <row r="550" customFormat="false" ht="15" hidden="false" customHeight="false" outlineLevel="0" collapsed="false">
      <c r="I550" s="14"/>
      <c r="J550" s="55"/>
    </row>
    <row r="551" customFormat="false" ht="15" hidden="false" customHeight="false" outlineLevel="0" collapsed="false">
      <c r="A551" s="138"/>
      <c r="B551" s="138"/>
      <c r="C551" s="138"/>
      <c r="D551" s="138"/>
      <c r="E551" s="138"/>
      <c r="F551" s="138"/>
      <c r="G551" s="138"/>
    </row>
    <row r="552" customFormat="false" ht="15" hidden="false" customHeight="false" outlineLevel="0" collapsed="false">
      <c r="A552" s="14"/>
      <c r="B552" s="14"/>
      <c r="C552" s="14"/>
      <c r="D552" s="14"/>
    </row>
    <row r="553" customFormat="false" ht="15" hidden="false" customHeight="false" outlineLevel="0" collapsed="false">
      <c r="A553" s="14"/>
      <c r="B553" s="14"/>
      <c r="C553" s="38"/>
      <c r="D553" s="54"/>
      <c r="E553" s="38"/>
      <c r="F553" s="54"/>
      <c r="G553" s="14"/>
      <c r="I553" s="38"/>
      <c r="J553" s="55"/>
    </row>
    <row r="554" customFormat="false" ht="15" hidden="false" customHeight="false" outlineLevel="0" collapsed="false">
      <c r="A554" s="14"/>
      <c r="B554" s="14"/>
      <c r="F554" s="38"/>
      <c r="G554" s="38"/>
      <c r="H554" s="38"/>
      <c r="I554" s="38"/>
      <c r="J554" s="38"/>
    </row>
    <row r="555" customFormat="false" ht="15" hidden="false" customHeight="false" outlineLevel="0" collapsed="false">
      <c r="B555" s="56"/>
    </row>
    <row r="556" customFormat="false" ht="15" hidden="false" customHeight="false" outlineLevel="0" collapsed="false">
      <c r="F556" s="57"/>
      <c r="G556" s="58"/>
      <c r="H556" s="59"/>
      <c r="I556" s="30"/>
      <c r="J556" s="30"/>
    </row>
    <row r="557" customFormat="false" ht="15" hidden="false" customHeight="false" outlineLevel="0" collapsed="false">
      <c r="F557" s="57"/>
      <c r="G557" s="58"/>
      <c r="H557" s="59"/>
      <c r="J557" s="30"/>
    </row>
    <row r="558" customFormat="false" ht="15" hidden="false" customHeight="false" outlineLevel="0" collapsed="false">
      <c r="F558" s="57"/>
      <c r="G558" s="58"/>
      <c r="H558" s="59"/>
      <c r="J558" s="55"/>
    </row>
    <row r="559" customFormat="false" ht="15" hidden="false" customHeight="false" outlineLevel="0" collapsed="false">
      <c r="B559" s="56"/>
      <c r="F559" s="57"/>
      <c r="G559" s="58"/>
      <c r="H559" s="59"/>
      <c r="I559" s="59"/>
      <c r="J559" s="30"/>
    </row>
    <row r="560" customFormat="false" ht="15" hidden="false" customHeight="false" outlineLevel="0" collapsed="false">
      <c r="F560" s="57"/>
      <c r="G560" s="58"/>
      <c r="H560" s="59"/>
      <c r="J560" s="30"/>
    </row>
    <row r="561" customFormat="false" ht="15" hidden="false" customHeight="false" outlineLevel="0" collapsed="false">
      <c r="J561" s="55"/>
    </row>
    <row r="562" customFormat="false" ht="15" hidden="false" customHeight="false" outlineLevel="0" collapsed="false">
      <c r="B562" s="56"/>
    </row>
    <row r="563" customFormat="false" ht="15" hidden="false" customHeight="false" outlineLevel="0" collapsed="false">
      <c r="F563" s="57"/>
      <c r="H563" s="59"/>
      <c r="I563" s="30"/>
      <c r="J563" s="30"/>
    </row>
    <row r="564" customFormat="false" ht="15" hidden="false" customHeight="false" outlineLevel="0" collapsed="false">
      <c r="I564" s="14"/>
      <c r="J564" s="55"/>
    </row>
    <row r="565" customFormat="false" ht="15" hidden="false" customHeight="false" outlineLevel="0" collapsed="false">
      <c r="A565" s="138"/>
      <c r="B565" s="138"/>
      <c r="C565" s="138"/>
      <c r="D565" s="138"/>
      <c r="E565" s="138"/>
      <c r="F565" s="138"/>
      <c r="G565" s="138"/>
    </row>
    <row r="566" customFormat="false" ht="15" hidden="false" customHeight="false" outlineLevel="0" collapsed="false">
      <c r="A566" s="14"/>
      <c r="B566" s="14"/>
      <c r="C566" s="14"/>
      <c r="D566" s="14"/>
    </row>
    <row r="567" customFormat="false" ht="15" hidden="false" customHeight="false" outlineLevel="0" collapsed="false">
      <c r="A567" s="14"/>
      <c r="B567" s="14"/>
      <c r="C567" s="38"/>
      <c r="D567" s="54"/>
      <c r="E567" s="38"/>
      <c r="F567" s="54"/>
      <c r="G567" s="14"/>
      <c r="I567" s="38"/>
      <c r="J567" s="55"/>
    </row>
    <row r="568" customFormat="false" ht="15" hidden="false" customHeight="false" outlineLevel="0" collapsed="false">
      <c r="A568" s="14"/>
      <c r="B568" s="14"/>
      <c r="F568" s="38"/>
      <c r="G568" s="38"/>
      <c r="H568" s="38"/>
      <c r="I568" s="38"/>
      <c r="J568" s="38"/>
    </row>
    <row r="569" customFormat="false" ht="15" hidden="false" customHeight="false" outlineLevel="0" collapsed="false">
      <c r="B569" s="56"/>
    </row>
    <row r="570" customFormat="false" ht="15" hidden="false" customHeight="false" outlineLevel="0" collapsed="false">
      <c r="F570" s="57"/>
      <c r="G570" s="58"/>
      <c r="H570" s="59"/>
      <c r="I570" s="30"/>
      <c r="J570" s="30"/>
    </row>
    <row r="571" customFormat="false" ht="15" hidden="false" customHeight="false" outlineLevel="0" collapsed="false">
      <c r="F571" s="57"/>
      <c r="G571" s="58"/>
      <c r="H571" s="59"/>
      <c r="J571" s="30"/>
    </row>
    <row r="572" customFormat="false" ht="15" hidden="false" customHeight="false" outlineLevel="0" collapsed="false">
      <c r="F572" s="57"/>
      <c r="G572" s="58"/>
      <c r="H572" s="59"/>
      <c r="J572" s="55"/>
    </row>
    <row r="573" customFormat="false" ht="15" hidden="false" customHeight="false" outlineLevel="0" collapsed="false">
      <c r="B573" s="56"/>
      <c r="F573" s="57"/>
      <c r="G573" s="58"/>
      <c r="H573" s="59"/>
      <c r="I573" s="59"/>
      <c r="J573" s="30"/>
    </row>
    <row r="574" customFormat="false" ht="15" hidden="false" customHeight="false" outlineLevel="0" collapsed="false">
      <c r="F574" s="57"/>
      <c r="G574" s="58"/>
      <c r="H574" s="59"/>
      <c r="J574" s="30"/>
    </row>
    <row r="575" customFormat="false" ht="15" hidden="false" customHeight="false" outlineLevel="0" collapsed="false">
      <c r="J575" s="55"/>
    </row>
    <row r="576" customFormat="false" ht="15" hidden="false" customHeight="false" outlineLevel="0" collapsed="false">
      <c r="B576" s="56"/>
    </row>
    <row r="577" customFormat="false" ht="15" hidden="false" customHeight="false" outlineLevel="0" collapsed="false">
      <c r="F577" s="57"/>
      <c r="H577" s="59"/>
      <c r="I577" s="30"/>
      <c r="J577" s="30"/>
    </row>
    <row r="578" customFormat="false" ht="15" hidden="false" customHeight="false" outlineLevel="0" collapsed="false">
      <c r="I578" s="14"/>
      <c r="J578" s="55"/>
    </row>
    <row r="579" customFormat="false" ht="15" hidden="false" customHeight="false" outlineLevel="0" collapsed="false">
      <c r="A579" s="138"/>
      <c r="B579" s="138"/>
      <c r="C579" s="138"/>
      <c r="D579" s="138"/>
      <c r="E579" s="138"/>
      <c r="F579" s="138"/>
      <c r="G579" s="139"/>
    </row>
    <row r="580" customFormat="false" ht="15" hidden="false" customHeight="false" outlineLevel="0" collapsed="false">
      <c r="A580" s="14"/>
      <c r="B580" s="14"/>
      <c r="C580" s="14"/>
      <c r="D580" s="14"/>
    </row>
    <row r="581" customFormat="false" ht="15" hidden="false" customHeight="false" outlineLevel="0" collapsed="false">
      <c r="A581" s="14"/>
      <c r="B581" s="14"/>
      <c r="C581" s="38"/>
      <c r="D581" s="54"/>
      <c r="E581" s="38"/>
      <c r="F581" s="54"/>
      <c r="G581" s="14"/>
      <c r="I581" s="38"/>
      <c r="J581" s="55"/>
    </row>
    <row r="582" customFormat="false" ht="15" hidden="false" customHeight="false" outlineLevel="0" collapsed="false">
      <c r="A582" s="14"/>
      <c r="B582" s="14"/>
      <c r="F582" s="38"/>
      <c r="G582" s="38"/>
      <c r="H582" s="38"/>
      <c r="I582" s="38"/>
      <c r="J582" s="38"/>
    </row>
    <row r="583" customFormat="false" ht="15" hidden="false" customHeight="false" outlineLevel="0" collapsed="false">
      <c r="B583" s="56"/>
    </row>
    <row r="584" customFormat="false" ht="15" hidden="false" customHeight="false" outlineLevel="0" collapsed="false">
      <c r="F584" s="57"/>
      <c r="G584" s="58"/>
      <c r="H584" s="59"/>
      <c r="I584" s="30"/>
      <c r="J584" s="30"/>
    </row>
    <row r="585" customFormat="false" ht="15" hidden="false" customHeight="false" outlineLevel="0" collapsed="false">
      <c r="F585" s="57"/>
      <c r="G585" s="58"/>
      <c r="H585" s="59"/>
      <c r="J585" s="30"/>
    </row>
    <row r="586" customFormat="false" ht="15" hidden="false" customHeight="false" outlineLevel="0" collapsed="false">
      <c r="F586" s="57"/>
      <c r="G586" s="58"/>
      <c r="H586" s="59"/>
      <c r="J586" s="55"/>
    </row>
    <row r="587" customFormat="false" ht="15" hidden="false" customHeight="false" outlineLevel="0" collapsed="false">
      <c r="B587" s="56"/>
      <c r="F587" s="57"/>
      <c r="G587" s="58"/>
      <c r="H587" s="59"/>
      <c r="I587" s="59"/>
      <c r="J587" s="30"/>
    </row>
    <row r="588" customFormat="false" ht="15" hidden="false" customHeight="false" outlineLevel="0" collapsed="false">
      <c r="F588" s="57"/>
      <c r="G588" s="58"/>
      <c r="H588" s="59"/>
      <c r="J588" s="30"/>
    </row>
    <row r="589" customFormat="false" ht="15" hidden="false" customHeight="false" outlineLevel="0" collapsed="false">
      <c r="J589" s="55"/>
    </row>
    <row r="590" customFormat="false" ht="15" hidden="false" customHeight="false" outlineLevel="0" collapsed="false">
      <c r="B590" s="56"/>
    </row>
    <row r="591" customFormat="false" ht="15" hidden="false" customHeight="false" outlineLevel="0" collapsed="false">
      <c r="F591" s="57"/>
      <c r="H591" s="59"/>
      <c r="I591" s="30"/>
      <c r="J591" s="30"/>
    </row>
    <row r="592" customFormat="false" ht="15" hidden="false" customHeight="false" outlineLevel="0" collapsed="false">
      <c r="I592" s="14"/>
      <c r="J592" s="55"/>
    </row>
    <row r="593" customFormat="false" ht="15" hidden="false" customHeight="false" outlineLevel="0" collapsed="false">
      <c r="A593" s="138"/>
      <c r="B593" s="138"/>
      <c r="C593" s="138"/>
      <c r="D593" s="138"/>
      <c r="E593" s="138"/>
      <c r="F593" s="138"/>
      <c r="G593" s="138"/>
    </row>
    <row r="594" customFormat="false" ht="15" hidden="false" customHeight="false" outlineLevel="0" collapsed="false">
      <c r="A594" s="14"/>
      <c r="B594" s="14"/>
      <c r="C594" s="14"/>
      <c r="D594" s="14"/>
    </row>
    <row r="595" customFormat="false" ht="15" hidden="false" customHeight="false" outlineLevel="0" collapsed="false">
      <c r="A595" s="14"/>
      <c r="B595" s="14"/>
      <c r="C595" s="38"/>
      <c r="D595" s="54"/>
      <c r="E595" s="38"/>
      <c r="F595" s="54"/>
      <c r="G595" s="14"/>
      <c r="I595" s="38"/>
      <c r="J595" s="55"/>
    </row>
    <row r="596" customFormat="false" ht="15" hidden="false" customHeight="false" outlineLevel="0" collapsed="false">
      <c r="A596" s="14"/>
      <c r="B596" s="14"/>
      <c r="F596" s="38"/>
      <c r="G596" s="38"/>
      <c r="H596" s="38"/>
      <c r="I596" s="38"/>
      <c r="J596" s="38"/>
    </row>
    <row r="597" customFormat="false" ht="15" hidden="false" customHeight="false" outlineLevel="0" collapsed="false">
      <c r="B597" s="56"/>
    </row>
    <row r="598" customFormat="false" ht="15" hidden="false" customHeight="false" outlineLevel="0" collapsed="false">
      <c r="F598" s="57"/>
      <c r="G598" s="58"/>
      <c r="H598" s="59"/>
      <c r="I598" s="30"/>
      <c r="J598" s="30"/>
    </row>
    <row r="599" customFormat="false" ht="15" hidden="false" customHeight="false" outlineLevel="0" collapsed="false">
      <c r="F599" s="57"/>
      <c r="G599" s="58"/>
      <c r="H599" s="59"/>
      <c r="J599" s="30"/>
    </row>
    <row r="600" customFormat="false" ht="15" hidden="false" customHeight="false" outlineLevel="0" collapsed="false">
      <c r="F600" s="57"/>
      <c r="G600" s="58"/>
      <c r="H600" s="59"/>
      <c r="J600" s="55"/>
    </row>
    <row r="601" customFormat="false" ht="15" hidden="false" customHeight="false" outlineLevel="0" collapsed="false">
      <c r="B601" s="56"/>
      <c r="F601" s="57"/>
      <c r="G601" s="58"/>
      <c r="H601" s="59"/>
      <c r="I601" s="59"/>
      <c r="J601" s="30"/>
    </row>
    <row r="602" customFormat="false" ht="15" hidden="false" customHeight="false" outlineLevel="0" collapsed="false">
      <c r="F602" s="57"/>
      <c r="G602" s="58"/>
      <c r="H602" s="59"/>
      <c r="J602" s="30"/>
    </row>
    <row r="603" customFormat="false" ht="15" hidden="false" customHeight="false" outlineLevel="0" collapsed="false">
      <c r="J603" s="55"/>
    </row>
    <row r="604" customFormat="false" ht="15" hidden="false" customHeight="false" outlineLevel="0" collapsed="false">
      <c r="B604" s="56"/>
    </row>
    <row r="605" customFormat="false" ht="15" hidden="false" customHeight="false" outlineLevel="0" collapsed="false">
      <c r="F605" s="57"/>
      <c r="H605" s="59"/>
      <c r="I605" s="30"/>
      <c r="J605" s="30"/>
    </row>
    <row r="606" customFormat="false" ht="15" hidden="false" customHeight="false" outlineLevel="0" collapsed="false">
      <c r="I606" s="14"/>
      <c r="J606" s="55"/>
    </row>
    <row r="607" customFormat="false" ht="15" hidden="false" customHeight="false" outlineLevel="0" collapsed="false">
      <c r="A607" s="138"/>
      <c r="B607" s="139"/>
      <c r="C607" s="138"/>
      <c r="D607" s="139"/>
      <c r="E607" s="139"/>
      <c r="F607" s="139"/>
      <c r="G607" s="139"/>
    </row>
    <row r="608" customFormat="false" ht="15" hidden="false" customHeight="false" outlineLevel="0" collapsed="false">
      <c r="A608" s="14"/>
      <c r="B608" s="14"/>
      <c r="C608" s="14"/>
      <c r="D608" s="14"/>
    </row>
    <row r="609" customFormat="false" ht="15" hidden="false" customHeight="false" outlineLevel="0" collapsed="false">
      <c r="A609" s="14"/>
      <c r="B609" s="14"/>
      <c r="C609" s="38"/>
      <c r="D609" s="54"/>
      <c r="E609" s="38"/>
      <c r="F609" s="54"/>
      <c r="G609" s="14"/>
      <c r="I609" s="38"/>
      <c r="J609" s="55"/>
    </row>
    <row r="610" customFormat="false" ht="15" hidden="false" customHeight="false" outlineLevel="0" collapsed="false">
      <c r="A610" s="14"/>
      <c r="B610" s="14"/>
      <c r="F610" s="38"/>
      <c r="G610" s="38"/>
      <c r="H610" s="38"/>
      <c r="I610" s="38"/>
      <c r="J610" s="38"/>
    </row>
    <row r="611" customFormat="false" ht="15" hidden="false" customHeight="false" outlineLevel="0" collapsed="false">
      <c r="B611" s="56"/>
    </row>
    <row r="612" customFormat="false" ht="15" hidden="false" customHeight="false" outlineLevel="0" collapsed="false">
      <c r="F612" s="57"/>
      <c r="G612" s="58"/>
      <c r="H612" s="59"/>
      <c r="I612" s="30"/>
      <c r="J612" s="30"/>
    </row>
    <row r="613" customFormat="false" ht="15" hidden="false" customHeight="false" outlineLevel="0" collapsed="false">
      <c r="F613" s="57"/>
      <c r="G613" s="58"/>
      <c r="H613" s="59"/>
      <c r="J613" s="30"/>
    </row>
    <row r="614" customFormat="false" ht="15" hidden="false" customHeight="false" outlineLevel="0" collapsed="false">
      <c r="F614" s="57"/>
      <c r="G614" s="58"/>
      <c r="H614" s="59"/>
      <c r="J614" s="55"/>
    </row>
    <row r="615" customFormat="false" ht="15" hidden="false" customHeight="false" outlineLevel="0" collapsed="false">
      <c r="B615" s="56"/>
      <c r="F615" s="57"/>
      <c r="G615" s="58"/>
      <c r="H615" s="59"/>
      <c r="I615" s="59"/>
      <c r="J615" s="30"/>
    </row>
    <row r="616" customFormat="false" ht="15" hidden="false" customHeight="false" outlineLevel="0" collapsed="false">
      <c r="F616" s="57"/>
      <c r="G616" s="58"/>
      <c r="H616" s="59"/>
      <c r="J616" s="30"/>
    </row>
    <row r="617" customFormat="false" ht="15" hidden="false" customHeight="false" outlineLevel="0" collapsed="false">
      <c r="J617" s="55"/>
    </row>
    <row r="618" customFormat="false" ht="15" hidden="false" customHeight="false" outlineLevel="0" collapsed="false">
      <c r="B618" s="56"/>
    </row>
    <row r="619" customFormat="false" ht="15" hidden="false" customHeight="false" outlineLevel="0" collapsed="false">
      <c r="F619" s="57"/>
      <c r="H619" s="59"/>
      <c r="I619" s="30"/>
      <c r="J619" s="30"/>
    </row>
    <row r="620" customFormat="false" ht="15" hidden="false" customHeight="false" outlineLevel="0" collapsed="false">
      <c r="I620" s="14"/>
      <c r="J620" s="55"/>
    </row>
    <row r="621" customFormat="false" ht="15" hidden="false" customHeight="false" outlineLevel="0" collapsed="false">
      <c r="A621" s="134"/>
      <c r="B621" s="139"/>
      <c r="C621" s="138"/>
      <c r="D621" s="138"/>
      <c r="E621" s="134"/>
      <c r="F621" s="140"/>
      <c r="G621" s="138"/>
    </row>
    <row r="622" customFormat="false" ht="15" hidden="false" customHeight="false" outlineLevel="0" collapsed="false">
      <c r="A622" s="14"/>
      <c r="B622" s="14"/>
      <c r="C622" s="14"/>
      <c r="D622" s="14"/>
    </row>
    <row r="623" customFormat="false" ht="15" hidden="false" customHeight="false" outlineLevel="0" collapsed="false">
      <c r="A623" s="14"/>
      <c r="B623" s="14"/>
      <c r="C623" s="38"/>
      <c r="D623" s="54"/>
      <c r="E623" s="38"/>
      <c r="F623" s="54"/>
      <c r="G623" s="14"/>
      <c r="I623" s="38"/>
      <c r="J623" s="55"/>
    </row>
    <row r="624" customFormat="false" ht="15" hidden="false" customHeight="false" outlineLevel="0" collapsed="false">
      <c r="A624" s="14"/>
      <c r="B624" s="14"/>
      <c r="F624" s="38"/>
      <c r="G624" s="38"/>
      <c r="H624" s="38"/>
      <c r="I624" s="38"/>
      <c r="J624" s="38"/>
    </row>
    <row r="625" customFormat="false" ht="15" hidden="false" customHeight="false" outlineLevel="0" collapsed="false">
      <c r="B625" s="56"/>
    </row>
    <row r="626" customFormat="false" ht="15" hidden="false" customHeight="false" outlineLevel="0" collapsed="false">
      <c r="F626" s="57"/>
      <c r="G626" s="58"/>
      <c r="H626" s="59"/>
      <c r="I626" s="30"/>
      <c r="J626" s="30"/>
    </row>
    <row r="627" customFormat="false" ht="15" hidden="false" customHeight="false" outlineLevel="0" collapsed="false">
      <c r="F627" s="57"/>
      <c r="G627" s="58"/>
      <c r="H627" s="59"/>
      <c r="J627" s="30"/>
    </row>
    <row r="628" customFormat="false" ht="15" hidden="false" customHeight="false" outlineLevel="0" collapsed="false">
      <c r="F628" s="57"/>
      <c r="G628" s="58"/>
      <c r="H628" s="59"/>
      <c r="J628" s="55"/>
    </row>
    <row r="629" customFormat="false" ht="15" hidden="false" customHeight="false" outlineLevel="0" collapsed="false">
      <c r="B629" s="56"/>
      <c r="F629" s="57"/>
      <c r="G629" s="58"/>
      <c r="H629" s="59"/>
      <c r="I629" s="59"/>
      <c r="J629" s="30"/>
    </row>
    <row r="630" customFormat="false" ht="15" hidden="false" customHeight="false" outlineLevel="0" collapsed="false">
      <c r="F630" s="57"/>
      <c r="G630" s="58"/>
      <c r="H630" s="59"/>
      <c r="J630" s="30"/>
    </row>
    <row r="631" customFormat="false" ht="15" hidden="false" customHeight="false" outlineLevel="0" collapsed="false">
      <c r="J631" s="55"/>
    </row>
    <row r="632" customFormat="false" ht="15" hidden="false" customHeight="false" outlineLevel="0" collapsed="false">
      <c r="B632" s="56"/>
    </row>
    <row r="633" customFormat="false" ht="15" hidden="false" customHeight="false" outlineLevel="0" collapsed="false">
      <c r="F633" s="57"/>
      <c r="H633" s="59"/>
      <c r="I633" s="30"/>
      <c r="J633" s="30"/>
    </row>
    <row r="634" customFormat="false" ht="15" hidden="false" customHeight="false" outlineLevel="0" collapsed="false">
      <c r="I634" s="14"/>
      <c r="J634" s="55"/>
    </row>
    <row r="635" customFormat="false" ht="15" hidden="false" customHeight="false" outlineLevel="0" collapsed="false">
      <c r="A635" s="134"/>
      <c r="B635" s="134"/>
      <c r="C635" s="138"/>
      <c r="D635" s="138"/>
      <c r="E635" s="134"/>
      <c r="F635" s="141"/>
      <c r="G635" s="134"/>
    </row>
    <row r="636" customFormat="false" ht="15" hidden="false" customHeight="false" outlineLevel="0" collapsed="false">
      <c r="A636" s="14"/>
      <c r="B636" s="14"/>
      <c r="C636" s="14"/>
      <c r="D636" s="14"/>
    </row>
    <row r="637" customFormat="false" ht="15" hidden="false" customHeight="false" outlineLevel="0" collapsed="false">
      <c r="A637" s="14"/>
      <c r="B637" s="14"/>
      <c r="C637" s="38"/>
      <c r="D637" s="54"/>
      <c r="E637" s="38"/>
      <c r="F637" s="54"/>
      <c r="G637" s="14"/>
      <c r="I637" s="38"/>
      <c r="J637" s="55"/>
    </row>
    <row r="638" customFormat="false" ht="15" hidden="false" customHeight="false" outlineLevel="0" collapsed="false">
      <c r="A638" s="14"/>
      <c r="B638" s="14"/>
      <c r="F638" s="38"/>
      <c r="G638" s="38"/>
      <c r="H638" s="38"/>
      <c r="I638" s="38"/>
      <c r="J638" s="38"/>
    </row>
    <row r="639" customFormat="false" ht="15" hidden="false" customHeight="false" outlineLevel="0" collapsed="false">
      <c r="B639" s="56"/>
    </row>
    <row r="640" customFormat="false" ht="15" hidden="false" customHeight="false" outlineLevel="0" collapsed="false">
      <c r="F640" s="57"/>
      <c r="G640" s="58"/>
      <c r="H640" s="59"/>
      <c r="I640" s="30"/>
      <c r="J640" s="30"/>
    </row>
    <row r="641" customFormat="false" ht="15" hidden="false" customHeight="false" outlineLevel="0" collapsed="false">
      <c r="F641" s="57"/>
      <c r="G641" s="58"/>
      <c r="H641" s="59"/>
      <c r="J641" s="30"/>
    </row>
    <row r="642" customFormat="false" ht="15" hidden="false" customHeight="false" outlineLevel="0" collapsed="false">
      <c r="F642" s="57"/>
      <c r="G642" s="58"/>
      <c r="H642" s="59"/>
      <c r="J642" s="55"/>
    </row>
    <row r="643" customFormat="false" ht="15" hidden="false" customHeight="false" outlineLevel="0" collapsed="false">
      <c r="B643" s="56"/>
      <c r="F643" s="57"/>
      <c r="G643" s="58"/>
      <c r="H643" s="59"/>
      <c r="I643" s="59"/>
      <c r="J643" s="30"/>
    </row>
    <row r="644" customFormat="false" ht="15" hidden="false" customHeight="false" outlineLevel="0" collapsed="false">
      <c r="F644" s="57"/>
      <c r="G644" s="58"/>
      <c r="H644" s="59"/>
      <c r="J644" s="30"/>
    </row>
    <row r="645" customFormat="false" ht="15" hidden="false" customHeight="false" outlineLevel="0" collapsed="false">
      <c r="J645" s="55"/>
    </row>
    <row r="646" customFormat="false" ht="15" hidden="false" customHeight="false" outlineLevel="0" collapsed="false">
      <c r="B646" s="56"/>
    </row>
    <row r="647" customFormat="false" ht="15" hidden="false" customHeight="false" outlineLevel="0" collapsed="false">
      <c r="F647" s="57"/>
      <c r="H647" s="59"/>
      <c r="I647" s="30"/>
      <c r="J647" s="30"/>
    </row>
    <row r="648" customFormat="false" ht="15" hidden="false" customHeight="false" outlineLevel="0" collapsed="false">
      <c r="F648" s="57"/>
      <c r="G648" s="58"/>
      <c r="H648" s="59"/>
      <c r="J648" s="30"/>
    </row>
    <row r="649" customFormat="false" ht="15" hidden="false" customHeight="false" outlineLevel="0" collapsed="false">
      <c r="I649" s="14"/>
      <c r="J649" s="55"/>
    </row>
    <row r="650" customFormat="false" ht="15" hidden="false" customHeight="false" outlineLevel="0" collapsed="false">
      <c r="A650" s="142"/>
      <c r="B650" s="15"/>
      <c r="C650" s="15"/>
      <c r="D650" s="15"/>
      <c r="E650" s="15"/>
      <c r="F650" s="143"/>
      <c r="G650" s="15"/>
      <c r="H650" s="144"/>
      <c r="I650" s="145"/>
      <c r="J650" s="145"/>
    </row>
    <row r="651" customFormat="false" ht="15" hidden="false" customHeight="false" outlineLevel="0" collapsed="false">
      <c r="A651" s="2"/>
      <c r="B651" s="2"/>
      <c r="C651" s="2"/>
      <c r="D651" s="2"/>
      <c r="E651" s="122"/>
      <c r="F651" s="122"/>
      <c r="G651" s="122"/>
      <c r="H651" s="122"/>
      <c r="I651" s="122"/>
      <c r="J651" s="122"/>
    </row>
    <row r="652" customFormat="false" ht="15" hidden="false" customHeight="false" outlineLevel="0" collapsed="false">
      <c r="A652" s="2"/>
      <c r="B652" s="2"/>
      <c r="C652" s="146"/>
      <c r="D652" s="147"/>
      <c r="E652" s="146"/>
      <c r="F652" s="147"/>
      <c r="G652" s="2"/>
      <c r="H652" s="122"/>
      <c r="I652" s="146"/>
      <c r="J652" s="148"/>
    </row>
    <row r="653" customFormat="false" ht="15" hidden="false" customHeight="false" outlineLevel="0" collapsed="false">
      <c r="A653" s="2"/>
      <c r="B653" s="2"/>
      <c r="C653" s="122"/>
      <c r="D653" s="122"/>
      <c r="E653" s="122"/>
      <c r="F653" s="146"/>
      <c r="G653" s="146"/>
      <c r="H653" s="146"/>
      <c r="I653" s="146"/>
      <c r="J653" s="146"/>
    </row>
    <row r="654" customFormat="false" ht="15" hidden="false" customHeight="false" outlineLevel="0" collapsed="false">
      <c r="A654" s="122"/>
      <c r="B654" s="56"/>
      <c r="C654" s="122"/>
      <c r="D654" s="122"/>
      <c r="E654" s="122"/>
      <c r="F654" s="122"/>
      <c r="G654" s="122"/>
      <c r="H654" s="122"/>
      <c r="I654" s="122"/>
      <c r="J654" s="122"/>
    </row>
    <row r="655" customFormat="false" ht="15" hidden="false" customHeight="false" outlineLevel="0" collapsed="false">
      <c r="A655" s="122"/>
      <c r="B655" s="122"/>
      <c r="C655" s="122"/>
      <c r="D655" s="122"/>
      <c r="E655" s="122"/>
      <c r="F655" s="149"/>
      <c r="G655" s="150"/>
      <c r="H655" s="151"/>
      <c r="I655" s="152"/>
      <c r="J655" s="152"/>
    </row>
    <row r="656" customFormat="false" ht="15" hidden="false" customHeight="false" outlineLevel="0" collapsed="false">
      <c r="A656" s="122"/>
      <c r="B656" s="122"/>
      <c r="C656" s="122"/>
      <c r="D656" s="122"/>
      <c r="E656" s="122"/>
      <c r="F656" s="149"/>
      <c r="G656" s="150"/>
      <c r="H656" s="151"/>
      <c r="I656" s="122"/>
      <c r="J656" s="152"/>
    </row>
    <row r="657" customFormat="false" ht="15" hidden="false" customHeight="false" outlineLevel="0" collapsed="false">
      <c r="A657" s="122"/>
      <c r="B657" s="122"/>
      <c r="C657" s="122"/>
      <c r="D657" s="122"/>
      <c r="E657" s="122"/>
      <c r="F657" s="149"/>
      <c r="G657" s="150"/>
      <c r="H657" s="151"/>
      <c r="I657" s="122"/>
      <c r="J657" s="148"/>
    </row>
    <row r="658" customFormat="false" ht="15" hidden="false" customHeight="false" outlineLevel="0" collapsed="false">
      <c r="A658" s="122"/>
      <c r="B658" s="56"/>
      <c r="C658" s="122"/>
      <c r="D658" s="122"/>
      <c r="E658" s="122"/>
      <c r="F658" s="149"/>
      <c r="G658" s="150"/>
      <c r="H658" s="151"/>
      <c r="I658" s="151"/>
      <c r="J658" s="152"/>
    </row>
    <row r="659" customFormat="false" ht="15" hidden="false" customHeight="false" outlineLevel="0" collapsed="false">
      <c r="A659" s="122"/>
      <c r="B659" s="122"/>
      <c r="C659" s="122"/>
      <c r="D659" s="122"/>
      <c r="E659" s="122"/>
      <c r="F659" s="149"/>
      <c r="G659" s="122"/>
      <c r="H659" s="151"/>
      <c r="I659" s="152"/>
      <c r="J659" s="152"/>
    </row>
    <row r="660" customFormat="false" ht="15" hidden="false" customHeight="false" outlineLevel="0" collapsed="false">
      <c r="A660" s="122"/>
      <c r="B660" s="122"/>
      <c r="C660" s="122"/>
      <c r="D660" s="122"/>
      <c r="E660" s="122"/>
      <c r="F660" s="122"/>
      <c r="G660" s="122"/>
      <c r="H660" s="122"/>
      <c r="I660" s="122"/>
      <c r="J660" s="148"/>
    </row>
    <row r="661" customFormat="false" ht="15" hidden="false" customHeight="false" outlineLevel="0" collapsed="false">
      <c r="A661" s="122"/>
      <c r="B661" s="56"/>
      <c r="C661" s="122"/>
      <c r="D661" s="122"/>
      <c r="E661" s="122"/>
      <c r="F661" s="122"/>
      <c r="G661" s="122"/>
      <c r="H661" s="122"/>
      <c r="I661" s="122"/>
      <c r="J661" s="122"/>
    </row>
    <row r="662" customFormat="false" ht="15" hidden="false" customHeight="false" outlineLevel="0" collapsed="false">
      <c r="A662" s="122"/>
      <c r="B662" s="122"/>
      <c r="C662" s="122"/>
      <c r="D662" s="122"/>
      <c r="E662" s="122"/>
      <c r="F662" s="149"/>
      <c r="G662" s="122"/>
      <c r="H662" s="151"/>
      <c r="I662" s="152"/>
      <c r="J662" s="152"/>
    </row>
    <row r="663" customFormat="false" ht="15" hidden="false" customHeight="false" outlineLevel="0" collapsed="false">
      <c r="A663" s="122"/>
      <c r="B663" s="122"/>
      <c r="C663" s="122"/>
      <c r="D663" s="122"/>
      <c r="E663" s="122"/>
      <c r="F663" s="149"/>
      <c r="G663" s="150"/>
      <c r="H663" s="151"/>
      <c r="I663" s="122"/>
      <c r="J663" s="152"/>
    </row>
    <row r="664" customFormat="false" ht="15" hidden="false" customHeight="false" outlineLevel="0" collapsed="false">
      <c r="A664" s="122"/>
      <c r="B664" s="122"/>
      <c r="C664" s="122"/>
      <c r="D664" s="122"/>
      <c r="E664" s="122"/>
      <c r="F664" s="122"/>
      <c r="G664" s="122"/>
      <c r="H664" s="122"/>
      <c r="I664" s="2"/>
      <c r="J664" s="148"/>
    </row>
    <row r="666" customFormat="false" ht="15" hidden="false" customHeight="false" outlineLevel="0" collapsed="false">
      <c r="A666" s="14"/>
      <c r="B666" s="14"/>
      <c r="C666" s="14"/>
      <c r="D666" s="14"/>
    </row>
    <row r="667" customFormat="false" ht="15" hidden="false" customHeight="false" outlineLevel="0" collapsed="false">
      <c r="A667" s="14"/>
      <c r="B667" s="14"/>
      <c r="C667" s="38"/>
      <c r="D667" s="54"/>
      <c r="E667" s="38"/>
      <c r="F667" s="54"/>
      <c r="G667" s="14"/>
      <c r="I667" s="38"/>
      <c r="J667" s="55"/>
    </row>
    <row r="668" customFormat="false" ht="15" hidden="false" customHeight="false" outlineLevel="0" collapsed="false">
      <c r="A668" s="14"/>
      <c r="B668" s="14"/>
      <c r="F668" s="38"/>
      <c r="G668" s="38"/>
      <c r="H668" s="38"/>
      <c r="I668" s="38"/>
      <c r="J668" s="38"/>
    </row>
    <row r="669" customFormat="false" ht="15" hidden="false" customHeight="false" outlineLevel="0" collapsed="false">
      <c r="B669" s="56"/>
    </row>
    <row r="670" customFormat="false" ht="15" hidden="false" customHeight="false" outlineLevel="0" collapsed="false">
      <c r="F670" s="57"/>
      <c r="G670" s="58"/>
      <c r="H670" s="59"/>
      <c r="I670" s="30"/>
      <c r="J670" s="30"/>
    </row>
    <row r="671" customFormat="false" ht="15" hidden="false" customHeight="false" outlineLevel="0" collapsed="false">
      <c r="F671" s="57"/>
      <c r="G671" s="58"/>
      <c r="H671" s="59"/>
      <c r="J671" s="30"/>
    </row>
    <row r="672" customFormat="false" ht="15" hidden="false" customHeight="false" outlineLevel="0" collapsed="false">
      <c r="F672" s="57"/>
      <c r="G672" s="58"/>
      <c r="H672" s="59"/>
      <c r="J672" s="55"/>
    </row>
    <row r="673" customFormat="false" ht="15" hidden="false" customHeight="false" outlineLevel="0" collapsed="false">
      <c r="B673" s="56"/>
      <c r="F673" s="57"/>
      <c r="G673" s="58"/>
      <c r="H673" s="59"/>
      <c r="I673" s="59"/>
      <c r="J673" s="30"/>
    </row>
    <row r="674" customFormat="false" ht="15" hidden="false" customHeight="false" outlineLevel="0" collapsed="false">
      <c r="F674" s="57"/>
      <c r="H674" s="59"/>
      <c r="I674" s="30"/>
      <c r="J674" s="30"/>
    </row>
    <row r="675" customFormat="false" ht="15" hidden="false" customHeight="false" outlineLevel="0" collapsed="false">
      <c r="J675" s="55"/>
    </row>
    <row r="676" customFormat="false" ht="15" hidden="false" customHeight="false" outlineLevel="0" collapsed="false">
      <c r="B676" s="56"/>
    </row>
    <row r="677" customFormat="false" ht="15" hidden="false" customHeight="false" outlineLevel="0" collapsed="false">
      <c r="F677" s="57"/>
      <c r="H677" s="59"/>
      <c r="I677" s="30"/>
      <c r="J677" s="30"/>
    </row>
    <row r="678" customFormat="false" ht="15" hidden="false" customHeight="false" outlineLevel="0" collapsed="false">
      <c r="F678" s="57"/>
      <c r="G678" s="58"/>
      <c r="H678" s="59"/>
      <c r="J678" s="30"/>
    </row>
    <row r="679" customFormat="false" ht="15" hidden="false" customHeight="false" outlineLevel="0" collapsed="false">
      <c r="I679" s="14"/>
      <c r="J679" s="55"/>
    </row>
    <row r="681" customFormat="false" ht="15" hidden="false" customHeight="false" outlineLevel="0" collapsed="false">
      <c r="A681" s="14"/>
      <c r="B681" s="14"/>
      <c r="C681" s="14"/>
      <c r="D681" s="14"/>
    </row>
    <row r="682" customFormat="false" ht="15" hidden="false" customHeight="false" outlineLevel="0" collapsed="false">
      <c r="A682" s="14"/>
      <c r="B682" s="14"/>
      <c r="C682" s="38"/>
      <c r="D682" s="54"/>
      <c r="E682" s="38"/>
      <c r="F682" s="54"/>
      <c r="G682" s="14"/>
      <c r="I682" s="38"/>
      <c r="J682" s="55"/>
    </row>
    <row r="683" customFormat="false" ht="15" hidden="false" customHeight="false" outlineLevel="0" collapsed="false">
      <c r="A683" s="14"/>
      <c r="B683" s="14"/>
      <c r="F683" s="38"/>
      <c r="G683" s="38"/>
      <c r="H683" s="38"/>
      <c r="I683" s="38"/>
      <c r="J683" s="38"/>
    </row>
    <row r="684" customFormat="false" ht="15" hidden="false" customHeight="false" outlineLevel="0" collapsed="false">
      <c r="B684" s="56"/>
    </row>
    <row r="685" customFormat="false" ht="15" hidden="false" customHeight="false" outlineLevel="0" collapsed="false">
      <c r="F685" s="57"/>
      <c r="G685" s="58"/>
      <c r="H685" s="59"/>
      <c r="I685" s="30"/>
      <c r="J685" s="30"/>
    </row>
    <row r="686" customFormat="false" ht="15" hidden="false" customHeight="false" outlineLevel="0" collapsed="false">
      <c r="F686" s="57"/>
      <c r="G686" s="58"/>
      <c r="H686" s="59"/>
      <c r="J686" s="30"/>
    </row>
    <row r="687" customFormat="false" ht="15" hidden="false" customHeight="false" outlineLevel="0" collapsed="false">
      <c r="F687" s="57"/>
      <c r="G687" s="58"/>
      <c r="H687" s="59"/>
      <c r="J687" s="55"/>
    </row>
    <row r="688" customFormat="false" ht="15" hidden="false" customHeight="false" outlineLevel="0" collapsed="false">
      <c r="B688" s="56"/>
      <c r="F688" s="57"/>
      <c r="G688" s="58"/>
      <c r="H688" s="59"/>
      <c r="I688" s="59"/>
      <c r="J688" s="30"/>
    </row>
    <row r="689" customFormat="false" ht="15" hidden="false" customHeight="false" outlineLevel="0" collapsed="false">
      <c r="F689" s="57"/>
      <c r="H689" s="59"/>
      <c r="I689" s="30"/>
      <c r="J689" s="30"/>
    </row>
    <row r="690" customFormat="false" ht="15" hidden="false" customHeight="false" outlineLevel="0" collapsed="false">
      <c r="J690" s="55"/>
    </row>
    <row r="691" customFormat="false" ht="15" hidden="false" customHeight="false" outlineLevel="0" collapsed="false">
      <c r="B691" s="56"/>
    </row>
    <row r="692" customFormat="false" ht="15" hidden="false" customHeight="false" outlineLevel="0" collapsed="false">
      <c r="F692" s="57"/>
      <c r="H692" s="59"/>
      <c r="I692" s="30"/>
      <c r="J692" s="30"/>
    </row>
    <row r="693" customFormat="false" ht="15" hidden="false" customHeight="false" outlineLevel="0" collapsed="false">
      <c r="F693" s="57"/>
      <c r="G693" s="58"/>
      <c r="H693" s="59"/>
      <c r="J693" s="30"/>
    </row>
    <row r="694" customFormat="false" ht="15" hidden="false" customHeight="false" outlineLevel="0" collapsed="false">
      <c r="I694" s="14"/>
      <c r="J694" s="55"/>
    </row>
    <row r="696" customFormat="false" ht="15" hidden="false" customHeight="false" outlineLevel="0" collapsed="false">
      <c r="A696" s="14"/>
      <c r="B696" s="14"/>
      <c r="C696" s="14"/>
      <c r="D696" s="14"/>
    </row>
    <row r="697" customFormat="false" ht="15" hidden="false" customHeight="false" outlineLevel="0" collapsed="false">
      <c r="A697" s="14"/>
      <c r="B697" s="14"/>
      <c r="C697" s="38"/>
      <c r="D697" s="54"/>
      <c r="E697" s="38"/>
      <c r="F697" s="54"/>
      <c r="G697" s="14"/>
      <c r="I697" s="38"/>
      <c r="J697" s="55"/>
    </row>
    <row r="698" customFormat="false" ht="15" hidden="false" customHeight="false" outlineLevel="0" collapsed="false">
      <c r="A698" s="14"/>
      <c r="B698" s="14"/>
      <c r="F698" s="38"/>
      <c r="G698" s="38"/>
      <c r="H698" s="38"/>
      <c r="I698" s="38"/>
      <c r="J698" s="38"/>
    </row>
    <row r="699" customFormat="false" ht="15" hidden="false" customHeight="false" outlineLevel="0" collapsed="false">
      <c r="B699" s="56"/>
    </row>
    <row r="700" customFormat="false" ht="15" hidden="false" customHeight="false" outlineLevel="0" collapsed="false">
      <c r="F700" s="57"/>
      <c r="G700" s="58"/>
      <c r="H700" s="59"/>
      <c r="I700" s="30"/>
      <c r="J700" s="30"/>
    </row>
    <row r="701" customFormat="false" ht="15" hidden="false" customHeight="false" outlineLevel="0" collapsed="false">
      <c r="F701" s="57"/>
      <c r="G701" s="58"/>
      <c r="H701" s="59"/>
      <c r="J701" s="30"/>
    </row>
    <row r="702" customFormat="false" ht="15" hidden="false" customHeight="false" outlineLevel="0" collapsed="false">
      <c r="F702" s="57"/>
      <c r="G702" s="58"/>
      <c r="H702" s="59"/>
      <c r="J702" s="55"/>
    </row>
    <row r="703" customFormat="false" ht="15" hidden="false" customHeight="false" outlineLevel="0" collapsed="false">
      <c r="B703" s="56"/>
      <c r="F703" s="57"/>
      <c r="G703" s="58"/>
      <c r="H703" s="59"/>
      <c r="I703" s="59"/>
      <c r="J703" s="30"/>
    </row>
    <row r="704" customFormat="false" ht="15" hidden="false" customHeight="false" outlineLevel="0" collapsed="false">
      <c r="F704" s="57"/>
      <c r="H704" s="59"/>
      <c r="I704" s="30"/>
      <c r="J704" s="30"/>
    </row>
    <row r="705" customFormat="false" ht="15" hidden="false" customHeight="false" outlineLevel="0" collapsed="false">
      <c r="J705" s="55"/>
    </row>
    <row r="706" customFormat="false" ht="15" hidden="false" customHeight="false" outlineLevel="0" collapsed="false">
      <c r="B706" s="56"/>
    </row>
    <row r="707" customFormat="false" ht="15" hidden="false" customHeight="false" outlineLevel="0" collapsed="false">
      <c r="F707" s="57"/>
      <c r="H707" s="59"/>
      <c r="I707" s="30"/>
      <c r="J707" s="30"/>
    </row>
    <row r="708" customFormat="false" ht="15" hidden="false" customHeight="false" outlineLevel="0" collapsed="false">
      <c r="I708" s="14"/>
      <c r="J708" s="55"/>
    </row>
    <row r="710" customFormat="false" ht="15" hidden="false" customHeight="false" outlineLevel="0" collapsed="false">
      <c r="A710" s="14"/>
      <c r="B710" s="14"/>
      <c r="C710" s="14"/>
      <c r="D710" s="14"/>
    </row>
    <row r="711" customFormat="false" ht="15" hidden="false" customHeight="false" outlineLevel="0" collapsed="false">
      <c r="A711" s="14"/>
      <c r="B711" s="14"/>
      <c r="C711" s="38"/>
      <c r="D711" s="54"/>
      <c r="E711" s="38"/>
      <c r="F711" s="54"/>
      <c r="G711" s="14"/>
      <c r="I711" s="38"/>
      <c r="J711" s="55"/>
    </row>
    <row r="712" customFormat="false" ht="15" hidden="false" customHeight="false" outlineLevel="0" collapsed="false">
      <c r="A712" s="14"/>
      <c r="B712" s="14"/>
      <c r="F712" s="38"/>
      <c r="G712" s="38"/>
      <c r="H712" s="38"/>
      <c r="I712" s="38"/>
      <c r="J712" s="38"/>
    </row>
    <row r="713" customFormat="false" ht="15" hidden="false" customHeight="false" outlineLevel="0" collapsed="false">
      <c r="B713" s="56"/>
    </row>
    <row r="714" customFormat="false" ht="15" hidden="false" customHeight="false" outlineLevel="0" collapsed="false">
      <c r="F714" s="57"/>
      <c r="G714" s="58"/>
      <c r="H714" s="59"/>
      <c r="I714" s="30"/>
      <c r="J714" s="30"/>
    </row>
    <row r="715" customFormat="false" ht="15" hidden="false" customHeight="false" outlineLevel="0" collapsed="false">
      <c r="F715" s="57"/>
      <c r="G715" s="58"/>
      <c r="H715" s="59"/>
      <c r="J715" s="30"/>
    </row>
    <row r="716" customFormat="false" ht="15" hidden="false" customHeight="false" outlineLevel="0" collapsed="false">
      <c r="F716" s="57"/>
      <c r="G716" s="58"/>
      <c r="H716" s="59"/>
      <c r="J716" s="55"/>
    </row>
    <row r="717" customFormat="false" ht="15" hidden="false" customHeight="false" outlineLevel="0" collapsed="false">
      <c r="B717" s="56"/>
      <c r="F717" s="57"/>
      <c r="G717" s="58"/>
      <c r="H717" s="59"/>
      <c r="I717" s="59"/>
      <c r="J717" s="30"/>
    </row>
    <row r="718" customFormat="false" ht="15" hidden="false" customHeight="false" outlineLevel="0" collapsed="false">
      <c r="F718" s="57"/>
      <c r="H718" s="59"/>
      <c r="I718" s="30"/>
      <c r="J718" s="30"/>
    </row>
    <row r="719" customFormat="false" ht="15" hidden="false" customHeight="false" outlineLevel="0" collapsed="false">
      <c r="J719" s="55"/>
    </row>
    <row r="720" customFormat="false" ht="15" hidden="false" customHeight="false" outlineLevel="0" collapsed="false">
      <c r="B720" s="56"/>
    </row>
    <row r="721" customFormat="false" ht="15" hidden="false" customHeight="false" outlineLevel="0" collapsed="false">
      <c r="F721" s="57"/>
      <c r="H721" s="59"/>
      <c r="I721" s="30"/>
      <c r="J721" s="30"/>
    </row>
    <row r="722" customFormat="false" ht="15" hidden="false" customHeight="false" outlineLevel="0" collapsed="false">
      <c r="I722" s="14"/>
      <c r="J722" s="55"/>
    </row>
    <row r="724" customFormat="false" ht="15" hidden="false" customHeight="false" outlineLevel="0" collapsed="false">
      <c r="A724" s="14"/>
      <c r="B724" s="14"/>
      <c r="C724" s="14"/>
      <c r="D724" s="14"/>
    </row>
    <row r="725" customFormat="false" ht="15" hidden="false" customHeight="false" outlineLevel="0" collapsed="false">
      <c r="A725" s="14"/>
      <c r="B725" s="14"/>
      <c r="C725" s="38"/>
      <c r="D725" s="54"/>
      <c r="E725" s="38"/>
      <c r="F725" s="54"/>
      <c r="G725" s="14"/>
      <c r="I725" s="38"/>
      <c r="J725" s="55"/>
    </row>
    <row r="726" customFormat="false" ht="15" hidden="false" customHeight="false" outlineLevel="0" collapsed="false">
      <c r="A726" s="14"/>
      <c r="B726" s="14"/>
      <c r="F726" s="38"/>
      <c r="G726" s="38"/>
      <c r="H726" s="38"/>
      <c r="I726" s="38"/>
      <c r="J726" s="38"/>
    </row>
    <row r="727" customFormat="false" ht="15" hidden="false" customHeight="false" outlineLevel="0" collapsed="false">
      <c r="B727" s="56"/>
    </row>
    <row r="728" customFormat="false" ht="15" hidden="false" customHeight="false" outlineLevel="0" collapsed="false">
      <c r="F728" s="57"/>
      <c r="G728" s="58"/>
      <c r="H728" s="59"/>
      <c r="I728" s="30"/>
      <c r="J728" s="30"/>
    </row>
    <row r="729" customFormat="false" ht="15" hidden="false" customHeight="false" outlineLevel="0" collapsed="false">
      <c r="F729" s="57"/>
      <c r="G729" s="58"/>
      <c r="H729" s="59"/>
      <c r="J729" s="30"/>
    </row>
    <row r="730" customFormat="false" ht="15" hidden="false" customHeight="false" outlineLevel="0" collapsed="false">
      <c r="F730" s="57"/>
      <c r="G730" s="58"/>
      <c r="H730" s="59"/>
      <c r="J730" s="55"/>
    </row>
    <row r="731" customFormat="false" ht="15" hidden="false" customHeight="false" outlineLevel="0" collapsed="false">
      <c r="B731" s="56"/>
      <c r="F731" s="57"/>
      <c r="G731" s="58"/>
      <c r="H731" s="59"/>
      <c r="I731" s="59"/>
      <c r="J731" s="30"/>
    </row>
    <row r="732" customFormat="false" ht="15" hidden="false" customHeight="false" outlineLevel="0" collapsed="false">
      <c r="F732" s="57"/>
      <c r="H732" s="59"/>
      <c r="I732" s="30"/>
      <c r="J732" s="30"/>
    </row>
    <row r="733" customFormat="false" ht="15" hidden="false" customHeight="false" outlineLevel="0" collapsed="false">
      <c r="F733" s="57"/>
      <c r="H733" s="59"/>
      <c r="I733" s="30"/>
      <c r="J733" s="30"/>
    </row>
    <row r="734" customFormat="false" ht="15" hidden="false" customHeight="false" outlineLevel="0" collapsed="false">
      <c r="F734" s="57"/>
      <c r="H734" s="59"/>
      <c r="I734" s="30"/>
      <c r="J734" s="30"/>
    </row>
    <row r="735" customFormat="false" ht="15" hidden="false" customHeight="false" outlineLevel="0" collapsed="false">
      <c r="F735" s="57"/>
      <c r="H735" s="59"/>
      <c r="I735" s="30"/>
      <c r="J735" s="30"/>
    </row>
    <row r="736" customFormat="false" ht="15" hidden="false" customHeight="false" outlineLevel="0" collapsed="false">
      <c r="J736" s="55"/>
    </row>
    <row r="737" customFormat="false" ht="15" hidden="false" customHeight="false" outlineLevel="0" collapsed="false">
      <c r="B737" s="56"/>
    </row>
    <row r="738" customFormat="false" ht="15" hidden="false" customHeight="false" outlineLevel="0" collapsed="false">
      <c r="F738" s="57"/>
      <c r="H738" s="59"/>
      <c r="I738" s="30"/>
      <c r="J738" s="30"/>
    </row>
    <row r="739" customFormat="false" ht="15" hidden="false" customHeight="false" outlineLevel="0" collapsed="false">
      <c r="I739" s="14"/>
      <c r="J739" s="55"/>
    </row>
    <row r="741" customFormat="false" ht="15" hidden="false" customHeight="false" outlineLevel="0" collapsed="false">
      <c r="A741" s="14"/>
      <c r="B741" s="14"/>
      <c r="C741" s="14"/>
      <c r="D741" s="14"/>
    </row>
    <row r="742" customFormat="false" ht="15" hidden="false" customHeight="false" outlineLevel="0" collapsed="false">
      <c r="A742" s="14"/>
      <c r="B742" s="14"/>
      <c r="C742" s="38"/>
      <c r="D742" s="54"/>
      <c r="E742" s="38"/>
      <c r="F742" s="54"/>
      <c r="G742" s="14"/>
      <c r="I742" s="38"/>
      <c r="J742" s="55"/>
    </row>
    <row r="743" customFormat="false" ht="15" hidden="false" customHeight="false" outlineLevel="0" collapsed="false">
      <c r="A743" s="14"/>
      <c r="B743" s="14"/>
      <c r="F743" s="38"/>
      <c r="G743" s="38"/>
      <c r="H743" s="38"/>
      <c r="I743" s="38"/>
      <c r="J743" s="38"/>
    </row>
    <row r="744" customFormat="false" ht="15" hidden="false" customHeight="false" outlineLevel="0" collapsed="false">
      <c r="B744" s="56"/>
    </row>
    <row r="745" customFormat="false" ht="15" hidden="false" customHeight="false" outlineLevel="0" collapsed="false">
      <c r="F745" s="57"/>
      <c r="G745" s="58"/>
      <c r="H745" s="59"/>
      <c r="I745" s="30"/>
      <c r="J745" s="30"/>
    </row>
    <row r="746" customFormat="false" ht="15" hidden="false" customHeight="false" outlineLevel="0" collapsed="false">
      <c r="F746" s="57"/>
      <c r="G746" s="58"/>
      <c r="H746" s="59"/>
      <c r="J746" s="30"/>
    </row>
    <row r="747" customFormat="false" ht="15" hidden="false" customHeight="false" outlineLevel="0" collapsed="false">
      <c r="F747" s="57"/>
      <c r="G747" s="58"/>
      <c r="H747" s="59"/>
      <c r="J747" s="55"/>
    </row>
    <row r="748" customFormat="false" ht="15" hidden="false" customHeight="false" outlineLevel="0" collapsed="false">
      <c r="B748" s="56"/>
      <c r="F748" s="57"/>
      <c r="G748" s="58"/>
      <c r="H748" s="59"/>
      <c r="I748" s="59"/>
      <c r="J748" s="30"/>
    </row>
    <row r="749" customFormat="false" ht="15" hidden="false" customHeight="false" outlineLevel="0" collapsed="false">
      <c r="F749" s="57"/>
      <c r="H749" s="59"/>
      <c r="I749" s="30"/>
      <c r="J749" s="30"/>
    </row>
    <row r="750" customFormat="false" ht="15" hidden="false" customHeight="false" outlineLevel="0" collapsed="false">
      <c r="J750" s="55"/>
    </row>
    <row r="751" customFormat="false" ht="15" hidden="false" customHeight="false" outlineLevel="0" collapsed="false">
      <c r="B751" s="56"/>
    </row>
    <row r="752" customFormat="false" ht="15" hidden="false" customHeight="false" outlineLevel="0" collapsed="false">
      <c r="F752" s="57"/>
      <c r="H752" s="59"/>
      <c r="I752" s="30"/>
      <c r="J752" s="30"/>
    </row>
    <row r="753" customFormat="false" ht="15" hidden="false" customHeight="false" outlineLevel="0" collapsed="false">
      <c r="I753" s="14"/>
      <c r="J753" s="55"/>
    </row>
    <row r="755" customFormat="false" ht="15" hidden="false" customHeight="false" outlineLevel="0" collapsed="false">
      <c r="A755" s="14"/>
      <c r="B755" s="14"/>
      <c r="C755" s="14"/>
      <c r="D755" s="14"/>
    </row>
    <row r="756" customFormat="false" ht="15" hidden="false" customHeight="false" outlineLevel="0" collapsed="false">
      <c r="A756" s="14"/>
      <c r="B756" s="14"/>
      <c r="C756" s="38"/>
      <c r="D756" s="54"/>
      <c r="E756" s="38"/>
      <c r="F756" s="54"/>
      <c r="G756" s="14"/>
      <c r="I756" s="38"/>
      <c r="J756" s="55"/>
    </row>
    <row r="757" customFormat="false" ht="15" hidden="false" customHeight="false" outlineLevel="0" collapsed="false">
      <c r="A757" s="14"/>
      <c r="B757" s="14"/>
      <c r="F757" s="38"/>
      <c r="G757" s="38"/>
      <c r="H757" s="38"/>
      <c r="I757" s="38"/>
      <c r="J757" s="38"/>
    </row>
    <row r="758" customFormat="false" ht="15" hidden="false" customHeight="false" outlineLevel="0" collapsed="false">
      <c r="B758" s="56"/>
    </row>
    <row r="759" customFormat="false" ht="15" hidden="false" customHeight="false" outlineLevel="0" collapsed="false">
      <c r="F759" s="57"/>
      <c r="G759" s="58"/>
      <c r="H759" s="59"/>
      <c r="I759" s="30"/>
      <c r="J759" s="30"/>
    </row>
    <row r="760" customFormat="false" ht="15" hidden="false" customHeight="false" outlineLevel="0" collapsed="false">
      <c r="F760" s="57"/>
      <c r="G760" s="58"/>
      <c r="H760" s="59"/>
      <c r="J760" s="30"/>
    </row>
    <row r="761" customFormat="false" ht="15" hidden="false" customHeight="false" outlineLevel="0" collapsed="false">
      <c r="F761" s="57"/>
      <c r="G761" s="58"/>
      <c r="H761" s="59"/>
      <c r="J761" s="55"/>
    </row>
    <row r="762" customFormat="false" ht="15" hidden="false" customHeight="false" outlineLevel="0" collapsed="false">
      <c r="B762" s="56"/>
      <c r="F762" s="57"/>
      <c r="G762" s="58"/>
      <c r="H762" s="59"/>
      <c r="I762" s="59"/>
      <c r="J762" s="30"/>
    </row>
    <row r="763" customFormat="false" ht="15" hidden="false" customHeight="false" outlineLevel="0" collapsed="false">
      <c r="F763" s="57"/>
      <c r="H763" s="59"/>
      <c r="I763" s="30"/>
      <c r="J763" s="30"/>
    </row>
    <row r="764" customFormat="false" ht="15" hidden="false" customHeight="false" outlineLevel="0" collapsed="false">
      <c r="F764" s="57"/>
      <c r="H764" s="59"/>
      <c r="I764" s="30"/>
      <c r="J764" s="30"/>
    </row>
    <row r="765" customFormat="false" ht="15" hidden="false" customHeight="false" outlineLevel="0" collapsed="false">
      <c r="F765" s="57"/>
      <c r="H765" s="59"/>
      <c r="I765" s="30"/>
      <c r="J765" s="30"/>
    </row>
    <row r="766" customFormat="false" ht="15" hidden="false" customHeight="false" outlineLevel="0" collapsed="false">
      <c r="F766" s="57"/>
      <c r="H766" s="59"/>
      <c r="I766" s="30"/>
      <c r="J766" s="30"/>
    </row>
    <row r="767" customFormat="false" ht="15" hidden="false" customHeight="false" outlineLevel="0" collapsed="false">
      <c r="J767" s="55"/>
    </row>
    <row r="768" customFormat="false" ht="15" hidden="false" customHeight="false" outlineLevel="0" collapsed="false">
      <c r="B768" s="56"/>
    </row>
    <row r="769" customFormat="false" ht="15" hidden="false" customHeight="false" outlineLevel="0" collapsed="false">
      <c r="F769" s="57"/>
      <c r="H769" s="59"/>
      <c r="I769" s="30"/>
      <c r="J769" s="30"/>
    </row>
    <row r="770" customFormat="false" ht="15" hidden="false" customHeight="false" outlineLevel="0" collapsed="false">
      <c r="F770" s="57"/>
      <c r="G770" s="58"/>
      <c r="H770" s="59"/>
      <c r="J770" s="30"/>
    </row>
    <row r="771" customFormat="false" ht="15" hidden="false" customHeight="false" outlineLevel="0" collapsed="false">
      <c r="I771" s="14"/>
      <c r="J771" s="55"/>
    </row>
    <row r="773" customFormat="false" ht="15" hidden="false" customHeight="false" outlineLevel="0" collapsed="false">
      <c r="A773" s="14"/>
      <c r="B773" s="14"/>
      <c r="C773" s="14"/>
      <c r="D773" s="14"/>
    </row>
    <row r="774" customFormat="false" ht="15" hidden="false" customHeight="false" outlineLevel="0" collapsed="false">
      <c r="A774" s="14"/>
      <c r="B774" s="14"/>
      <c r="C774" s="38"/>
      <c r="D774" s="54"/>
      <c r="E774" s="38"/>
      <c r="F774" s="54"/>
      <c r="G774" s="14"/>
      <c r="I774" s="38"/>
      <c r="J774" s="55"/>
    </row>
    <row r="775" customFormat="false" ht="15" hidden="false" customHeight="false" outlineLevel="0" collapsed="false">
      <c r="A775" s="14"/>
      <c r="B775" s="14"/>
      <c r="F775" s="38"/>
      <c r="G775" s="38"/>
      <c r="H775" s="38"/>
      <c r="I775" s="38"/>
      <c r="J775" s="38"/>
    </row>
    <row r="776" customFormat="false" ht="15" hidden="false" customHeight="false" outlineLevel="0" collapsed="false">
      <c r="B776" s="56"/>
    </row>
    <row r="777" customFormat="false" ht="15" hidden="false" customHeight="false" outlineLevel="0" collapsed="false">
      <c r="F777" s="57"/>
      <c r="G777" s="58"/>
      <c r="H777" s="59"/>
      <c r="I777" s="30"/>
      <c r="J777" s="30"/>
    </row>
    <row r="778" customFormat="false" ht="15" hidden="false" customHeight="false" outlineLevel="0" collapsed="false">
      <c r="F778" s="57"/>
      <c r="G778" s="58"/>
      <c r="H778" s="59"/>
      <c r="J778" s="30"/>
    </row>
    <row r="779" customFormat="false" ht="15" hidden="false" customHeight="false" outlineLevel="0" collapsed="false">
      <c r="F779" s="57"/>
      <c r="G779" s="58"/>
      <c r="H779" s="59"/>
      <c r="J779" s="55"/>
    </row>
    <row r="780" customFormat="false" ht="15" hidden="false" customHeight="false" outlineLevel="0" collapsed="false">
      <c r="B780" s="56"/>
      <c r="F780" s="57"/>
      <c r="G780" s="58"/>
      <c r="H780" s="59"/>
      <c r="I780" s="59"/>
      <c r="J780" s="30"/>
    </row>
    <row r="781" customFormat="false" ht="15" hidden="false" customHeight="false" outlineLevel="0" collapsed="false">
      <c r="F781" s="57"/>
      <c r="H781" s="59"/>
      <c r="I781" s="30"/>
      <c r="J781" s="30"/>
    </row>
    <row r="782" customFormat="false" ht="15" hidden="false" customHeight="false" outlineLevel="0" collapsed="false">
      <c r="J782" s="55"/>
    </row>
    <row r="783" customFormat="false" ht="15" hidden="false" customHeight="false" outlineLevel="0" collapsed="false">
      <c r="B783" s="56"/>
    </row>
    <row r="784" customFormat="false" ht="15" hidden="false" customHeight="false" outlineLevel="0" collapsed="false">
      <c r="F784" s="57"/>
      <c r="H784" s="59"/>
      <c r="I784" s="30"/>
      <c r="J784" s="30"/>
    </row>
    <row r="785" customFormat="false" ht="15" hidden="false" customHeight="false" outlineLevel="0" collapsed="false">
      <c r="F785" s="57"/>
      <c r="G785" s="58"/>
      <c r="H785" s="59"/>
      <c r="J785" s="30"/>
    </row>
    <row r="786" customFormat="false" ht="15" hidden="false" customHeight="false" outlineLevel="0" collapsed="false">
      <c r="I786" s="14"/>
      <c r="J786" s="55"/>
    </row>
    <row r="788" customFormat="false" ht="15" hidden="false" customHeight="false" outlineLevel="0" collapsed="false">
      <c r="A788" s="14"/>
      <c r="B788" s="14"/>
      <c r="C788" s="14"/>
      <c r="D788" s="14"/>
    </row>
    <row r="789" customFormat="false" ht="15" hidden="false" customHeight="false" outlineLevel="0" collapsed="false">
      <c r="A789" s="14"/>
      <c r="B789" s="14"/>
      <c r="C789" s="38"/>
      <c r="D789" s="54"/>
      <c r="E789" s="38"/>
      <c r="F789" s="54"/>
      <c r="G789" s="14"/>
      <c r="I789" s="38"/>
      <c r="J789" s="55"/>
    </row>
    <row r="790" customFormat="false" ht="15" hidden="false" customHeight="false" outlineLevel="0" collapsed="false">
      <c r="A790" s="14"/>
      <c r="B790" s="14"/>
      <c r="F790" s="38"/>
      <c r="G790" s="38"/>
      <c r="H790" s="38"/>
      <c r="I790" s="38"/>
      <c r="J790" s="38"/>
    </row>
    <row r="791" customFormat="false" ht="15" hidden="false" customHeight="false" outlineLevel="0" collapsed="false">
      <c r="B791" s="56"/>
    </row>
    <row r="792" customFormat="false" ht="15" hidden="false" customHeight="false" outlineLevel="0" collapsed="false">
      <c r="F792" s="57"/>
      <c r="G792" s="58"/>
      <c r="H792" s="59"/>
      <c r="I792" s="30"/>
      <c r="J792" s="30"/>
    </row>
    <row r="793" customFormat="false" ht="15" hidden="false" customHeight="false" outlineLevel="0" collapsed="false">
      <c r="F793" s="57"/>
      <c r="G793" s="58"/>
      <c r="H793" s="59"/>
      <c r="J793" s="30"/>
    </row>
    <row r="794" customFormat="false" ht="15" hidden="false" customHeight="false" outlineLevel="0" collapsed="false">
      <c r="F794" s="57"/>
      <c r="G794" s="58"/>
      <c r="H794" s="59"/>
      <c r="J794" s="55"/>
    </row>
    <row r="795" customFormat="false" ht="15" hidden="false" customHeight="false" outlineLevel="0" collapsed="false">
      <c r="B795" s="56"/>
      <c r="F795" s="57"/>
      <c r="G795" s="58"/>
      <c r="H795" s="59"/>
      <c r="I795" s="59"/>
      <c r="J795" s="30"/>
    </row>
    <row r="796" customFormat="false" ht="15" hidden="false" customHeight="false" outlineLevel="0" collapsed="false">
      <c r="F796" s="57"/>
      <c r="H796" s="59"/>
      <c r="I796" s="30"/>
      <c r="J796" s="30"/>
    </row>
    <row r="797" customFormat="false" ht="15" hidden="false" customHeight="false" outlineLevel="0" collapsed="false">
      <c r="J797" s="55"/>
    </row>
    <row r="798" customFormat="false" ht="15" hidden="false" customHeight="false" outlineLevel="0" collapsed="false">
      <c r="B798" s="56"/>
    </row>
    <row r="799" customFormat="false" ht="15" hidden="false" customHeight="false" outlineLevel="0" collapsed="false">
      <c r="F799" s="57"/>
      <c r="H799" s="59"/>
      <c r="I799" s="30"/>
      <c r="J799" s="30"/>
    </row>
    <row r="800" customFormat="false" ht="15" hidden="false" customHeight="false" outlineLevel="0" collapsed="false">
      <c r="I800" s="14"/>
      <c r="J800" s="55"/>
    </row>
    <row r="802" customFormat="false" ht="15" hidden="false" customHeight="false" outlineLevel="0" collapsed="false">
      <c r="A802" s="14"/>
      <c r="B802" s="14"/>
      <c r="C802" s="14"/>
      <c r="D802" s="14"/>
    </row>
    <row r="803" customFormat="false" ht="15" hidden="false" customHeight="false" outlineLevel="0" collapsed="false">
      <c r="A803" s="14"/>
      <c r="B803" s="14"/>
      <c r="C803" s="38"/>
      <c r="D803" s="54"/>
      <c r="E803" s="38"/>
      <c r="F803" s="54"/>
      <c r="G803" s="14"/>
      <c r="I803" s="38"/>
      <c r="J803" s="55"/>
    </row>
    <row r="804" customFormat="false" ht="15" hidden="false" customHeight="false" outlineLevel="0" collapsed="false">
      <c r="A804" s="14"/>
      <c r="B804" s="14"/>
      <c r="F804" s="38"/>
      <c r="G804" s="38"/>
      <c r="H804" s="38"/>
      <c r="I804" s="38"/>
      <c r="J804" s="38"/>
    </row>
    <row r="805" customFormat="false" ht="15" hidden="false" customHeight="false" outlineLevel="0" collapsed="false">
      <c r="B805" s="56"/>
    </row>
    <row r="806" customFormat="false" ht="15" hidden="false" customHeight="false" outlineLevel="0" collapsed="false">
      <c r="F806" s="57"/>
      <c r="G806" s="58"/>
      <c r="H806" s="59"/>
      <c r="I806" s="30"/>
      <c r="J806" s="30"/>
    </row>
    <row r="807" customFormat="false" ht="15" hidden="false" customHeight="false" outlineLevel="0" collapsed="false">
      <c r="F807" s="57"/>
      <c r="G807" s="58"/>
      <c r="H807" s="59"/>
      <c r="J807" s="30"/>
    </row>
    <row r="808" customFormat="false" ht="15" hidden="false" customHeight="false" outlineLevel="0" collapsed="false">
      <c r="F808" s="57"/>
      <c r="G808" s="58"/>
      <c r="H808" s="59"/>
      <c r="J808" s="55"/>
    </row>
    <row r="809" customFormat="false" ht="15" hidden="false" customHeight="false" outlineLevel="0" collapsed="false">
      <c r="B809" s="56"/>
      <c r="F809" s="57"/>
      <c r="G809" s="58"/>
      <c r="H809" s="59"/>
      <c r="I809" s="59"/>
      <c r="J809" s="30"/>
    </row>
    <row r="810" customFormat="false" ht="15" hidden="false" customHeight="false" outlineLevel="0" collapsed="false">
      <c r="F810" s="57"/>
      <c r="H810" s="59"/>
      <c r="I810" s="30"/>
      <c r="J810" s="30"/>
    </row>
    <row r="811" customFormat="false" ht="15" hidden="false" customHeight="false" outlineLevel="0" collapsed="false">
      <c r="J811" s="55"/>
    </row>
    <row r="812" customFormat="false" ht="15" hidden="false" customHeight="false" outlineLevel="0" collapsed="false">
      <c r="B812" s="56"/>
    </row>
    <row r="813" customFormat="false" ht="15" hidden="false" customHeight="false" outlineLevel="0" collapsed="false">
      <c r="F813" s="57"/>
      <c r="H813" s="59"/>
      <c r="I813" s="30"/>
      <c r="J813" s="30"/>
    </row>
    <row r="814" customFormat="false" ht="15" hidden="false" customHeight="false" outlineLevel="0" collapsed="false">
      <c r="F814" s="57"/>
      <c r="G814" s="58"/>
      <c r="H814" s="59"/>
      <c r="J814" s="30"/>
    </row>
    <row r="815" customFormat="false" ht="15" hidden="false" customHeight="false" outlineLevel="0" collapsed="false">
      <c r="I815" s="14"/>
      <c r="J815" s="55"/>
    </row>
    <row r="817" customFormat="false" ht="15" hidden="false" customHeight="false" outlineLevel="0" collapsed="false">
      <c r="A817" s="14"/>
      <c r="B817" s="14"/>
      <c r="C817" s="14"/>
      <c r="D817" s="14"/>
    </row>
    <row r="818" customFormat="false" ht="15" hidden="false" customHeight="false" outlineLevel="0" collapsed="false">
      <c r="A818" s="14"/>
      <c r="B818" s="14"/>
      <c r="C818" s="38"/>
      <c r="D818" s="54"/>
      <c r="E818" s="38"/>
      <c r="F818" s="54"/>
      <c r="G818" s="14"/>
      <c r="I818" s="38"/>
      <c r="J818" s="55"/>
    </row>
    <row r="819" customFormat="false" ht="15" hidden="false" customHeight="false" outlineLevel="0" collapsed="false">
      <c r="A819" s="14"/>
      <c r="B819" s="14"/>
      <c r="F819" s="38"/>
      <c r="G819" s="38"/>
      <c r="H819" s="38"/>
      <c r="I819" s="38"/>
      <c r="J819" s="38"/>
    </row>
    <row r="820" customFormat="false" ht="15" hidden="false" customHeight="false" outlineLevel="0" collapsed="false">
      <c r="B820" s="56"/>
    </row>
    <row r="821" customFormat="false" ht="15" hidden="false" customHeight="false" outlineLevel="0" collapsed="false">
      <c r="F821" s="57"/>
      <c r="G821" s="58"/>
      <c r="H821" s="59"/>
      <c r="J821" s="30"/>
    </row>
    <row r="822" customFormat="false" ht="15" hidden="false" customHeight="false" outlineLevel="0" collapsed="false">
      <c r="F822" s="57"/>
      <c r="G822" s="58"/>
      <c r="H822" s="59"/>
      <c r="J822" s="55"/>
    </row>
    <row r="823" customFormat="false" ht="15" hidden="false" customHeight="false" outlineLevel="0" collapsed="false">
      <c r="B823" s="56"/>
      <c r="F823" s="57"/>
      <c r="G823" s="58"/>
      <c r="H823" s="59"/>
      <c r="I823" s="59"/>
      <c r="J823" s="30"/>
    </row>
    <row r="824" customFormat="false" ht="15" hidden="false" customHeight="false" outlineLevel="0" collapsed="false">
      <c r="F824" s="57"/>
      <c r="H824" s="59"/>
      <c r="I824" s="30"/>
      <c r="J824" s="30"/>
    </row>
    <row r="825" customFormat="false" ht="15" hidden="false" customHeight="false" outlineLevel="0" collapsed="false">
      <c r="J825" s="55"/>
    </row>
    <row r="826" customFormat="false" ht="15" hidden="false" customHeight="false" outlineLevel="0" collapsed="false">
      <c r="B826" s="56"/>
    </row>
    <row r="827" customFormat="false" ht="15" hidden="false" customHeight="false" outlineLevel="0" collapsed="false">
      <c r="F827" s="57"/>
      <c r="H827" s="59"/>
      <c r="I827" s="30"/>
      <c r="J827" s="30"/>
    </row>
    <row r="828" customFormat="false" ht="15" hidden="false" customHeight="false" outlineLevel="0" collapsed="false">
      <c r="I828" s="14"/>
      <c r="J828" s="55"/>
    </row>
    <row r="830" customFormat="false" ht="15" hidden="false" customHeight="false" outlineLevel="0" collapsed="false">
      <c r="A830" s="14"/>
      <c r="B830" s="14"/>
      <c r="C830" s="14"/>
      <c r="D830" s="14"/>
    </row>
    <row r="831" customFormat="false" ht="15" hidden="false" customHeight="false" outlineLevel="0" collapsed="false">
      <c r="A831" s="14"/>
      <c r="B831" s="14"/>
      <c r="C831" s="38"/>
      <c r="D831" s="54"/>
      <c r="E831" s="38"/>
      <c r="F831" s="54"/>
      <c r="G831" s="14"/>
      <c r="I831" s="38"/>
      <c r="J831" s="55"/>
    </row>
    <row r="832" customFormat="false" ht="15" hidden="false" customHeight="false" outlineLevel="0" collapsed="false">
      <c r="A832" s="14"/>
      <c r="B832" s="14"/>
      <c r="F832" s="38"/>
      <c r="G832" s="38"/>
      <c r="H832" s="38"/>
      <c r="I832" s="38"/>
      <c r="J832" s="38"/>
      <c r="L832" s="14"/>
    </row>
    <row r="833" customFormat="false" ht="15" hidden="false" customHeight="false" outlineLevel="0" collapsed="false">
      <c r="B833" s="56"/>
      <c r="L833" s="14"/>
    </row>
    <row r="834" customFormat="false" ht="15" hidden="false" customHeight="false" outlineLevel="0" collapsed="false">
      <c r="F834" s="57"/>
      <c r="G834" s="58"/>
      <c r="H834" s="59"/>
      <c r="J834" s="30"/>
      <c r="L834" s="14"/>
      <c r="M834" s="14"/>
    </row>
    <row r="835" customFormat="false" ht="15" hidden="false" customHeight="false" outlineLevel="0" collapsed="false">
      <c r="F835" s="57"/>
      <c r="G835" s="58"/>
      <c r="H835" s="59"/>
      <c r="J835" s="30"/>
      <c r="M835" s="56"/>
    </row>
    <row r="836" customFormat="false" ht="15" hidden="false" customHeight="false" outlineLevel="0" collapsed="false">
      <c r="F836" s="57"/>
      <c r="G836" s="58"/>
      <c r="H836" s="59"/>
      <c r="J836" s="30"/>
    </row>
    <row r="837" customFormat="false" ht="15" hidden="false" customHeight="false" outlineLevel="0" collapsed="false">
      <c r="F837" s="57"/>
      <c r="G837" s="58"/>
      <c r="H837" s="59"/>
      <c r="J837" s="55"/>
    </row>
    <row r="838" customFormat="false" ht="15" hidden="false" customHeight="false" outlineLevel="0" collapsed="false">
      <c r="B838" s="56"/>
      <c r="F838" s="57"/>
      <c r="G838" s="58"/>
      <c r="H838" s="59"/>
      <c r="I838" s="59"/>
      <c r="J838" s="30"/>
    </row>
    <row r="839" customFormat="false" ht="15" hidden="false" customHeight="false" outlineLevel="0" collapsed="false">
      <c r="F839" s="57"/>
      <c r="H839" s="59"/>
      <c r="I839" s="30"/>
      <c r="J839" s="30"/>
    </row>
    <row r="840" customFormat="false" ht="15" hidden="false" customHeight="false" outlineLevel="0" collapsed="false">
      <c r="J840" s="55"/>
    </row>
    <row r="841" customFormat="false" ht="15" hidden="false" customHeight="false" outlineLevel="0" collapsed="false">
      <c r="B841" s="56"/>
      <c r="M841" s="56"/>
    </row>
    <row r="842" customFormat="false" ht="15" hidden="false" customHeight="false" outlineLevel="0" collapsed="false">
      <c r="F842" s="57"/>
      <c r="H842" s="59"/>
      <c r="I842" s="30"/>
      <c r="J842" s="30"/>
    </row>
    <row r="843" customFormat="false" ht="15" hidden="false" customHeight="false" outlineLevel="0" collapsed="false">
      <c r="F843" s="57"/>
      <c r="G843" s="58"/>
      <c r="H843" s="59"/>
      <c r="J843" s="30"/>
    </row>
    <row r="844" customFormat="false" ht="15" hidden="false" customHeight="false" outlineLevel="0" collapsed="false">
      <c r="I844" s="14"/>
      <c r="J844" s="55"/>
      <c r="M844" s="56"/>
    </row>
    <row r="846" customFormat="false" ht="15" hidden="false" customHeight="false" outlineLevel="0" collapsed="false">
      <c r="A846" s="14"/>
      <c r="B846" s="14"/>
      <c r="C846" s="14"/>
      <c r="D846" s="14"/>
    </row>
    <row r="847" customFormat="false" ht="15" hidden="false" customHeight="false" outlineLevel="0" collapsed="false">
      <c r="A847" s="14"/>
      <c r="B847" s="14"/>
      <c r="C847" s="38"/>
      <c r="D847" s="54"/>
      <c r="E847" s="38"/>
      <c r="F847" s="54"/>
      <c r="G847" s="14"/>
      <c r="I847" s="38"/>
      <c r="J847" s="55"/>
    </row>
    <row r="848" customFormat="false" ht="15" hidden="false" customHeight="false" outlineLevel="0" collapsed="false">
      <c r="A848" s="14"/>
      <c r="B848" s="14"/>
      <c r="F848" s="38"/>
      <c r="G848" s="38"/>
      <c r="H848" s="38"/>
      <c r="I848" s="38"/>
      <c r="J848" s="38"/>
    </row>
    <row r="849" customFormat="false" ht="15" hidden="false" customHeight="false" outlineLevel="0" collapsed="false">
      <c r="B849" s="56"/>
    </row>
    <row r="850" customFormat="false" ht="15" hidden="false" customHeight="false" outlineLevel="0" collapsed="false">
      <c r="F850" s="57"/>
      <c r="G850" s="58"/>
      <c r="H850" s="59"/>
      <c r="J850" s="30"/>
    </row>
    <row r="851" customFormat="false" ht="15" hidden="false" customHeight="false" outlineLevel="0" collapsed="false">
      <c r="F851" s="57"/>
      <c r="G851" s="58"/>
      <c r="H851" s="59"/>
      <c r="J851" s="30"/>
    </row>
    <row r="852" customFormat="false" ht="15" hidden="false" customHeight="false" outlineLevel="0" collapsed="false">
      <c r="F852" s="57"/>
      <c r="G852" s="58"/>
      <c r="H852" s="59"/>
      <c r="J852" s="30"/>
    </row>
    <row r="853" customFormat="false" ht="15" hidden="false" customHeight="false" outlineLevel="0" collapsed="false">
      <c r="F853" s="57"/>
      <c r="G853" s="58"/>
      <c r="H853" s="59"/>
      <c r="J853" s="55"/>
    </row>
    <row r="854" customFormat="false" ht="15" hidden="false" customHeight="false" outlineLevel="0" collapsed="false">
      <c r="B854" s="56"/>
      <c r="F854" s="57"/>
      <c r="G854" s="58"/>
      <c r="H854" s="59"/>
      <c r="I854" s="59"/>
      <c r="J854" s="30"/>
    </row>
    <row r="855" customFormat="false" ht="15" hidden="false" customHeight="false" outlineLevel="0" collapsed="false">
      <c r="F855" s="57"/>
      <c r="H855" s="59"/>
      <c r="I855" s="30"/>
      <c r="J855" s="30"/>
    </row>
    <row r="856" customFormat="false" ht="15" hidden="false" customHeight="false" outlineLevel="0" collapsed="false">
      <c r="F856" s="57"/>
      <c r="H856" s="59"/>
      <c r="I856" s="30"/>
      <c r="J856" s="30"/>
    </row>
    <row r="857" customFormat="false" ht="15" hidden="false" customHeight="false" outlineLevel="0" collapsed="false">
      <c r="F857" s="57"/>
      <c r="H857" s="59"/>
      <c r="I857" s="30"/>
      <c r="J857" s="30"/>
    </row>
    <row r="858" customFormat="false" ht="15" hidden="false" customHeight="false" outlineLevel="0" collapsed="false">
      <c r="J858" s="55"/>
    </row>
    <row r="859" customFormat="false" ht="15" hidden="false" customHeight="false" outlineLevel="0" collapsed="false">
      <c r="B859" s="56"/>
    </row>
    <row r="860" customFormat="false" ht="15" hidden="false" customHeight="false" outlineLevel="0" collapsed="false">
      <c r="F860" s="57"/>
      <c r="H860" s="59"/>
      <c r="I860" s="30"/>
      <c r="J860" s="30"/>
    </row>
    <row r="861" customFormat="false" ht="15" hidden="false" customHeight="false" outlineLevel="0" collapsed="false">
      <c r="I861" s="14"/>
      <c r="J861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43"/>
    <col collapsed="false" customWidth="true" hidden="false" outlineLevel="0" max="11" min="11" style="1" width="14"/>
  </cols>
  <sheetData>
    <row r="2" customFormat="false" ht="15" hidden="false" customHeight="false" outlineLevel="0" collapsed="false">
      <c r="G2" s="38" t="s">
        <v>121</v>
      </c>
      <c r="H2" s="38" t="s">
        <v>122</v>
      </c>
      <c r="I2" s="38" t="s">
        <v>123</v>
      </c>
      <c r="J2" s="38" t="s">
        <v>452</v>
      </c>
      <c r="K2" s="38" t="s">
        <v>453</v>
      </c>
    </row>
    <row r="3" customFormat="false" ht="15" hidden="false" customHeight="false" outlineLevel="0" collapsed="false">
      <c r="A3" s="14" t="n">
        <v>5</v>
      </c>
      <c r="B3" s="72" t="s">
        <v>1047</v>
      </c>
      <c r="J3" s="6"/>
      <c r="K3" s="40" t="n">
        <f aca="false">J4+J9</f>
        <v>14235.89</v>
      </c>
      <c r="O3" s="14"/>
      <c r="P3" s="14"/>
    </row>
    <row r="4" customFormat="false" ht="15" hidden="false" customHeight="false" outlineLevel="0" collapsed="false">
      <c r="A4" s="14" t="n">
        <v>5.01</v>
      </c>
      <c r="B4" s="13" t="s">
        <v>1048</v>
      </c>
      <c r="J4" s="42" t="n">
        <f aca="false">SUM(J5:J8)</f>
        <v>12899.2</v>
      </c>
      <c r="K4" s="9"/>
      <c r="P4" s="14"/>
    </row>
    <row r="5" customFormat="false" ht="15" hidden="false" customHeight="false" outlineLevel="0" collapsed="false">
      <c r="A5" s="14" t="s">
        <v>1049</v>
      </c>
      <c r="B5" s="1" t="s">
        <v>1050</v>
      </c>
      <c r="G5" s="6" t="s">
        <v>213</v>
      </c>
      <c r="H5" s="30" t="n">
        <f aca="false">ROUNDUP(SUM(BIBLIOTECA:INGRESO!G59:G59),0)</f>
        <v>32</v>
      </c>
      <c r="I5" s="30" t="n">
        <f aca="false">ROUND('APUS ELECTRICAS'!J5,2)</f>
        <v>121.05</v>
      </c>
      <c r="J5" s="9" t="n">
        <f aca="false">H5*I5</f>
        <v>3873.6</v>
      </c>
      <c r="P5" s="14"/>
    </row>
    <row r="6" customFormat="false" ht="15" hidden="false" customHeight="false" outlineLevel="0" collapsed="false">
      <c r="A6" s="14" t="s">
        <v>1051</v>
      </c>
      <c r="B6" s="1" t="s">
        <v>1052</v>
      </c>
      <c r="G6" s="6" t="s">
        <v>213</v>
      </c>
      <c r="H6" s="30" t="n">
        <f aca="false">ROUNDUP(SUM(BIBLIOTECA:INGRESO!G60:G60),0)</f>
        <v>32</v>
      </c>
      <c r="I6" s="30" t="n">
        <f aca="false">ROUND('APUS ELECTRICAS'!J26,2)</f>
        <v>163.75</v>
      </c>
      <c r="J6" s="9" t="n">
        <f aca="false">H6*I6</f>
        <v>5240</v>
      </c>
      <c r="K6" s="153"/>
    </row>
    <row r="7" customFormat="false" ht="15" hidden="false" customHeight="false" outlineLevel="0" collapsed="false">
      <c r="A7" s="14" t="s">
        <v>1053</v>
      </c>
      <c r="B7" s="1" t="s">
        <v>1054</v>
      </c>
      <c r="G7" s="6" t="s">
        <v>213</v>
      </c>
      <c r="H7" s="30" t="n">
        <f aca="false">ROUNDUP(SUM(BIBLIOTECA:INGRESO!G61:G61),0)</f>
        <v>32</v>
      </c>
      <c r="I7" s="30" t="n">
        <f aca="false">ROUND('APUS ELECTRICAS'!J48,2)</f>
        <v>118.3</v>
      </c>
      <c r="J7" s="9" t="n">
        <f aca="false">H7*I7</f>
        <v>3785.6</v>
      </c>
    </row>
    <row r="8" customFormat="false" ht="15" hidden="false" customHeight="false" outlineLevel="0" collapsed="false">
      <c r="A8" s="14" t="s">
        <v>1055</v>
      </c>
      <c r="B8" s="1" t="s">
        <v>1056</v>
      </c>
      <c r="G8" s="6" t="s">
        <v>213</v>
      </c>
      <c r="H8" s="30" t="n">
        <f aca="false">ROUNDUP(SUM(BIBLIOTECA:INGRESO!G62:G62),0)</f>
        <v>0</v>
      </c>
      <c r="I8" s="30" t="n">
        <f aca="false">ROUND('APUS ELECTRICAS'!J66,2)</f>
        <v>7.34</v>
      </c>
      <c r="J8" s="9" t="n">
        <f aca="false">H8*I8</f>
        <v>0</v>
      </c>
    </row>
    <row r="9" customFormat="false" ht="15" hidden="false" customHeight="false" outlineLevel="0" collapsed="false">
      <c r="A9" s="14" t="n">
        <v>5.02</v>
      </c>
      <c r="B9" s="13" t="s">
        <v>1057</v>
      </c>
      <c r="G9" s="6"/>
      <c r="H9" s="30"/>
      <c r="I9" s="30"/>
      <c r="J9" s="42" t="n">
        <f aca="false">SUM(J10:J15)</f>
        <v>1336.69</v>
      </c>
    </row>
    <row r="10" customFormat="false" ht="15" hidden="false" customHeight="false" outlineLevel="0" collapsed="false">
      <c r="A10" s="14" t="s">
        <v>1058</v>
      </c>
      <c r="B10" s="1" t="s">
        <v>1059</v>
      </c>
      <c r="G10" s="6" t="s">
        <v>148</v>
      </c>
      <c r="H10" s="30" t="n">
        <f aca="false">ROUNDUP(SUM(BIBLIOTECA:INGRESO!G64:G64),0)</f>
        <v>2</v>
      </c>
      <c r="I10" s="30" t="n">
        <f aca="false">ROUND('APUS ELECTRICAS'!J74,2)</f>
        <v>396.14</v>
      </c>
      <c r="J10" s="9" t="n">
        <f aca="false">H10*I10</f>
        <v>792.28</v>
      </c>
      <c r="P10" s="14"/>
    </row>
    <row r="11" customFormat="false" ht="15" hidden="false" customHeight="false" outlineLevel="0" collapsed="false">
      <c r="A11" s="14" t="s">
        <v>1060</v>
      </c>
      <c r="B11" s="1" t="s">
        <v>1061</v>
      </c>
      <c r="G11" s="6" t="s">
        <v>148</v>
      </c>
      <c r="H11" s="30" t="n">
        <f aca="false">ROUNDUP(SUM(BIBLIOTECA:INGRESO!G65:G65),0)</f>
        <v>2</v>
      </c>
      <c r="I11" s="30" t="n">
        <f aca="false">ROUND('APUS ELECTRICAS'!J88,2)</f>
        <v>105.97</v>
      </c>
      <c r="J11" s="9" t="n">
        <f aca="false">H11*I11</f>
        <v>211.94</v>
      </c>
    </row>
    <row r="12" customFormat="false" ht="15" hidden="false" customHeight="false" outlineLevel="0" collapsed="false">
      <c r="A12" s="14" t="s">
        <v>1062</v>
      </c>
      <c r="B12" s="1" t="s">
        <v>1063</v>
      </c>
      <c r="G12" s="6" t="s">
        <v>148</v>
      </c>
      <c r="H12" s="30" t="n">
        <f aca="false">ROUNDUP(SUM(BIBLIOTECA:INGRESO!G66:G66),0)</f>
        <v>1</v>
      </c>
      <c r="I12" s="30" t="n">
        <f aca="false">ROUND('APUS ELECTRICAS'!J106,2)</f>
        <v>143.11</v>
      </c>
      <c r="J12" s="9" t="n">
        <f aca="false">H12*I12</f>
        <v>143.11</v>
      </c>
    </row>
    <row r="13" customFormat="false" ht="15" hidden="false" customHeight="false" outlineLevel="0" collapsed="false">
      <c r="A13" s="14" t="s">
        <v>1064</v>
      </c>
      <c r="B13" s="1" t="s">
        <v>1065</v>
      </c>
      <c r="G13" s="6" t="s">
        <v>148</v>
      </c>
      <c r="H13" s="30" t="n">
        <f aca="false">ROUNDUP(SUM(BIBLIOTECA:INGRESO!G67:G67),0)</f>
        <v>0</v>
      </c>
      <c r="I13" s="30" t="n">
        <f aca="false">ROUND('APUS ELECTRICAS'!J114,2)</f>
        <v>86.82</v>
      </c>
      <c r="J13" s="9" t="n">
        <f aca="false">H13*I13</f>
        <v>0</v>
      </c>
    </row>
    <row r="14" customFormat="false" ht="15" hidden="false" customHeight="false" outlineLevel="0" collapsed="false">
      <c r="A14" s="14" t="s">
        <v>1066</v>
      </c>
      <c r="B14" s="1" t="s">
        <v>1067</v>
      </c>
      <c r="G14" s="6" t="s">
        <v>148</v>
      </c>
      <c r="H14" s="30" t="n">
        <f aca="false">ROUND('Datos iniciales '!B69,2)</f>
        <v>2</v>
      </c>
      <c r="I14" s="65" t="n">
        <f aca="false">ROUND('APUS ELECTRICAS'!J133,2)</f>
        <v>87.34</v>
      </c>
      <c r="J14" s="9" t="n">
        <f aca="false">H14*I14</f>
        <v>174.68</v>
      </c>
    </row>
    <row r="15" customFormat="false" ht="15" hidden="false" customHeight="false" outlineLevel="0" collapsed="false">
      <c r="A15" s="14" t="s">
        <v>1068</v>
      </c>
      <c r="B15" s="1" t="s">
        <v>1069</v>
      </c>
      <c r="G15" s="6" t="s">
        <v>148</v>
      </c>
      <c r="H15" s="30" t="n">
        <f aca="false">ROUND('Datos iniciales '!B69,2)</f>
        <v>2</v>
      </c>
      <c r="I15" s="65" t="n">
        <f aca="false">ROUND('APUS ELECTRICAS'!J140,2)</f>
        <v>7.34</v>
      </c>
      <c r="J15" s="9" t="n">
        <f aca="false">H15*I15</f>
        <v>14.68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0" activeCellId="0" sqref="K10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276</v>
      </c>
      <c r="B4" s="14" t="str">
        <f aca="false">ELECTRICAS!A5</f>
        <v>05.01.01</v>
      </c>
      <c r="C4" s="14" t="s">
        <v>1070</v>
      </c>
      <c r="D4" s="14"/>
    </row>
    <row r="5" customFormat="false" ht="15" hidden="false" customHeight="false" outlineLevel="0" collapsed="false">
      <c r="A5" s="14" t="s">
        <v>277</v>
      </c>
      <c r="B5" s="14" t="s">
        <v>412</v>
      </c>
      <c r="C5" s="38" t="s">
        <v>279</v>
      </c>
      <c r="D5" s="54" t="n">
        <v>5</v>
      </c>
      <c r="E5" s="38" t="s">
        <v>280</v>
      </c>
      <c r="F5" s="54" t="n">
        <f aca="false">D5</f>
        <v>5</v>
      </c>
      <c r="G5" s="14" t="s">
        <v>281</v>
      </c>
      <c r="I5" s="38" t="s">
        <v>213</v>
      </c>
      <c r="J5" s="55" t="n">
        <f aca="false">J11+J20+J23</f>
        <v>121.05</v>
      </c>
    </row>
    <row r="6" customFormat="false" ht="15" hidden="false" customHeight="false" outlineLevel="0" collapsed="false">
      <c r="A6" s="14" t="s">
        <v>282</v>
      </c>
      <c r="B6" s="14" t="s">
        <v>283</v>
      </c>
      <c r="F6" s="38" t="s">
        <v>121</v>
      </c>
      <c r="G6" s="38" t="s">
        <v>284</v>
      </c>
      <c r="H6" s="38" t="s">
        <v>285</v>
      </c>
      <c r="I6" s="38" t="s">
        <v>286</v>
      </c>
      <c r="J6" s="38" t="s">
        <v>287</v>
      </c>
    </row>
    <row r="7" customFormat="false" ht="15" hidden="false" customHeight="false" outlineLevel="0" collapsed="false">
      <c r="B7" s="56" t="s">
        <v>288</v>
      </c>
    </row>
    <row r="8" customFormat="false" ht="15" hidden="false" customHeight="false" outlineLevel="0" collapsed="false">
      <c r="B8" s="1" t="s">
        <v>649</v>
      </c>
      <c r="F8" s="57" t="s">
        <v>290</v>
      </c>
      <c r="G8" s="58" t="n">
        <v>0.1</v>
      </c>
      <c r="H8" s="59" t="n">
        <f aca="false">G8*8/$D$5</f>
        <v>0.16</v>
      </c>
      <c r="I8" s="30" t="n">
        <v>34.73</v>
      </c>
      <c r="J8" s="30" t="n">
        <f aca="false">H8*I8</f>
        <v>5.5568</v>
      </c>
      <c r="K8" s="1" t="n">
        <v>47</v>
      </c>
    </row>
    <row r="9" customFormat="false" ht="15" hidden="false" customHeight="false" outlineLevel="0" collapsed="false">
      <c r="B9" s="1" t="s">
        <v>404</v>
      </c>
      <c r="F9" s="57" t="s">
        <v>290</v>
      </c>
      <c r="G9" s="58" t="n">
        <v>1</v>
      </c>
      <c r="H9" s="59" t="n">
        <f aca="false">G9*8/$D$5</f>
        <v>1.6</v>
      </c>
      <c r="I9" s="1" t="n">
        <v>28.94</v>
      </c>
      <c r="J9" s="30" t="n">
        <f aca="false">H9*I9</f>
        <v>46.304</v>
      </c>
      <c r="K9" s="1" t="n">
        <v>47</v>
      </c>
    </row>
    <row r="10" customFormat="false" ht="15" hidden="false" customHeight="false" outlineLevel="0" collapsed="false">
      <c r="B10" s="1" t="s">
        <v>292</v>
      </c>
      <c r="F10" s="57" t="s">
        <v>290</v>
      </c>
      <c r="G10" s="58" t="n">
        <v>1</v>
      </c>
      <c r="H10" s="59" t="n">
        <f aca="false">G10*8/$D$5</f>
        <v>1.6</v>
      </c>
      <c r="I10" s="1" t="n">
        <v>20.51</v>
      </c>
      <c r="J10" s="30" t="n">
        <f aca="false">H10*I10</f>
        <v>32.816</v>
      </c>
      <c r="K10" s="1" t="n">
        <v>47</v>
      </c>
    </row>
    <row r="11" customFormat="false" ht="15" hidden="false" customHeight="false" outlineLevel="0" collapsed="false">
      <c r="J11" s="55" t="n">
        <f aca="false">ROUND(SUM(J8:J10),2)</f>
        <v>84.68</v>
      </c>
    </row>
    <row r="12" customFormat="false" ht="15" hidden="false" customHeight="false" outlineLevel="0" collapsed="false">
      <c r="B12" s="56" t="s">
        <v>652</v>
      </c>
      <c r="F12" s="57"/>
      <c r="G12" s="58"/>
      <c r="H12" s="59"/>
      <c r="J12" s="30"/>
    </row>
    <row r="13" customFormat="false" ht="15" hidden="false" customHeight="false" outlineLevel="0" collapsed="false">
      <c r="B13" s="1" t="s">
        <v>1071</v>
      </c>
      <c r="F13" s="57" t="s">
        <v>148</v>
      </c>
      <c r="H13" s="59" t="n">
        <v>1.5</v>
      </c>
      <c r="I13" s="1" t="n">
        <v>10.68</v>
      </c>
      <c r="J13" s="30" t="n">
        <f aca="false">H13*I13</f>
        <v>16.02</v>
      </c>
      <c r="K13" s="1" t="n">
        <v>72</v>
      </c>
    </row>
    <row r="14" customFormat="false" ht="15" hidden="false" customHeight="false" outlineLevel="0" collapsed="false">
      <c r="B14" s="1" t="s">
        <v>1072</v>
      </c>
      <c r="F14" s="57" t="s">
        <v>148</v>
      </c>
      <c r="H14" s="59" t="n">
        <v>3</v>
      </c>
      <c r="I14" s="1" t="n">
        <v>2.12</v>
      </c>
      <c r="J14" s="30" t="n">
        <f aca="false">H14*I14</f>
        <v>6.36</v>
      </c>
      <c r="K14" s="1" t="n">
        <v>72</v>
      </c>
    </row>
    <row r="15" customFormat="false" ht="15" hidden="false" customHeight="false" outlineLevel="0" collapsed="false">
      <c r="B15" s="1" t="s">
        <v>1073</v>
      </c>
      <c r="F15" s="57" t="s">
        <v>148</v>
      </c>
      <c r="H15" s="59" t="n">
        <v>1</v>
      </c>
      <c r="I15" s="1" t="n">
        <v>0.68</v>
      </c>
      <c r="J15" s="30" t="n">
        <f aca="false">H15*I15</f>
        <v>0.68</v>
      </c>
      <c r="K15" s="1" t="n">
        <v>72</v>
      </c>
    </row>
    <row r="16" customFormat="false" ht="15" hidden="false" customHeight="false" outlineLevel="0" collapsed="false">
      <c r="B16" s="1" t="s">
        <v>1074</v>
      </c>
      <c r="F16" s="57" t="s">
        <v>148</v>
      </c>
      <c r="H16" s="59" t="n">
        <v>1</v>
      </c>
      <c r="I16" s="1" t="n">
        <v>0.51</v>
      </c>
      <c r="J16" s="30" t="n">
        <f aca="false">H16*I16</f>
        <v>0.51</v>
      </c>
      <c r="K16" s="1" t="n">
        <v>39</v>
      </c>
    </row>
    <row r="17" customFormat="false" ht="15" hidden="false" customHeight="false" outlineLevel="0" collapsed="false">
      <c r="B17" s="1" t="s">
        <v>1075</v>
      </c>
      <c r="F17" s="57" t="s">
        <v>148</v>
      </c>
      <c r="H17" s="59" t="n">
        <v>0.1</v>
      </c>
      <c r="I17" s="1" t="n">
        <v>4.66</v>
      </c>
      <c r="J17" s="30" t="n">
        <f aca="false">H17*I17</f>
        <v>0.466</v>
      </c>
      <c r="K17" s="1" t="n">
        <v>30</v>
      </c>
    </row>
    <row r="18" customFormat="false" ht="15" hidden="false" customHeight="false" outlineLevel="0" collapsed="false">
      <c r="B18" s="1" t="s">
        <v>1076</v>
      </c>
      <c r="F18" s="57" t="s">
        <v>148</v>
      </c>
      <c r="H18" s="59" t="n">
        <v>1</v>
      </c>
      <c r="I18" s="1" t="n">
        <v>1.69</v>
      </c>
      <c r="J18" s="30" t="n">
        <f aca="false">H18*I18</f>
        <v>1.69</v>
      </c>
      <c r="K18" s="1" t="n">
        <v>39</v>
      </c>
    </row>
    <row r="19" customFormat="false" ht="15" hidden="false" customHeight="false" outlineLevel="0" collapsed="false">
      <c r="B19" s="1" t="s">
        <v>1077</v>
      </c>
      <c r="F19" s="57" t="s">
        <v>143</v>
      </c>
      <c r="H19" s="59" t="n">
        <v>9</v>
      </c>
      <c r="I19" s="1" t="n">
        <v>0.9</v>
      </c>
      <c r="J19" s="30" t="n">
        <f aca="false">H19*I19</f>
        <v>8.1</v>
      </c>
      <c r="K19" s="1" t="n">
        <v>2</v>
      </c>
    </row>
    <row r="20" customFormat="false" ht="15" hidden="false" customHeight="false" outlineLevel="0" collapsed="false">
      <c r="J20" s="55" t="n">
        <f aca="false">ROUND(SUM(J13:J19),2)</f>
        <v>33.83</v>
      </c>
    </row>
    <row r="21" customFormat="false" ht="15" hidden="false" customHeight="false" outlineLevel="0" collapsed="false">
      <c r="B21" s="56" t="s">
        <v>308</v>
      </c>
    </row>
    <row r="22" customFormat="false" ht="15" hidden="false" customHeight="false" outlineLevel="0" collapsed="false">
      <c r="B22" s="1" t="s">
        <v>309</v>
      </c>
      <c r="F22" s="57" t="s">
        <v>310</v>
      </c>
      <c r="H22" s="59" t="n">
        <v>3</v>
      </c>
      <c r="I22" s="30" t="n">
        <f aca="false">J11</f>
        <v>84.68</v>
      </c>
      <c r="J22" s="30" t="n">
        <f aca="false">H22%*I22</f>
        <v>2.5404</v>
      </c>
      <c r="K22" s="1" t="n">
        <v>37</v>
      </c>
    </row>
    <row r="23" customFormat="false" ht="15" hidden="false" customHeight="false" outlineLevel="0" collapsed="false">
      <c r="A23" s="62"/>
      <c r="B23" s="62"/>
      <c r="C23" s="62"/>
      <c r="D23" s="62"/>
      <c r="E23" s="62"/>
      <c r="F23" s="62"/>
      <c r="G23" s="62"/>
      <c r="H23" s="62"/>
      <c r="I23" s="83"/>
      <c r="J23" s="63" t="n">
        <f aca="false">ROUND(SUM(J22),2)</f>
        <v>2.54</v>
      </c>
    </row>
    <row r="25" customFormat="false" ht="15" hidden="false" customHeight="false" outlineLevel="0" collapsed="false">
      <c r="A25" s="14" t="s">
        <v>276</v>
      </c>
      <c r="B25" s="14" t="str">
        <f aca="false">ELECTRICAS!A6</f>
        <v>05.01.02</v>
      </c>
      <c r="C25" s="14" t="s">
        <v>1078</v>
      </c>
      <c r="D25" s="14"/>
    </row>
    <row r="26" customFormat="false" ht="15" hidden="false" customHeight="false" outlineLevel="0" collapsed="false">
      <c r="A26" s="14" t="s">
        <v>277</v>
      </c>
      <c r="B26" s="14" t="s">
        <v>412</v>
      </c>
      <c r="C26" s="38" t="s">
        <v>279</v>
      </c>
      <c r="D26" s="54" t="n">
        <v>4</v>
      </c>
      <c r="E26" s="38" t="s">
        <v>280</v>
      </c>
      <c r="F26" s="54" t="n">
        <f aca="false">D26</f>
        <v>4</v>
      </c>
      <c r="G26" s="14" t="s">
        <v>281</v>
      </c>
      <c r="I26" s="38" t="s">
        <v>213</v>
      </c>
      <c r="J26" s="55" t="n">
        <f aca="false">J32+J42+J45</f>
        <v>163.75</v>
      </c>
    </row>
    <row r="27" customFormat="false" ht="15" hidden="false" customHeight="false" outlineLevel="0" collapsed="false">
      <c r="A27" s="14" t="s">
        <v>282</v>
      </c>
      <c r="B27" s="14" t="s">
        <v>283</v>
      </c>
      <c r="F27" s="38" t="s">
        <v>121</v>
      </c>
      <c r="G27" s="38" t="s">
        <v>284</v>
      </c>
      <c r="H27" s="38" t="s">
        <v>285</v>
      </c>
      <c r="I27" s="38" t="s">
        <v>286</v>
      </c>
      <c r="J27" s="38" t="s">
        <v>287</v>
      </c>
    </row>
    <row r="28" customFormat="false" ht="15" hidden="false" customHeight="false" outlineLevel="0" collapsed="false">
      <c r="B28" s="56" t="s">
        <v>288</v>
      </c>
    </row>
    <row r="29" customFormat="false" ht="15" hidden="false" customHeight="false" outlineLevel="0" collapsed="false">
      <c r="B29" s="1" t="s">
        <v>649</v>
      </c>
      <c r="F29" s="57" t="s">
        <v>290</v>
      </c>
      <c r="G29" s="58" t="n">
        <v>0.1</v>
      </c>
      <c r="H29" s="59" t="n">
        <f aca="false">G29*8/$D$26</f>
        <v>0.2</v>
      </c>
      <c r="I29" s="30" t="n">
        <v>34.73</v>
      </c>
      <c r="J29" s="30" t="n">
        <f aca="false">H29*I29</f>
        <v>6.946</v>
      </c>
      <c r="K29" s="1" t="n">
        <v>47</v>
      </c>
    </row>
    <row r="30" customFormat="false" ht="15" hidden="false" customHeight="false" outlineLevel="0" collapsed="false">
      <c r="B30" s="1" t="s">
        <v>404</v>
      </c>
      <c r="F30" s="57" t="s">
        <v>290</v>
      </c>
      <c r="G30" s="58" t="n">
        <v>1</v>
      </c>
      <c r="H30" s="59" t="n">
        <f aca="false">G30*8/$D$26</f>
        <v>2</v>
      </c>
      <c r="I30" s="1" t="n">
        <v>28.94</v>
      </c>
      <c r="J30" s="30" t="n">
        <f aca="false">H30*I30</f>
        <v>57.88</v>
      </c>
      <c r="K30" s="1" t="n">
        <v>47</v>
      </c>
    </row>
    <row r="31" customFormat="false" ht="15" hidden="false" customHeight="false" outlineLevel="0" collapsed="false">
      <c r="B31" s="1" t="s">
        <v>292</v>
      </c>
      <c r="F31" s="57" t="s">
        <v>290</v>
      </c>
      <c r="G31" s="58" t="n">
        <v>1</v>
      </c>
      <c r="H31" s="59" t="n">
        <f aca="false">G31*8/$D$26</f>
        <v>2</v>
      </c>
      <c r="I31" s="1" t="n">
        <v>20.51</v>
      </c>
      <c r="J31" s="30" t="n">
        <f aca="false">H31*I31</f>
        <v>41.02</v>
      </c>
      <c r="K31" s="1" t="n">
        <v>47</v>
      </c>
    </row>
    <row r="32" customFormat="false" ht="15" hidden="false" customHeight="false" outlineLevel="0" collapsed="false">
      <c r="J32" s="55" t="n">
        <f aca="false">ROUND(SUM(J29:J31),2)</f>
        <v>105.85</v>
      </c>
    </row>
    <row r="33" customFormat="false" ht="15" hidden="false" customHeight="false" outlineLevel="0" collapsed="false">
      <c r="B33" s="56" t="s">
        <v>652</v>
      </c>
      <c r="F33" s="57"/>
      <c r="G33" s="58"/>
      <c r="H33" s="59"/>
      <c r="J33" s="30"/>
    </row>
    <row r="34" customFormat="false" ht="15" hidden="false" customHeight="false" outlineLevel="0" collapsed="false">
      <c r="B34" s="1" t="s">
        <v>1071</v>
      </c>
      <c r="F34" s="57" t="s">
        <v>148</v>
      </c>
      <c r="H34" s="59" t="n">
        <v>1.5</v>
      </c>
      <c r="I34" s="1" t="n">
        <v>10.68</v>
      </c>
      <c r="J34" s="30" t="n">
        <f aca="false">H34*I34</f>
        <v>16.02</v>
      </c>
      <c r="K34" s="1" t="n">
        <v>72</v>
      </c>
    </row>
    <row r="35" customFormat="false" ht="15" hidden="false" customHeight="false" outlineLevel="0" collapsed="false">
      <c r="B35" s="1" t="s">
        <v>1072</v>
      </c>
      <c r="F35" s="57" t="s">
        <v>148</v>
      </c>
      <c r="H35" s="59" t="n">
        <v>3</v>
      </c>
      <c r="I35" s="1" t="n">
        <v>2.12</v>
      </c>
      <c r="J35" s="30" t="n">
        <f aca="false">H35*I35</f>
        <v>6.36</v>
      </c>
      <c r="K35" s="1" t="n">
        <v>72</v>
      </c>
    </row>
    <row r="36" customFormat="false" ht="15" hidden="false" customHeight="false" outlineLevel="0" collapsed="false">
      <c r="B36" s="1" t="s">
        <v>1073</v>
      </c>
      <c r="F36" s="57" t="s">
        <v>148</v>
      </c>
      <c r="H36" s="59" t="n">
        <v>1</v>
      </c>
      <c r="I36" s="1" t="n">
        <v>0.68</v>
      </c>
      <c r="J36" s="30" t="n">
        <f aca="false">H36*I36</f>
        <v>0.68</v>
      </c>
      <c r="K36" s="1" t="n">
        <v>72</v>
      </c>
    </row>
    <row r="37" customFormat="false" ht="15" hidden="false" customHeight="false" outlineLevel="0" collapsed="false">
      <c r="B37" s="1" t="s">
        <v>1074</v>
      </c>
      <c r="F37" s="57" t="s">
        <v>148</v>
      </c>
      <c r="H37" s="59" t="n">
        <v>2</v>
      </c>
      <c r="I37" s="1" t="n">
        <v>0.51</v>
      </c>
      <c r="J37" s="30" t="n">
        <f aca="false">H37*I37</f>
        <v>1.02</v>
      </c>
      <c r="K37" s="1" t="n">
        <v>39</v>
      </c>
    </row>
    <row r="38" customFormat="false" ht="15" hidden="false" customHeight="false" outlineLevel="0" collapsed="false">
      <c r="B38" s="1" t="s">
        <v>1075</v>
      </c>
      <c r="F38" s="57" t="s">
        <v>148</v>
      </c>
      <c r="H38" s="59" t="n">
        <v>0.1</v>
      </c>
      <c r="I38" s="1" t="n">
        <v>4.66</v>
      </c>
      <c r="J38" s="30" t="n">
        <f aca="false">H38*I38</f>
        <v>0.466</v>
      </c>
      <c r="K38" s="1" t="n">
        <v>30</v>
      </c>
    </row>
    <row r="39" customFormat="false" ht="15" hidden="false" customHeight="false" outlineLevel="0" collapsed="false">
      <c r="B39" s="1" t="s">
        <v>1079</v>
      </c>
      <c r="F39" s="57" t="s">
        <v>148</v>
      </c>
      <c r="H39" s="59" t="n">
        <v>1.05</v>
      </c>
      <c r="I39" s="1" t="n">
        <v>16.02</v>
      </c>
      <c r="J39" s="30" t="n">
        <f aca="false">H39*I39</f>
        <v>16.821</v>
      </c>
      <c r="K39" s="1" t="n">
        <v>11</v>
      </c>
    </row>
    <row r="40" customFormat="false" ht="15" hidden="false" customHeight="false" outlineLevel="0" collapsed="false">
      <c r="B40" s="1" t="s">
        <v>1080</v>
      </c>
      <c r="F40" s="57" t="s">
        <v>148</v>
      </c>
      <c r="H40" s="1" t="n">
        <v>1.05</v>
      </c>
      <c r="I40" s="1" t="n">
        <v>5</v>
      </c>
      <c r="J40" s="30" t="n">
        <f aca="false">H40*I40</f>
        <v>5.25</v>
      </c>
      <c r="K40" s="1" t="n">
        <v>39</v>
      </c>
    </row>
    <row r="41" customFormat="false" ht="15" hidden="false" customHeight="false" outlineLevel="0" collapsed="false">
      <c r="B41" s="1" t="s">
        <v>1077</v>
      </c>
      <c r="F41" s="57" t="s">
        <v>143</v>
      </c>
      <c r="H41" s="59" t="n">
        <v>9</v>
      </c>
      <c r="I41" s="1" t="n">
        <v>0.9</v>
      </c>
      <c r="J41" s="30" t="n">
        <f aca="false">H41*I41</f>
        <v>8.1</v>
      </c>
      <c r="K41" s="1" t="n">
        <v>2</v>
      </c>
    </row>
    <row r="42" customFormat="false" ht="15" hidden="false" customHeight="false" outlineLevel="0" collapsed="false">
      <c r="J42" s="55" t="n">
        <f aca="false">ROUND(SUM(J34:J41),2)</f>
        <v>54.72</v>
      </c>
    </row>
    <row r="43" customFormat="false" ht="15" hidden="false" customHeight="false" outlineLevel="0" collapsed="false">
      <c r="B43" s="56" t="s">
        <v>308</v>
      </c>
    </row>
    <row r="44" customFormat="false" ht="15" hidden="false" customHeight="false" outlineLevel="0" collapsed="false">
      <c r="B44" s="1" t="s">
        <v>309</v>
      </c>
      <c r="F44" s="57" t="s">
        <v>310</v>
      </c>
      <c r="H44" s="59" t="n">
        <v>3</v>
      </c>
      <c r="I44" s="30" t="n">
        <f aca="false">J32</f>
        <v>105.85</v>
      </c>
      <c r="J44" s="30" t="n">
        <f aca="false">H44%*I44</f>
        <v>3.1755</v>
      </c>
      <c r="K44" s="1" t="n">
        <v>37</v>
      </c>
    </row>
    <row r="45" customFormat="false" ht="15" hidden="false" customHeight="false" outlineLevel="0" collapsed="false">
      <c r="A45" s="62"/>
      <c r="B45" s="62"/>
      <c r="C45" s="62"/>
      <c r="D45" s="62"/>
      <c r="E45" s="62"/>
      <c r="F45" s="62"/>
      <c r="G45" s="62"/>
      <c r="H45" s="62"/>
      <c r="I45" s="83"/>
      <c r="J45" s="63" t="n">
        <f aca="false">ROUND(SUM(J44),2)</f>
        <v>3.18</v>
      </c>
    </row>
    <row r="47" customFormat="false" ht="15" hidden="false" customHeight="false" outlineLevel="0" collapsed="false">
      <c r="A47" s="14" t="s">
        <v>276</v>
      </c>
      <c r="B47" s="14" t="str">
        <f aca="false">ELECTRICAS!A7</f>
        <v>05.01.03</v>
      </c>
      <c r="C47" s="14" t="s">
        <v>1081</v>
      </c>
      <c r="D47" s="14"/>
    </row>
    <row r="48" customFormat="false" ht="15" hidden="false" customHeight="false" outlineLevel="0" collapsed="false">
      <c r="A48" s="14" t="s">
        <v>277</v>
      </c>
      <c r="B48" s="14" t="s">
        <v>412</v>
      </c>
      <c r="C48" s="38" t="s">
        <v>279</v>
      </c>
      <c r="D48" s="54" t="n">
        <v>3</v>
      </c>
      <c r="E48" s="38" t="s">
        <v>280</v>
      </c>
      <c r="F48" s="54" t="n">
        <f aca="false">D48</f>
        <v>3</v>
      </c>
      <c r="G48" s="14" t="s">
        <v>281</v>
      </c>
      <c r="I48" s="38" t="s">
        <v>213</v>
      </c>
      <c r="J48" s="55" t="n">
        <f aca="false">J53+J60+J63</f>
        <v>118.3</v>
      </c>
    </row>
    <row r="49" customFormat="false" ht="15" hidden="false" customHeight="false" outlineLevel="0" collapsed="false">
      <c r="A49" s="14" t="s">
        <v>282</v>
      </c>
      <c r="B49" s="14" t="s">
        <v>283</v>
      </c>
      <c r="F49" s="38" t="s">
        <v>121</v>
      </c>
      <c r="G49" s="38" t="s">
        <v>284</v>
      </c>
      <c r="H49" s="38" t="s">
        <v>285</v>
      </c>
      <c r="I49" s="38" t="s">
        <v>286</v>
      </c>
      <c r="J49" s="38" t="s">
        <v>287</v>
      </c>
    </row>
    <row r="50" customFormat="false" ht="15" hidden="false" customHeight="false" outlineLevel="0" collapsed="false">
      <c r="B50" s="56" t="s">
        <v>288</v>
      </c>
    </row>
    <row r="51" customFormat="false" ht="15" hidden="false" customHeight="false" outlineLevel="0" collapsed="false">
      <c r="B51" s="1" t="s">
        <v>649</v>
      </c>
      <c r="F51" s="57" t="s">
        <v>290</v>
      </c>
      <c r="G51" s="58" t="n">
        <v>0.1</v>
      </c>
      <c r="H51" s="59" t="n">
        <f aca="false">G51*8/$D$48</f>
        <v>0.266666666666667</v>
      </c>
      <c r="I51" s="30" t="n">
        <v>34.73</v>
      </c>
      <c r="J51" s="30" t="n">
        <f aca="false">H51*I51</f>
        <v>9.26133333333333</v>
      </c>
      <c r="K51" s="1" t="n">
        <v>47</v>
      </c>
    </row>
    <row r="52" customFormat="false" ht="15" hidden="false" customHeight="false" outlineLevel="0" collapsed="false">
      <c r="B52" s="1" t="s">
        <v>404</v>
      </c>
      <c r="F52" s="57" t="s">
        <v>290</v>
      </c>
      <c r="G52" s="58" t="n">
        <v>1</v>
      </c>
      <c r="H52" s="59" t="n">
        <f aca="false">G52*8/$D$48</f>
        <v>2.66666666666667</v>
      </c>
      <c r="I52" s="1" t="n">
        <v>28.94</v>
      </c>
      <c r="J52" s="30" t="n">
        <f aca="false">H52*I52</f>
        <v>77.1733333333333</v>
      </c>
      <c r="K52" s="1" t="n">
        <v>47</v>
      </c>
    </row>
    <row r="53" customFormat="false" ht="15" hidden="false" customHeight="false" outlineLevel="0" collapsed="false">
      <c r="J53" s="55" t="n">
        <f aca="false">ROUND(SUM(J51:J52),2)</f>
        <v>86.43</v>
      </c>
    </row>
    <row r="54" customFormat="false" ht="15" hidden="false" customHeight="false" outlineLevel="0" collapsed="false">
      <c r="B54" s="56" t="s">
        <v>652</v>
      </c>
      <c r="F54" s="57"/>
      <c r="G54" s="58"/>
      <c r="H54" s="59"/>
      <c r="J54" s="30"/>
    </row>
    <row r="55" customFormat="false" ht="15" hidden="false" customHeight="false" outlineLevel="0" collapsed="false">
      <c r="B55" s="1" t="s">
        <v>1071</v>
      </c>
      <c r="F55" s="57" t="s">
        <v>148</v>
      </c>
      <c r="H55" s="59" t="n">
        <v>2</v>
      </c>
      <c r="I55" s="1" t="n">
        <v>10.68</v>
      </c>
      <c r="J55" s="30" t="n">
        <f aca="false">H55*I55</f>
        <v>21.36</v>
      </c>
      <c r="K55" s="1" t="n">
        <v>72</v>
      </c>
    </row>
    <row r="56" customFormat="false" ht="15" hidden="false" customHeight="false" outlineLevel="0" collapsed="false">
      <c r="B56" s="1" t="s">
        <v>1072</v>
      </c>
      <c r="F56" s="57" t="s">
        <v>148</v>
      </c>
      <c r="H56" s="59" t="n">
        <v>1</v>
      </c>
      <c r="I56" s="1" t="n">
        <v>2.12</v>
      </c>
      <c r="J56" s="30" t="n">
        <f aca="false">H56*I56</f>
        <v>2.12</v>
      </c>
      <c r="K56" s="1" t="n">
        <v>72</v>
      </c>
    </row>
    <row r="57" customFormat="false" ht="15" hidden="false" customHeight="false" outlineLevel="0" collapsed="false">
      <c r="B57" s="1" t="s">
        <v>1073</v>
      </c>
      <c r="F57" s="57" t="s">
        <v>148</v>
      </c>
      <c r="H57" s="59" t="n">
        <v>2</v>
      </c>
      <c r="I57" s="1" t="n">
        <v>0.68</v>
      </c>
      <c r="J57" s="30" t="n">
        <f aca="false">H57*I57</f>
        <v>1.36</v>
      </c>
      <c r="K57" s="1" t="n">
        <v>72</v>
      </c>
    </row>
    <row r="58" customFormat="false" ht="15" hidden="false" customHeight="false" outlineLevel="0" collapsed="false">
      <c r="B58" s="1" t="s">
        <v>1074</v>
      </c>
      <c r="F58" s="57" t="s">
        <v>148</v>
      </c>
      <c r="H58" s="59" t="n">
        <v>2</v>
      </c>
      <c r="I58" s="1" t="n">
        <v>0.51</v>
      </c>
      <c r="J58" s="30" t="n">
        <f aca="false">H58*I58</f>
        <v>1.02</v>
      </c>
      <c r="K58" s="1" t="n">
        <v>39</v>
      </c>
    </row>
    <row r="59" customFormat="false" ht="15" hidden="false" customHeight="false" outlineLevel="0" collapsed="false">
      <c r="B59" s="1" t="s">
        <v>1082</v>
      </c>
      <c r="F59" s="57" t="s">
        <v>148</v>
      </c>
      <c r="H59" s="1" t="n">
        <v>1.05</v>
      </c>
      <c r="I59" s="1" t="n">
        <v>1.61</v>
      </c>
      <c r="J59" s="30" t="n">
        <f aca="false">H59*I59</f>
        <v>1.6905</v>
      </c>
      <c r="K59" s="1" t="n">
        <v>39</v>
      </c>
    </row>
    <row r="60" customFormat="false" ht="15" hidden="false" customHeight="false" outlineLevel="0" collapsed="false">
      <c r="F60" s="57"/>
      <c r="H60" s="59"/>
      <c r="J60" s="55" t="n">
        <f aca="false">ROUND(SUM(J55:J59),2)</f>
        <v>27.55</v>
      </c>
    </row>
    <row r="61" customFormat="false" ht="15" hidden="false" customHeight="false" outlineLevel="0" collapsed="false">
      <c r="B61" s="56" t="s">
        <v>308</v>
      </c>
    </row>
    <row r="62" customFormat="false" ht="15" hidden="false" customHeight="false" outlineLevel="0" collapsed="false">
      <c r="B62" s="1" t="s">
        <v>309</v>
      </c>
      <c r="F62" s="57" t="s">
        <v>310</v>
      </c>
      <c r="H62" s="59" t="n">
        <v>5</v>
      </c>
      <c r="I62" s="30" t="n">
        <f aca="false">J53</f>
        <v>86.43</v>
      </c>
      <c r="J62" s="30" t="n">
        <f aca="false">H62%*I62</f>
        <v>4.3215</v>
      </c>
      <c r="K62" s="1" t="n">
        <v>37</v>
      </c>
    </row>
    <row r="63" customFormat="false" ht="15" hidden="false" customHeight="false" outlineLevel="0" collapsed="false">
      <c r="A63" s="62"/>
      <c r="B63" s="62"/>
      <c r="C63" s="62"/>
      <c r="D63" s="62"/>
      <c r="E63" s="62"/>
      <c r="F63" s="62"/>
      <c r="G63" s="62"/>
      <c r="H63" s="62"/>
      <c r="I63" s="83"/>
      <c r="J63" s="63" t="n">
        <f aca="false">ROUND(SUM(J62),2)</f>
        <v>4.32</v>
      </c>
    </row>
    <row r="64" customFormat="false" ht="15" hidden="false" customHeight="false" outlineLevel="0" collapsed="false">
      <c r="I64" s="14"/>
      <c r="J64" s="55"/>
    </row>
    <row r="65" customFormat="false" ht="15" hidden="false" customHeight="false" outlineLevel="0" collapsed="false">
      <c r="A65" s="14" t="s">
        <v>276</v>
      </c>
      <c r="B65" s="14" t="str">
        <f aca="false">ELECTRICAS!A8</f>
        <v>05.01.04</v>
      </c>
      <c r="C65" s="14" t="s">
        <v>1083</v>
      </c>
      <c r="D65" s="14"/>
    </row>
    <row r="66" customFormat="false" ht="15" hidden="false" customHeight="false" outlineLevel="0" collapsed="false">
      <c r="A66" s="14" t="s">
        <v>277</v>
      </c>
      <c r="B66" s="14" t="s">
        <v>1084</v>
      </c>
      <c r="C66" s="38" t="s">
        <v>279</v>
      </c>
      <c r="D66" s="54" t="n">
        <v>1</v>
      </c>
      <c r="E66" s="38" t="s">
        <v>280</v>
      </c>
      <c r="F66" s="54" t="n">
        <f aca="false">D66</f>
        <v>1</v>
      </c>
      <c r="G66" s="14" t="s">
        <v>281</v>
      </c>
      <c r="I66" s="38" t="s">
        <v>213</v>
      </c>
      <c r="J66" s="55" t="n">
        <f aca="false">+J70</f>
        <v>7.34</v>
      </c>
    </row>
    <row r="67" customFormat="false" ht="15" hidden="false" customHeight="false" outlineLevel="0" collapsed="false">
      <c r="A67" s="14" t="s">
        <v>282</v>
      </c>
      <c r="B67" s="14" t="s">
        <v>283</v>
      </c>
      <c r="F67" s="38" t="s">
        <v>121</v>
      </c>
      <c r="G67" s="38" t="s">
        <v>284</v>
      </c>
      <c r="H67" s="38" t="s">
        <v>285</v>
      </c>
      <c r="I67" s="38" t="s">
        <v>286</v>
      </c>
      <c r="J67" s="38" t="s">
        <v>287</v>
      </c>
    </row>
    <row r="68" customFormat="false" ht="15" hidden="false" customHeight="false" outlineLevel="0" collapsed="false">
      <c r="B68" s="56" t="s">
        <v>652</v>
      </c>
    </row>
    <row r="69" customFormat="false" ht="15" hidden="false" customHeight="false" outlineLevel="0" collapsed="false">
      <c r="B69" s="1" t="s">
        <v>1083</v>
      </c>
      <c r="F69" s="57" t="s">
        <v>213</v>
      </c>
      <c r="G69" s="58"/>
      <c r="H69" s="59" t="n">
        <v>1</v>
      </c>
      <c r="I69" s="1" t="n">
        <v>7.34</v>
      </c>
      <c r="J69" s="30" t="n">
        <f aca="false">H69*I69</f>
        <v>7.34</v>
      </c>
      <c r="K69" s="1" t="n">
        <v>39</v>
      </c>
    </row>
    <row r="70" customFormat="false" ht="15" hidden="false" customHeight="false" outlineLevel="0" collapsed="false">
      <c r="A70" s="62"/>
      <c r="B70" s="62"/>
      <c r="C70" s="62"/>
      <c r="D70" s="62"/>
      <c r="E70" s="62"/>
      <c r="F70" s="66"/>
      <c r="G70" s="67"/>
      <c r="H70" s="68"/>
      <c r="I70" s="62"/>
      <c r="J70" s="63" t="n">
        <f aca="false">ROUND(SUM(J69:J69),2)</f>
        <v>7.34</v>
      </c>
    </row>
    <row r="73" customFormat="false" ht="15" hidden="false" customHeight="false" outlineLevel="0" collapsed="false">
      <c r="A73" s="14" t="s">
        <v>276</v>
      </c>
      <c r="B73" s="14" t="str">
        <f aca="false">ELECTRICAS!A10</f>
        <v>05.02.01</v>
      </c>
      <c r="C73" s="14" t="s">
        <v>1059</v>
      </c>
      <c r="D73" s="14"/>
    </row>
    <row r="74" customFormat="false" ht="15" hidden="false" customHeight="false" outlineLevel="0" collapsed="false">
      <c r="A74" s="14" t="s">
        <v>277</v>
      </c>
      <c r="B74" s="14" t="s">
        <v>1085</v>
      </c>
      <c r="C74" s="38" t="s">
        <v>279</v>
      </c>
      <c r="D74" s="54" t="n">
        <v>10</v>
      </c>
      <c r="E74" s="38" t="s">
        <v>280</v>
      </c>
      <c r="F74" s="54" t="n">
        <f aca="false">D74</f>
        <v>10</v>
      </c>
      <c r="G74" s="14" t="s">
        <v>281</v>
      </c>
      <c r="I74" s="38" t="s">
        <v>148</v>
      </c>
      <c r="J74" s="55" t="n">
        <f aca="false">+J79+J82+J85</f>
        <v>396.14</v>
      </c>
    </row>
    <row r="75" customFormat="false" ht="15" hidden="false" customHeight="false" outlineLevel="0" collapsed="false">
      <c r="A75" s="14" t="s">
        <v>282</v>
      </c>
      <c r="B75" s="14" t="s">
        <v>283</v>
      </c>
      <c r="F75" s="38" t="s">
        <v>121</v>
      </c>
      <c r="G75" s="38" t="s">
        <v>284</v>
      </c>
      <c r="H75" s="38" t="s">
        <v>285</v>
      </c>
      <c r="I75" s="38" t="s">
        <v>286</v>
      </c>
      <c r="J75" s="38" t="s">
        <v>287</v>
      </c>
    </row>
    <row r="76" customFormat="false" ht="15" hidden="false" customHeight="false" outlineLevel="0" collapsed="false">
      <c r="B76" s="56" t="s">
        <v>288</v>
      </c>
      <c r="T76" s="30"/>
    </row>
    <row r="77" customFormat="false" ht="15" hidden="false" customHeight="false" outlineLevel="0" collapsed="false">
      <c r="B77" s="1" t="s">
        <v>649</v>
      </c>
      <c r="F77" s="57" t="s">
        <v>290</v>
      </c>
      <c r="G77" s="58" t="n">
        <v>0.1</v>
      </c>
      <c r="H77" s="59" t="n">
        <f aca="false">G77*8/$D$74</f>
        <v>0.08</v>
      </c>
      <c r="I77" s="30" t="n">
        <v>34.73</v>
      </c>
      <c r="J77" s="30" t="n">
        <f aca="false">H77*I77</f>
        <v>2.7784</v>
      </c>
      <c r="K77" s="1" t="n">
        <v>47</v>
      </c>
      <c r="T77" s="30"/>
    </row>
    <row r="78" customFormat="false" ht="15" hidden="false" customHeight="false" outlineLevel="0" collapsed="false">
      <c r="B78" s="1" t="s">
        <v>404</v>
      </c>
      <c r="F78" s="57" t="s">
        <v>290</v>
      </c>
      <c r="G78" s="58" t="n">
        <v>0.5</v>
      </c>
      <c r="H78" s="59" t="n">
        <f aca="false">G78*8/$D$74</f>
        <v>0.4</v>
      </c>
      <c r="I78" s="1" t="n">
        <v>28.94</v>
      </c>
      <c r="J78" s="30" t="n">
        <f aca="false">H78*I78</f>
        <v>11.576</v>
      </c>
      <c r="K78" s="1" t="n">
        <v>47</v>
      </c>
    </row>
    <row r="79" customFormat="false" ht="15" hidden="false" customHeight="false" outlineLevel="0" collapsed="false">
      <c r="J79" s="55" t="n">
        <f aca="false">ROUND(SUM(J77:J78),2)</f>
        <v>14.35</v>
      </c>
      <c r="T79" s="30"/>
    </row>
    <row r="80" customFormat="false" ht="15" hidden="false" customHeight="false" outlineLevel="0" collapsed="false">
      <c r="B80" s="56" t="s">
        <v>652</v>
      </c>
      <c r="F80" s="57"/>
      <c r="G80" s="58"/>
      <c r="H80" s="59"/>
      <c r="J80" s="30"/>
      <c r="S80" s="137"/>
    </row>
    <row r="81" customFormat="false" ht="15" hidden="false" customHeight="false" outlineLevel="0" collapsed="false">
      <c r="B81" s="1" t="s">
        <v>1086</v>
      </c>
      <c r="F81" s="57" t="s">
        <v>148</v>
      </c>
      <c r="G81" s="58"/>
      <c r="H81" s="59" t="n">
        <v>1</v>
      </c>
      <c r="I81" s="1" t="n">
        <v>381.36</v>
      </c>
      <c r="J81" s="30" t="n">
        <f aca="false">H81*I81</f>
        <v>381.36</v>
      </c>
      <c r="K81" s="1" t="n">
        <v>12</v>
      </c>
    </row>
    <row r="82" customFormat="false" ht="15" hidden="false" customHeight="false" outlineLevel="0" collapsed="false">
      <c r="F82" s="57"/>
      <c r="J82" s="55" t="n">
        <f aca="false">ROUND(SUM(J81:J81),2)</f>
        <v>381.36</v>
      </c>
    </row>
    <row r="83" customFormat="false" ht="15" hidden="false" customHeight="false" outlineLevel="0" collapsed="false">
      <c r="B83" s="56" t="s">
        <v>308</v>
      </c>
    </row>
    <row r="84" customFormat="false" ht="15" hidden="false" customHeight="false" outlineLevel="0" collapsed="false">
      <c r="B84" s="1" t="s">
        <v>309</v>
      </c>
      <c r="F84" s="57" t="s">
        <v>310</v>
      </c>
      <c r="H84" s="59" t="n">
        <v>3</v>
      </c>
      <c r="I84" s="30" t="n">
        <f aca="false">J79</f>
        <v>14.35</v>
      </c>
      <c r="J84" s="30" t="n">
        <f aca="false">H84%*I84</f>
        <v>0.4305</v>
      </c>
      <c r="K84" s="1" t="n">
        <v>37</v>
      </c>
    </row>
    <row r="85" customFormat="false" ht="15" hidden="false" customHeight="false" outlineLevel="0" collapsed="false">
      <c r="A85" s="62"/>
      <c r="B85" s="62"/>
      <c r="C85" s="62"/>
      <c r="D85" s="62"/>
      <c r="E85" s="62"/>
      <c r="F85" s="62"/>
      <c r="G85" s="62"/>
      <c r="H85" s="62"/>
      <c r="I85" s="83"/>
      <c r="J85" s="63" t="n">
        <f aca="false">ROUND(SUM(J84),2)</f>
        <v>0.43</v>
      </c>
    </row>
    <row r="87" customFormat="false" ht="15" hidden="false" customHeight="false" outlineLevel="0" collapsed="false">
      <c r="A87" s="14" t="s">
        <v>276</v>
      </c>
      <c r="B87" s="14" t="str">
        <f aca="false">ELECTRICAS!A11</f>
        <v>05.02.02</v>
      </c>
      <c r="C87" s="14" t="s">
        <v>1061</v>
      </c>
      <c r="D87" s="14"/>
    </row>
    <row r="88" customFormat="false" ht="15" hidden="false" customHeight="false" outlineLevel="0" collapsed="false">
      <c r="A88" s="14" t="s">
        <v>277</v>
      </c>
      <c r="B88" s="14" t="s">
        <v>1085</v>
      </c>
      <c r="C88" s="38" t="s">
        <v>279</v>
      </c>
      <c r="D88" s="54" t="n">
        <v>6</v>
      </c>
      <c r="E88" s="38" t="s">
        <v>280</v>
      </c>
      <c r="F88" s="54" t="n">
        <f aca="false">D88</f>
        <v>6</v>
      </c>
      <c r="G88" s="14" t="s">
        <v>281</v>
      </c>
      <c r="I88" s="38" t="s">
        <v>148</v>
      </c>
      <c r="J88" s="55" t="n">
        <f aca="false">+J94+J99+J103</f>
        <v>105.97</v>
      </c>
    </row>
    <row r="89" customFormat="false" ht="15" hidden="false" customHeight="false" outlineLevel="0" collapsed="false">
      <c r="A89" s="14" t="s">
        <v>282</v>
      </c>
      <c r="B89" s="14" t="s">
        <v>283</v>
      </c>
      <c r="F89" s="38" t="s">
        <v>121</v>
      </c>
      <c r="G89" s="38" t="s">
        <v>284</v>
      </c>
      <c r="H89" s="38" t="s">
        <v>285</v>
      </c>
      <c r="I89" s="38" t="s">
        <v>286</v>
      </c>
      <c r="J89" s="38" t="s">
        <v>287</v>
      </c>
    </row>
    <row r="90" customFormat="false" ht="15" hidden="false" customHeight="false" outlineLevel="0" collapsed="false">
      <c r="B90" s="56" t="s">
        <v>288</v>
      </c>
    </row>
    <row r="91" customFormat="false" ht="15" hidden="false" customHeight="false" outlineLevel="0" collapsed="false">
      <c r="B91" s="1" t="s">
        <v>404</v>
      </c>
      <c r="F91" s="57" t="s">
        <v>290</v>
      </c>
      <c r="G91" s="58" t="n">
        <v>1.1</v>
      </c>
      <c r="H91" s="59" t="n">
        <f aca="false">G91*8/$D$88</f>
        <v>1.46666666666667</v>
      </c>
      <c r="I91" s="1" t="n">
        <v>28.94</v>
      </c>
      <c r="J91" s="30" t="n">
        <f aca="false">H91*I91</f>
        <v>42.4453333333333</v>
      </c>
      <c r="K91" s="1" t="n">
        <v>47</v>
      </c>
      <c r="T91" s="137"/>
    </row>
    <row r="92" customFormat="false" ht="15" hidden="false" customHeight="false" outlineLevel="0" collapsed="false">
      <c r="B92" s="1" t="s">
        <v>675</v>
      </c>
      <c r="F92" s="57" t="s">
        <v>290</v>
      </c>
      <c r="G92" s="58" t="n">
        <v>1</v>
      </c>
      <c r="H92" s="59" t="n">
        <f aca="false">G92*8/$D$88</f>
        <v>1.33333333333333</v>
      </c>
      <c r="I92" s="1" t="n">
        <v>22.66</v>
      </c>
      <c r="J92" s="30" t="n">
        <f aca="false">H92*I92</f>
        <v>30.2133333333333</v>
      </c>
      <c r="K92" s="1" t="n">
        <v>47</v>
      </c>
    </row>
    <row r="93" customFormat="false" ht="15" hidden="false" customHeight="false" outlineLevel="0" collapsed="false">
      <c r="B93" s="1" t="s">
        <v>292</v>
      </c>
      <c r="F93" s="57" t="s">
        <v>290</v>
      </c>
      <c r="G93" s="58" t="n">
        <v>1</v>
      </c>
      <c r="H93" s="59" t="n">
        <f aca="false">G93*8/$D$88</f>
        <v>1.33333333333333</v>
      </c>
      <c r="I93" s="1" t="n">
        <v>20.51</v>
      </c>
      <c r="J93" s="30" t="n">
        <f aca="false">H93*I93</f>
        <v>27.3466666666667</v>
      </c>
      <c r="K93" s="1" t="n">
        <v>47</v>
      </c>
    </row>
    <row r="94" customFormat="false" ht="15" hidden="false" customHeight="false" outlineLevel="0" collapsed="false">
      <c r="J94" s="55" t="n">
        <f aca="false">ROUND(SUM(J91:J93),2)</f>
        <v>100.01</v>
      </c>
    </row>
    <row r="95" customFormat="false" ht="15" hidden="false" customHeight="false" outlineLevel="0" collapsed="false">
      <c r="B95" s="56" t="s">
        <v>652</v>
      </c>
      <c r="F95" s="57"/>
      <c r="G95" s="58"/>
      <c r="H95" s="59"/>
      <c r="J95" s="30"/>
    </row>
    <row r="96" customFormat="false" ht="15" hidden="false" customHeight="false" outlineLevel="0" collapsed="false">
      <c r="B96" s="1" t="s">
        <v>680</v>
      </c>
      <c r="F96" s="57" t="s">
        <v>372</v>
      </c>
      <c r="G96" s="58"/>
      <c r="H96" s="59" t="n">
        <v>0.05</v>
      </c>
      <c r="I96" s="1" t="n">
        <v>2.64</v>
      </c>
      <c r="J96" s="30" t="n">
        <f aca="false">H96*I96</f>
        <v>0.132</v>
      </c>
      <c r="K96" s="1" t="n">
        <v>2</v>
      </c>
      <c r="M96" s="14"/>
      <c r="N96" s="14"/>
    </row>
    <row r="97" customFormat="false" ht="15" hidden="false" customHeight="false" outlineLevel="0" collapsed="false">
      <c r="B97" s="1" t="s">
        <v>1087</v>
      </c>
      <c r="F97" s="57" t="s">
        <v>372</v>
      </c>
      <c r="G97" s="58"/>
      <c r="H97" s="59" t="n">
        <v>0.1</v>
      </c>
      <c r="I97" s="1" t="n">
        <v>5.08</v>
      </c>
      <c r="J97" s="30" t="n">
        <f aca="false">H97*I97</f>
        <v>0.508</v>
      </c>
      <c r="K97" s="1" t="n">
        <v>30</v>
      </c>
      <c r="N97" s="14"/>
    </row>
    <row r="98" customFormat="false" ht="15" hidden="false" customHeight="false" outlineLevel="0" collapsed="false">
      <c r="B98" s="1" t="s">
        <v>1088</v>
      </c>
      <c r="F98" s="57" t="s">
        <v>306</v>
      </c>
      <c r="H98" s="1" t="n">
        <v>0.01</v>
      </c>
      <c r="I98" s="1" t="n">
        <v>45</v>
      </c>
      <c r="J98" s="30" t="n">
        <f aca="false">H98*I98</f>
        <v>0.45</v>
      </c>
      <c r="K98" s="1" t="n">
        <v>39</v>
      </c>
      <c r="N98" s="14"/>
    </row>
    <row r="99" customFormat="false" ht="15" hidden="false" customHeight="false" outlineLevel="0" collapsed="false">
      <c r="F99" s="57"/>
      <c r="J99" s="55" t="n">
        <f aca="false">ROUND(SUM(J97:J98),2)</f>
        <v>0.96</v>
      </c>
      <c r="N99" s="14"/>
    </row>
    <row r="100" customFormat="false" ht="15" hidden="false" customHeight="false" outlineLevel="0" collapsed="false">
      <c r="B100" s="56" t="s">
        <v>308</v>
      </c>
      <c r="M100" s="14"/>
      <c r="N100" s="14"/>
    </row>
    <row r="101" customFormat="false" ht="15" hidden="false" customHeight="false" outlineLevel="0" collapsed="false">
      <c r="B101" s="1" t="s">
        <v>309</v>
      </c>
      <c r="F101" s="57" t="s">
        <v>310</v>
      </c>
      <c r="H101" s="59" t="n">
        <v>5</v>
      </c>
      <c r="I101" s="30" t="n">
        <f aca="false">J94</f>
        <v>100.01</v>
      </c>
      <c r="J101" s="30" t="n">
        <f aca="false">H101%*I101</f>
        <v>5.0005</v>
      </c>
      <c r="K101" s="1" t="n">
        <v>37</v>
      </c>
      <c r="N101" s="14"/>
    </row>
    <row r="102" customFormat="false" ht="15" hidden="false" customHeight="false" outlineLevel="0" collapsed="false">
      <c r="B102" s="1" t="s">
        <v>1089</v>
      </c>
      <c r="F102" s="57" t="s">
        <v>337</v>
      </c>
      <c r="G102" s="58" t="n">
        <v>0.5</v>
      </c>
      <c r="H102" s="59" t="n">
        <f aca="false">G102*8/$D$88</f>
        <v>0.666666666666667</v>
      </c>
      <c r="I102" s="1" t="n">
        <v>28.94</v>
      </c>
      <c r="J102" s="30" t="n">
        <f aca="false">H102*I102</f>
        <v>19.2933333333333</v>
      </c>
      <c r="K102" s="1" t="n">
        <v>39</v>
      </c>
      <c r="N102" s="14"/>
    </row>
    <row r="103" customFormat="false" ht="15" hidden="false" customHeight="false" outlineLevel="0" collapsed="false">
      <c r="A103" s="62"/>
      <c r="B103" s="62"/>
      <c r="C103" s="62"/>
      <c r="D103" s="62"/>
      <c r="E103" s="62"/>
      <c r="F103" s="62"/>
      <c r="G103" s="62"/>
      <c r="H103" s="62"/>
      <c r="I103" s="83"/>
      <c r="J103" s="63" t="n">
        <f aca="false">ROUND(SUM(J101),2)</f>
        <v>5</v>
      </c>
      <c r="N103" s="14"/>
    </row>
    <row r="104" customFormat="false" ht="15" hidden="false" customHeight="false" outlineLevel="0" collapsed="false">
      <c r="I104" s="14"/>
      <c r="J104" s="55"/>
    </row>
    <row r="105" customFormat="false" ht="15" hidden="false" customHeight="false" outlineLevel="0" collapsed="false">
      <c r="A105" s="14" t="s">
        <v>276</v>
      </c>
      <c r="B105" s="14" t="str">
        <f aca="false">ELECTRICAS!A12</f>
        <v>05.02.03</v>
      </c>
      <c r="C105" s="14" t="s">
        <v>1090</v>
      </c>
      <c r="D105" s="14"/>
    </row>
    <row r="106" customFormat="false" ht="15" hidden="false" customHeight="false" outlineLevel="0" collapsed="false">
      <c r="A106" s="14" t="s">
        <v>277</v>
      </c>
      <c r="B106" s="14" t="s">
        <v>412</v>
      </c>
      <c r="C106" s="38" t="s">
        <v>279</v>
      </c>
      <c r="D106" s="54" t="n">
        <v>1</v>
      </c>
      <c r="E106" s="38" t="s">
        <v>280</v>
      </c>
      <c r="F106" s="54" t="n">
        <f aca="false">D106</f>
        <v>1</v>
      </c>
      <c r="G106" s="14" t="s">
        <v>281</v>
      </c>
      <c r="I106" s="38" t="s">
        <v>213</v>
      </c>
      <c r="J106" s="55" t="n">
        <f aca="false">+J110</f>
        <v>143.11</v>
      </c>
    </row>
    <row r="107" customFormat="false" ht="15" hidden="false" customHeight="false" outlineLevel="0" collapsed="false">
      <c r="A107" s="14" t="s">
        <v>282</v>
      </c>
      <c r="B107" s="14" t="s">
        <v>283</v>
      </c>
      <c r="F107" s="38" t="s">
        <v>121</v>
      </c>
      <c r="G107" s="38" t="s">
        <v>284</v>
      </c>
      <c r="H107" s="38" t="s">
        <v>285</v>
      </c>
      <c r="I107" s="38" t="s">
        <v>286</v>
      </c>
      <c r="J107" s="38" t="s">
        <v>287</v>
      </c>
    </row>
    <row r="108" customFormat="false" ht="15" hidden="false" customHeight="false" outlineLevel="0" collapsed="false">
      <c r="B108" s="56" t="s">
        <v>652</v>
      </c>
    </row>
    <row r="109" customFormat="false" ht="15" hidden="false" customHeight="false" outlineLevel="0" collapsed="false">
      <c r="B109" s="1" t="s">
        <v>1091</v>
      </c>
      <c r="F109" s="57" t="s">
        <v>213</v>
      </c>
      <c r="G109" s="58"/>
      <c r="H109" s="59" t="n">
        <v>1</v>
      </c>
      <c r="I109" s="1" t="n">
        <v>143.11</v>
      </c>
      <c r="J109" s="30" t="n">
        <f aca="false">H109*I109</f>
        <v>143.11</v>
      </c>
      <c r="K109" s="1" t="n">
        <v>39</v>
      </c>
    </row>
    <row r="110" customFormat="false" ht="15" hidden="false" customHeight="false" outlineLevel="0" collapsed="false">
      <c r="A110" s="62"/>
      <c r="B110" s="62"/>
      <c r="C110" s="62"/>
      <c r="D110" s="62"/>
      <c r="E110" s="62"/>
      <c r="F110" s="66"/>
      <c r="G110" s="67"/>
      <c r="H110" s="68"/>
      <c r="I110" s="62"/>
      <c r="J110" s="63" t="n">
        <f aca="false">ROUND(SUM(J109:J109),2)</f>
        <v>143.11</v>
      </c>
    </row>
    <row r="111" customFormat="false" ht="15" hidden="false" customHeight="false" outlineLevel="0" collapsed="false">
      <c r="I111" s="14"/>
      <c r="J111" s="55"/>
    </row>
    <row r="112" customFormat="false" ht="15" hidden="false" customHeight="false" outlineLevel="0" collapsed="false">
      <c r="I112" s="14"/>
      <c r="J112" s="55"/>
    </row>
    <row r="113" customFormat="false" ht="15" hidden="false" customHeight="false" outlineLevel="0" collapsed="false">
      <c r="A113" s="14" t="s">
        <v>276</v>
      </c>
      <c r="B113" s="14" t="str">
        <f aca="false">ELECTRICAS!A13</f>
        <v>05.02.04</v>
      </c>
      <c r="C113" s="14" t="s">
        <v>1092</v>
      </c>
      <c r="D113" s="14"/>
    </row>
    <row r="114" customFormat="false" ht="15" hidden="false" customHeight="false" outlineLevel="0" collapsed="false">
      <c r="A114" s="14" t="s">
        <v>277</v>
      </c>
      <c r="B114" s="14" t="s">
        <v>325</v>
      </c>
      <c r="C114" s="38" t="s">
        <v>279</v>
      </c>
      <c r="D114" s="54" t="n">
        <v>5</v>
      </c>
      <c r="E114" s="38" t="s">
        <v>280</v>
      </c>
      <c r="F114" s="54" t="n">
        <f aca="false">D114</f>
        <v>5</v>
      </c>
      <c r="G114" s="14" t="s">
        <v>281</v>
      </c>
      <c r="I114" s="38" t="s">
        <v>148</v>
      </c>
      <c r="J114" s="55" t="n">
        <f aca="false">+J119+J127+J130</f>
        <v>86.82</v>
      </c>
    </row>
    <row r="115" customFormat="false" ht="15" hidden="false" customHeight="false" outlineLevel="0" collapsed="false">
      <c r="A115" s="14" t="s">
        <v>282</v>
      </c>
      <c r="B115" s="14" t="s">
        <v>283</v>
      </c>
      <c r="F115" s="38" t="s">
        <v>121</v>
      </c>
      <c r="G115" s="38" t="s">
        <v>284</v>
      </c>
      <c r="H115" s="38" t="s">
        <v>285</v>
      </c>
      <c r="I115" s="38" t="s">
        <v>286</v>
      </c>
      <c r="J115" s="38" t="s">
        <v>287</v>
      </c>
    </row>
    <row r="116" customFormat="false" ht="15" hidden="false" customHeight="false" outlineLevel="0" collapsed="false">
      <c r="B116" s="56" t="s">
        <v>288</v>
      </c>
    </row>
    <row r="117" customFormat="false" ht="15" hidden="false" customHeight="false" outlineLevel="0" collapsed="false">
      <c r="B117" s="1" t="s">
        <v>404</v>
      </c>
      <c r="F117" s="57" t="s">
        <v>290</v>
      </c>
      <c r="G117" s="58" t="n">
        <v>1.1</v>
      </c>
      <c r="H117" s="59" t="n">
        <f aca="false">G117*8/$D$114</f>
        <v>1.76</v>
      </c>
      <c r="I117" s="1" t="n">
        <v>28.94</v>
      </c>
      <c r="J117" s="30" t="n">
        <f aca="false">H117*I117</f>
        <v>50.9344</v>
      </c>
      <c r="K117" s="1" t="n">
        <v>47</v>
      </c>
    </row>
    <row r="118" customFormat="false" ht="15" hidden="false" customHeight="false" outlineLevel="0" collapsed="false">
      <c r="B118" s="1" t="s">
        <v>292</v>
      </c>
      <c r="F118" s="57" t="s">
        <v>290</v>
      </c>
      <c r="G118" s="58" t="n">
        <v>0.5</v>
      </c>
      <c r="H118" s="59" t="n">
        <f aca="false">G118*8/$D$114</f>
        <v>0.8</v>
      </c>
      <c r="I118" s="1" t="n">
        <v>20.51</v>
      </c>
      <c r="J118" s="30" t="n">
        <f aca="false">H118*I118</f>
        <v>16.408</v>
      </c>
      <c r="K118" s="1" t="n">
        <v>47</v>
      </c>
    </row>
    <row r="119" customFormat="false" ht="15" hidden="false" customHeight="false" outlineLevel="0" collapsed="false">
      <c r="J119" s="55" t="n">
        <f aca="false">ROUND(SUM(J117:J118),2)</f>
        <v>67.34</v>
      </c>
    </row>
    <row r="120" customFormat="false" ht="15" hidden="false" customHeight="false" outlineLevel="0" collapsed="false">
      <c r="B120" s="56" t="s">
        <v>652</v>
      </c>
      <c r="F120" s="57"/>
      <c r="G120" s="58"/>
      <c r="H120" s="59"/>
      <c r="J120" s="30"/>
    </row>
    <row r="121" customFormat="false" ht="15" hidden="false" customHeight="false" outlineLevel="0" collapsed="false">
      <c r="B121" s="1" t="s">
        <v>1093</v>
      </c>
      <c r="F121" s="57" t="s">
        <v>330</v>
      </c>
      <c r="G121" s="58"/>
      <c r="H121" s="59" t="n">
        <v>1</v>
      </c>
      <c r="I121" s="1" t="n">
        <v>5</v>
      </c>
      <c r="J121" s="30" t="n">
        <f aca="false">H121*I121</f>
        <v>5</v>
      </c>
      <c r="K121" s="1" t="n">
        <v>39</v>
      </c>
    </row>
    <row r="122" customFormat="false" ht="15" hidden="false" customHeight="false" outlineLevel="0" collapsed="false">
      <c r="B122" s="1" t="s">
        <v>1075</v>
      </c>
      <c r="F122" s="57" t="s">
        <v>148</v>
      </c>
      <c r="H122" s="59" t="n">
        <v>0.15</v>
      </c>
      <c r="I122" s="1" t="n">
        <v>4.66</v>
      </c>
      <c r="J122" s="30" t="n">
        <f aca="false">H122*I122</f>
        <v>0.699</v>
      </c>
      <c r="K122" s="1" t="n">
        <v>30</v>
      </c>
    </row>
    <row r="123" customFormat="false" ht="15" hidden="false" customHeight="false" outlineLevel="0" collapsed="false">
      <c r="B123" s="1" t="s">
        <v>1018</v>
      </c>
      <c r="F123" s="57" t="s">
        <v>437</v>
      </c>
      <c r="H123" s="59" t="n">
        <v>0.007</v>
      </c>
      <c r="I123" s="1" t="n">
        <v>189.66</v>
      </c>
      <c r="J123" s="30" t="n">
        <f aca="false">H123*I123</f>
        <v>1.32762</v>
      </c>
      <c r="K123" s="1" t="n">
        <v>30</v>
      </c>
    </row>
    <row r="124" customFormat="false" ht="15" hidden="false" customHeight="false" outlineLevel="0" collapsed="false">
      <c r="B124" s="1" t="s">
        <v>1094</v>
      </c>
      <c r="F124" s="57" t="s">
        <v>143</v>
      </c>
      <c r="G124" s="58"/>
      <c r="H124" s="59" t="n">
        <v>2.5</v>
      </c>
      <c r="I124" s="1" t="n">
        <v>2.74</v>
      </c>
      <c r="J124" s="30" t="n">
        <f aca="false">H124*I124</f>
        <v>6.85</v>
      </c>
      <c r="K124" s="1" t="n">
        <v>72</v>
      </c>
    </row>
    <row r="125" customFormat="false" ht="15" hidden="false" customHeight="false" outlineLevel="0" collapsed="false">
      <c r="B125" s="1" t="s">
        <v>1095</v>
      </c>
      <c r="F125" s="57" t="s">
        <v>330</v>
      </c>
      <c r="G125" s="58"/>
      <c r="H125" s="59" t="n">
        <v>1</v>
      </c>
      <c r="I125" s="1" t="n">
        <v>1.69</v>
      </c>
      <c r="J125" s="30" t="n">
        <f aca="false">H125*I125</f>
        <v>1.69</v>
      </c>
      <c r="K125" s="1" t="n">
        <v>72</v>
      </c>
    </row>
    <row r="126" customFormat="false" ht="15" hidden="false" customHeight="false" outlineLevel="0" collapsed="false">
      <c r="B126" s="1" t="s">
        <v>1096</v>
      </c>
      <c r="F126" s="57" t="s">
        <v>330</v>
      </c>
      <c r="G126" s="58"/>
      <c r="H126" s="59" t="n">
        <v>1</v>
      </c>
      <c r="I126" s="1" t="n">
        <v>0.54</v>
      </c>
      <c r="J126" s="30" t="n">
        <f aca="false">H126*I126</f>
        <v>0.54</v>
      </c>
      <c r="K126" s="1" t="n">
        <v>72</v>
      </c>
    </row>
    <row r="127" customFormat="false" ht="15" hidden="false" customHeight="false" outlineLevel="0" collapsed="false">
      <c r="F127" s="57"/>
      <c r="J127" s="55" t="n">
        <f aca="false">ROUND(SUM(J121:J126),2)</f>
        <v>16.11</v>
      </c>
    </row>
    <row r="128" customFormat="false" ht="15" hidden="false" customHeight="false" outlineLevel="0" collapsed="false">
      <c r="B128" s="56" t="s">
        <v>308</v>
      </c>
    </row>
    <row r="129" customFormat="false" ht="15" hidden="false" customHeight="false" outlineLevel="0" collapsed="false">
      <c r="B129" s="1" t="s">
        <v>309</v>
      </c>
      <c r="F129" s="57" t="s">
        <v>310</v>
      </c>
      <c r="H129" s="59" t="n">
        <v>5</v>
      </c>
      <c r="I129" s="30" t="n">
        <f aca="false">J119</f>
        <v>67.34</v>
      </c>
      <c r="J129" s="30" t="n">
        <f aca="false">H129%*I129</f>
        <v>3.367</v>
      </c>
      <c r="K129" s="1" t="n">
        <v>37</v>
      </c>
    </row>
    <row r="130" customFormat="false" ht="15" hidden="false" customHeight="false" outlineLevel="0" collapsed="false">
      <c r="A130" s="62"/>
      <c r="B130" s="62"/>
      <c r="C130" s="62"/>
      <c r="D130" s="62"/>
      <c r="E130" s="62"/>
      <c r="F130" s="62"/>
      <c r="G130" s="62"/>
      <c r="H130" s="62"/>
      <c r="I130" s="83"/>
      <c r="J130" s="63" t="n">
        <f aca="false">ROUND(SUM(J129),2)</f>
        <v>3.37</v>
      </c>
    </row>
    <row r="132" customFormat="false" ht="15" hidden="false" customHeight="false" outlineLevel="0" collapsed="false">
      <c r="A132" s="14" t="s">
        <v>276</v>
      </c>
      <c r="B132" s="14" t="str">
        <f aca="false">ELECTRICAS!A14</f>
        <v>05.02.05</v>
      </c>
      <c r="C132" s="14" t="s">
        <v>1067</v>
      </c>
      <c r="D132" s="14"/>
    </row>
    <row r="133" customFormat="false" ht="15" hidden="false" customHeight="false" outlineLevel="0" collapsed="false">
      <c r="A133" s="14" t="s">
        <v>277</v>
      </c>
      <c r="B133" s="14" t="s">
        <v>331</v>
      </c>
      <c r="C133" s="38" t="s">
        <v>279</v>
      </c>
      <c r="D133" s="54" t="n">
        <v>1</v>
      </c>
      <c r="E133" s="38" t="s">
        <v>280</v>
      </c>
      <c r="F133" s="54" t="n">
        <f aca="false">D133</f>
        <v>1</v>
      </c>
      <c r="G133" s="14" t="s">
        <v>281</v>
      </c>
      <c r="I133" s="38" t="s">
        <v>153</v>
      </c>
      <c r="J133" s="55" t="n">
        <f aca="false">+J137</f>
        <v>87.34</v>
      </c>
    </row>
    <row r="134" customFormat="false" ht="15" hidden="false" customHeight="false" outlineLevel="0" collapsed="false">
      <c r="A134" s="14" t="s">
        <v>282</v>
      </c>
      <c r="B134" s="14" t="s">
        <v>283</v>
      </c>
      <c r="F134" s="38" t="s">
        <v>121</v>
      </c>
      <c r="G134" s="38" t="s">
        <v>284</v>
      </c>
      <c r="H134" s="38" t="s">
        <v>285</v>
      </c>
      <c r="I134" s="38" t="s">
        <v>286</v>
      </c>
      <c r="J134" s="38" t="s">
        <v>287</v>
      </c>
    </row>
    <row r="135" customFormat="false" ht="15" hidden="false" customHeight="false" outlineLevel="0" collapsed="false">
      <c r="B135" s="56" t="s">
        <v>652</v>
      </c>
      <c r="N135" s="14"/>
    </row>
    <row r="136" customFormat="false" ht="15" hidden="false" customHeight="false" outlineLevel="0" collapsed="false">
      <c r="B136" s="1" t="s">
        <v>1067</v>
      </c>
      <c r="F136" s="57" t="s">
        <v>153</v>
      </c>
      <c r="G136" s="58"/>
      <c r="H136" s="59" t="n">
        <v>1</v>
      </c>
      <c r="I136" s="1" t="n">
        <v>87.34</v>
      </c>
      <c r="J136" s="30" t="n">
        <f aca="false">H136*I136</f>
        <v>87.34</v>
      </c>
      <c r="K136" s="1" t="n">
        <v>39</v>
      </c>
      <c r="N136" s="14"/>
    </row>
    <row r="137" customFormat="false" ht="15" hidden="false" customHeight="false" outlineLevel="0" collapsed="false">
      <c r="A137" s="62"/>
      <c r="B137" s="62"/>
      <c r="C137" s="62"/>
      <c r="D137" s="62"/>
      <c r="E137" s="62"/>
      <c r="F137" s="66"/>
      <c r="G137" s="67"/>
      <c r="H137" s="68"/>
      <c r="I137" s="62"/>
      <c r="J137" s="63" t="n">
        <f aca="false">ROUND(SUM(J136:J136),2)</f>
        <v>87.34</v>
      </c>
      <c r="N137" s="14"/>
    </row>
    <row r="138" customFormat="false" ht="15" hidden="false" customHeight="false" outlineLevel="0" collapsed="false">
      <c r="M138" s="14"/>
      <c r="N138" s="14"/>
    </row>
    <row r="139" customFormat="false" ht="15" hidden="false" customHeight="false" outlineLevel="0" collapsed="false">
      <c r="A139" s="14" t="s">
        <v>276</v>
      </c>
      <c r="B139" s="14" t="str">
        <f aca="false">ELECTRICAS!A15</f>
        <v>05.02.06</v>
      </c>
      <c r="C139" s="14" t="s">
        <v>1069</v>
      </c>
      <c r="D139" s="14"/>
      <c r="M139" s="14"/>
      <c r="N139" s="14"/>
    </row>
    <row r="140" customFormat="false" ht="15" hidden="false" customHeight="false" outlineLevel="0" collapsed="false">
      <c r="A140" s="14" t="s">
        <v>277</v>
      </c>
      <c r="B140" s="14" t="s">
        <v>331</v>
      </c>
      <c r="C140" s="38" t="s">
        <v>279</v>
      </c>
      <c r="D140" s="54" t="n">
        <v>1</v>
      </c>
      <c r="E140" s="38" t="s">
        <v>280</v>
      </c>
      <c r="F140" s="54" t="n">
        <f aca="false">D140</f>
        <v>1</v>
      </c>
      <c r="G140" s="14" t="s">
        <v>281</v>
      </c>
      <c r="I140" s="38" t="s">
        <v>153</v>
      </c>
      <c r="J140" s="55" t="n">
        <f aca="false">+J144</f>
        <v>7.34</v>
      </c>
      <c r="M140" s="14"/>
      <c r="N140" s="14"/>
    </row>
    <row r="141" customFormat="false" ht="15" hidden="false" customHeight="false" outlineLevel="0" collapsed="false">
      <c r="A141" s="14" t="s">
        <v>282</v>
      </c>
      <c r="B141" s="14" t="s">
        <v>283</v>
      </c>
      <c r="F141" s="38" t="s">
        <v>121</v>
      </c>
      <c r="G141" s="38" t="s">
        <v>284</v>
      </c>
      <c r="H141" s="38" t="s">
        <v>285</v>
      </c>
      <c r="I141" s="38" t="s">
        <v>286</v>
      </c>
      <c r="J141" s="38" t="s">
        <v>287</v>
      </c>
    </row>
    <row r="142" customFormat="false" ht="15" hidden="false" customHeight="false" outlineLevel="0" collapsed="false">
      <c r="B142" s="56" t="s">
        <v>652</v>
      </c>
      <c r="N142" s="30"/>
    </row>
    <row r="143" customFormat="false" ht="15" hidden="false" customHeight="false" outlineLevel="0" collapsed="false">
      <c r="B143" s="1" t="s">
        <v>1069</v>
      </c>
      <c r="F143" s="57" t="s">
        <v>153</v>
      </c>
      <c r="G143" s="58"/>
      <c r="H143" s="59" t="n">
        <v>1</v>
      </c>
      <c r="I143" s="1" t="n">
        <v>7.34</v>
      </c>
      <c r="J143" s="30" t="n">
        <f aca="false">H143*I143</f>
        <v>7.34</v>
      </c>
      <c r="K143" s="1" t="n">
        <v>39</v>
      </c>
      <c r="N143" s="30"/>
    </row>
    <row r="144" customFormat="false" ht="15" hidden="false" customHeight="false" outlineLevel="0" collapsed="false">
      <c r="A144" s="62"/>
      <c r="B144" s="62"/>
      <c r="C144" s="62"/>
      <c r="D144" s="62"/>
      <c r="E144" s="62"/>
      <c r="F144" s="66"/>
      <c r="G144" s="67"/>
      <c r="H144" s="68"/>
      <c r="I144" s="62"/>
      <c r="J144" s="63" t="n">
        <f aca="false">ROUND(SUM(J143:J143),2)</f>
        <v>7.34</v>
      </c>
      <c r="N144" s="30"/>
    </row>
    <row r="146" customFormat="false" ht="15" hidden="false" customHeight="false" outlineLevel="0" collapsed="false">
      <c r="J146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P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71"/>
    <col collapsed="false" customWidth="true" hidden="false" outlineLevel="0" max="11" min="11" style="1" width="13.57"/>
    <col collapsed="false" customWidth="true" hidden="false" outlineLevel="0" max="14" min="14" style="1" width="9.86"/>
  </cols>
  <sheetData>
    <row r="2" customFormat="false" ht="15" hidden="false" customHeight="false" outlineLevel="0" collapsed="false">
      <c r="G2" s="38" t="s">
        <v>121</v>
      </c>
      <c r="H2" s="38" t="s">
        <v>122</v>
      </c>
      <c r="I2" s="38" t="s">
        <v>123</v>
      </c>
      <c r="J2" s="38" t="s">
        <v>452</v>
      </c>
      <c r="K2" s="38" t="s">
        <v>453</v>
      </c>
    </row>
    <row r="3" customFormat="false" ht="15" hidden="false" customHeight="false" outlineLevel="0" collapsed="false">
      <c r="A3" s="14" t="n">
        <v>6</v>
      </c>
      <c r="B3" s="72" t="s">
        <v>1097</v>
      </c>
      <c r="J3" s="6"/>
      <c r="K3" s="73" t="n">
        <f aca="false">J4+J16+J32+J36+J39</f>
        <v>76708.97</v>
      </c>
      <c r="O3" s="14"/>
      <c r="P3" s="14"/>
    </row>
    <row r="4" customFormat="false" ht="15" hidden="false" customHeight="false" outlineLevel="0" collapsed="false">
      <c r="A4" s="14" t="n">
        <v>6.01</v>
      </c>
      <c r="B4" s="13" t="s">
        <v>1098</v>
      </c>
      <c r="J4" s="42" t="n">
        <f aca="false">SUM(J5:J15)</f>
        <v>2040.36</v>
      </c>
      <c r="P4" s="14"/>
    </row>
    <row r="5" customFormat="false" ht="15" hidden="false" customHeight="false" outlineLevel="0" collapsed="false">
      <c r="A5" s="1" t="s">
        <v>1099</v>
      </c>
      <c r="B5" s="1" t="s">
        <v>1100</v>
      </c>
      <c r="G5" s="6" t="s">
        <v>148</v>
      </c>
      <c r="H5" s="30" t="n">
        <f aca="false">ROUNDUP(SUM(BIBLIOTECA:INGRESO!G72:G72),0)</f>
        <v>2</v>
      </c>
      <c r="I5" s="154" t="n">
        <f aca="false">ROUND('APUS COMUNICACIONES'!J5,2)</f>
        <v>279.85</v>
      </c>
      <c r="J5" s="9" t="n">
        <f aca="false">H5*I5</f>
        <v>559.7</v>
      </c>
      <c r="L5" s="138"/>
      <c r="P5" s="14"/>
    </row>
    <row r="6" customFormat="false" ht="15" hidden="false" customHeight="false" outlineLevel="0" collapsed="false">
      <c r="A6" s="1" t="s">
        <v>1101</v>
      </c>
      <c r="B6" s="1" t="s">
        <v>1102</v>
      </c>
      <c r="G6" s="6" t="s">
        <v>148</v>
      </c>
      <c r="H6" s="30" t="n">
        <f aca="false">ROUNDUP(SUM(BIBLIOTECA:INGRESO!G73:G73),0)</f>
        <v>1</v>
      </c>
      <c r="I6" s="154" t="n">
        <f aca="false">ROUND('APUS COMUNICACIONES'!J23,2)</f>
        <v>95.84</v>
      </c>
      <c r="J6" s="9" t="n">
        <f aca="false">H6*I6</f>
        <v>95.84</v>
      </c>
      <c r="L6" s="138"/>
    </row>
    <row r="7" customFormat="false" ht="15" hidden="false" customHeight="false" outlineLevel="0" collapsed="false">
      <c r="A7" s="1" t="s">
        <v>1103</v>
      </c>
      <c r="B7" s="1" t="s">
        <v>1104</v>
      </c>
      <c r="G7" s="6" t="s">
        <v>148</v>
      </c>
      <c r="H7" s="30" t="n">
        <f aca="false">ROUNDUP(SUM(BIBLIOTECA:INGRESO!G74:G74),0)</f>
        <v>2</v>
      </c>
      <c r="I7" s="30" t="n">
        <f aca="false">ROUND('APUS COMUNICACIONES'!J41,2)</f>
        <v>95.84</v>
      </c>
      <c r="J7" s="9" t="n">
        <f aca="false">H7*I7</f>
        <v>191.68</v>
      </c>
      <c r="K7" s="154"/>
      <c r="L7" s="138"/>
    </row>
    <row r="8" customFormat="false" ht="15" hidden="false" customHeight="false" outlineLevel="0" collapsed="false">
      <c r="A8" s="1" t="s">
        <v>1105</v>
      </c>
      <c r="B8" s="1" t="s">
        <v>1106</v>
      </c>
      <c r="G8" s="6" t="s">
        <v>143</v>
      </c>
      <c r="H8" s="30" t="n">
        <f aca="false">ROUNDUP(SUM(BIBLIOTECA:INGRESO!G75:G75),0)</f>
        <v>1</v>
      </c>
      <c r="I8" s="30" t="n">
        <f aca="false">ROUND('APUS COMUNICACIONES'!J59,2)</f>
        <v>26.4</v>
      </c>
      <c r="J8" s="9" t="n">
        <f aca="false">H8*I8</f>
        <v>26.4</v>
      </c>
      <c r="K8" s="154"/>
      <c r="L8" s="138"/>
    </row>
    <row r="9" customFormat="false" ht="15" hidden="false" customHeight="false" outlineLevel="0" collapsed="false">
      <c r="A9" s="1" t="s">
        <v>1107</v>
      </c>
      <c r="B9" s="1" t="s">
        <v>1108</v>
      </c>
      <c r="G9" s="6" t="s">
        <v>143</v>
      </c>
      <c r="H9" s="30" t="n">
        <f aca="false">ROUNDUP(SUM(BIBLIOTECA:INGRESO!G76:G76),0)</f>
        <v>7</v>
      </c>
      <c r="I9" s="30" t="n">
        <f aca="false">ROUND('APUS COMUNICACIONES'!J77,2)</f>
        <v>25</v>
      </c>
      <c r="J9" s="9" t="n">
        <f aca="false">H9*I9</f>
        <v>175</v>
      </c>
      <c r="K9" s="154"/>
      <c r="L9" s="138"/>
    </row>
    <row r="10" customFormat="false" ht="15" hidden="false" customHeight="false" outlineLevel="0" collapsed="false">
      <c r="A10" s="1" t="s">
        <v>1109</v>
      </c>
      <c r="B10" s="1" t="s">
        <v>1110</v>
      </c>
      <c r="G10" s="6" t="s">
        <v>143</v>
      </c>
      <c r="H10" s="30" t="n">
        <f aca="false">ROUNDUP(SUM(BIBLIOTECA:INGRESO!G77:G77),0)</f>
        <v>28</v>
      </c>
      <c r="I10" s="30" t="n">
        <f aca="false">ROUND('APUS COMUNICACIONES'!J95,2)</f>
        <v>19.23</v>
      </c>
      <c r="J10" s="9" t="n">
        <f aca="false">H10*I10</f>
        <v>538.44</v>
      </c>
      <c r="K10" s="154"/>
      <c r="L10" s="138"/>
    </row>
    <row r="11" customFormat="false" ht="15" hidden="false" customHeight="false" outlineLevel="0" collapsed="false">
      <c r="A11" s="1" t="s">
        <v>1111</v>
      </c>
      <c r="B11" s="1" t="s">
        <v>1112</v>
      </c>
      <c r="G11" s="6" t="s">
        <v>143</v>
      </c>
      <c r="H11" s="30" t="n">
        <f aca="false">ROUNDUP(SUM(BIBLIOTECA:INGRESO!G78:G78),0)</f>
        <v>1</v>
      </c>
      <c r="I11" s="30" t="n">
        <f aca="false">ROUND('APUS COMUNICACIONES'!J113,2)</f>
        <v>16.37</v>
      </c>
      <c r="J11" s="9" t="n">
        <f aca="false">H11*I11</f>
        <v>16.37</v>
      </c>
      <c r="K11" s="154"/>
      <c r="L11" s="138"/>
    </row>
    <row r="12" customFormat="false" ht="15" hidden="false" customHeight="false" outlineLevel="0" collapsed="false">
      <c r="A12" s="1" t="s">
        <v>1113</v>
      </c>
      <c r="B12" s="1" t="s">
        <v>1114</v>
      </c>
      <c r="G12" s="6" t="s">
        <v>148</v>
      </c>
      <c r="H12" s="30" t="n">
        <f aca="false">ROUNDUP(SUM(BIBLIOTECA:INGRESO!G79:G79),0)</f>
        <v>1</v>
      </c>
      <c r="I12" s="30" t="n">
        <f aca="false">ROUND('APUS COMUNICACIONES'!J131,2)</f>
        <v>62.67</v>
      </c>
      <c r="J12" s="9" t="n">
        <f aca="false">H12*I12</f>
        <v>62.67</v>
      </c>
      <c r="K12" s="154"/>
      <c r="L12" s="138"/>
    </row>
    <row r="13" customFormat="false" ht="15" hidden="false" customHeight="false" outlineLevel="0" collapsed="false">
      <c r="A13" s="1" t="s">
        <v>1115</v>
      </c>
      <c r="B13" s="1" t="s">
        <v>1116</v>
      </c>
      <c r="G13" s="6" t="s">
        <v>148</v>
      </c>
      <c r="H13" s="30" t="n">
        <f aca="false">ROUNDUP(SUM(BIBLIOTECA:INGRESO!G80:G80),0)</f>
        <v>2</v>
      </c>
      <c r="I13" s="30" t="n">
        <f aca="false">ROUND('APUS COMUNICACIONES'!J146,2)</f>
        <v>58.85</v>
      </c>
      <c r="J13" s="9" t="n">
        <f aca="false">H13*I13</f>
        <v>117.7</v>
      </c>
      <c r="K13" s="154"/>
      <c r="L13" s="138"/>
    </row>
    <row r="14" customFormat="false" ht="15" hidden="false" customHeight="false" outlineLevel="0" collapsed="false">
      <c r="A14" s="1" t="s">
        <v>1117</v>
      </c>
      <c r="B14" s="1" t="s">
        <v>1118</v>
      </c>
      <c r="G14" s="6" t="s">
        <v>148</v>
      </c>
      <c r="H14" s="30" t="n">
        <f aca="false">ROUNDUP(SUM(BIBLIOTECA:INGRESO!G81:G81),0)</f>
        <v>1</v>
      </c>
      <c r="I14" s="30" t="n">
        <f aca="false">ROUND('APUS COMUNICACIONES'!J161,2)</f>
        <v>57.88</v>
      </c>
      <c r="J14" s="9" t="n">
        <f aca="false">H14*I14</f>
        <v>57.88</v>
      </c>
      <c r="K14" s="154"/>
      <c r="L14" s="138"/>
    </row>
    <row r="15" customFormat="false" ht="15" hidden="false" customHeight="false" outlineLevel="0" collapsed="false">
      <c r="A15" s="1" t="s">
        <v>1119</v>
      </c>
      <c r="B15" s="1" t="s">
        <v>1120</v>
      </c>
      <c r="G15" s="6" t="s">
        <v>143</v>
      </c>
      <c r="H15" s="30" t="n">
        <f aca="false">ROUNDUP(SUM(BIBLIOTECA:INGRESO!G82:G82),0)</f>
        <v>2</v>
      </c>
      <c r="I15" s="30" t="n">
        <f aca="false">ROUND('APUS COMUNICACIONES'!J176,2)</f>
        <v>99.34</v>
      </c>
      <c r="J15" s="9" t="n">
        <f aca="false">H15*I15</f>
        <v>198.68</v>
      </c>
      <c r="K15" s="154"/>
      <c r="L15" s="138"/>
    </row>
    <row r="16" customFormat="false" ht="15" hidden="false" customHeight="false" outlineLevel="0" collapsed="false">
      <c r="A16" s="14" t="n">
        <v>6.02</v>
      </c>
      <c r="B16" s="13" t="s">
        <v>1121</v>
      </c>
      <c r="G16" s="6"/>
      <c r="H16" s="30"/>
      <c r="J16" s="42" t="n">
        <f aca="false">SUM(J17:J31)</f>
        <v>63042.31</v>
      </c>
      <c r="L16" s="76"/>
    </row>
    <row r="17" customFormat="false" ht="15" hidden="false" customHeight="false" outlineLevel="0" collapsed="false">
      <c r="A17" s="1" t="s">
        <v>1122</v>
      </c>
      <c r="B17" s="1" t="s">
        <v>1123</v>
      </c>
      <c r="G17" s="6" t="s">
        <v>148</v>
      </c>
      <c r="H17" s="30" t="n">
        <v>1</v>
      </c>
      <c r="I17" s="30" t="n">
        <f aca="false">ROUND('APUS COMUNICACIONES'!J191,2)</f>
        <v>2842.98</v>
      </c>
      <c r="J17" s="9" t="n">
        <f aca="false">H17*I17</f>
        <v>2842.98</v>
      </c>
      <c r="K17" s="30"/>
      <c r="L17" s="76"/>
      <c r="P17" s="14"/>
    </row>
    <row r="18" customFormat="false" ht="15" hidden="false" customHeight="false" outlineLevel="0" collapsed="false">
      <c r="A18" s="1" t="s">
        <v>1124</v>
      </c>
      <c r="B18" s="1" t="s">
        <v>1125</v>
      </c>
      <c r="G18" s="6" t="s">
        <v>148</v>
      </c>
      <c r="H18" s="30" t="n">
        <v>1</v>
      </c>
      <c r="I18" s="30" t="n">
        <f aca="false">ROUND('APUS COMUNICACIONES'!J205,2)</f>
        <v>813.09</v>
      </c>
      <c r="J18" s="9" t="n">
        <f aca="false">H18*I18</f>
        <v>813.09</v>
      </c>
      <c r="K18" s="30"/>
      <c r="L18" s="76"/>
    </row>
    <row r="19" customFormat="false" ht="15" hidden="false" customHeight="false" outlineLevel="0" collapsed="false">
      <c r="A19" s="1" t="s">
        <v>1126</v>
      </c>
      <c r="B19" s="1" t="s">
        <v>1127</v>
      </c>
      <c r="G19" s="6" t="s">
        <v>148</v>
      </c>
      <c r="H19" s="30" t="n">
        <v>1</v>
      </c>
      <c r="I19" s="30" t="n">
        <f aca="false">ROUND('APUS COMUNICACIONES'!J219,2)</f>
        <v>2276.01</v>
      </c>
      <c r="J19" s="9" t="n">
        <f aca="false">H19*I19</f>
        <v>2276.01</v>
      </c>
      <c r="K19" s="30"/>
      <c r="L19" s="76"/>
    </row>
    <row r="20" customFormat="false" ht="15" hidden="false" customHeight="false" outlineLevel="0" collapsed="false">
      <c r="A20" s="1" t="s">
        <v>1128</v>
      </c>
      <c r="B20" s="1" t="s">
        <v>1129</v>
      </c>
      <c r="G20" s="6" t="s">
        <v>148</v>
      </c>
      <c r="H20" s="30" t="n">
        <v>1</v>
      </c>
      <c r="I20" s="30" t="n">
        <f aca="false">ROUND('APUS COMUNICACIONES'!J233,2)</f>
        <v>460.54</v>
      </c>
      <c r="J20" s="9" t="n">
        <f aca="false">H20*I20</f>
        <v>460.54</v>
      </c>
      <c r="K20" s="30"/>
      <c r="L20" s="76"/>
    </row>
    <row r="21" customFormat="false" ht="15" hidden="false" customHeight="false" outlineLevel="0" collapsed="false">
      <c r="A21" s="1" t="s">
        <v>1130</v>
      </c>
      <c r="B21" s="1" t="s">
        <v>1131</v>
      </c>
      <c r="G21" s="6" t="s">
        <v>148</v>
      </c>
      <c r="H21" s="30" t="n">
        <v>1</v>
      </c>
      <c r="I21" s="30" t="n">
        <f aca="false">ROUND('APUS COMUNICACIONES'!J247,2)</f>
        <v>15436</v>
      </c>
      <c r="J21" s="9" t="n">
        <f aca="false">H21*I21</f>
        <v>15436</v>
      </c>
      <c r="K21" s="30"/>
      <c r="L21" s="76"/>
    </row>
    <row r="22" customFormat="false" ht="15" hidden="false" customHeight="false" outlineLevel="0" collapsed="false">
      <c r="A22" s="1" t="s">
        <v>1132</v>
      </c>
      <c r="B22" s="1" t="s">
        <v>1133</v>
      </c>
      <c r="G22" s="6" t="s">
        <v>148</v>
      </c>
      <c r="H22" s="30" t="n">
        <v>1</v>
      </c>
      <c r="I22" s="30" t="n">
        <f aca="false">ROUND('APUS COMUNICACIONES'!J261,2)</f>
        <v>14367</v>
      </c>
      <c r="J22" s="9" t="n">
        <f aca="false">H22*I22</f>
        <v>14367</v>
      </c>
      <c r="K22" s="30"/>
      <c r="L22" s="76"/>
    </row>
    <row r="23" customFormat="false" ht="15" hidden="false" customHeight="false" outlineLevel="0" collapsed="false">
      <c r="A23" s="1" t="s">
        <v>1134</v>
      </c>
      <c r="B23" s="1" t="s">
        <v>1135</v>
      </c>
      <c r="G23" s="6" t="s">
        <v>148</v>
      </c>
      <c r="H23" s="30" t="n">
        <v>1</v>
      </c>
      <c r="I23" s="30" t="n">
        <f aca="false">ROUND('APUS COMUNICACIONES'!J275,2)</f>
        <v>1343.81</v>
      </c>
      <c r="J23" s="9" t="n">
        <f aca="false">H23*I23</f>
        <v>1343.81</v>
      </c>
      <c r="K23" s="30"/>
      <c r="L23" s="76"/>
    </row>
    <row r="24" customFormat="false" ht="15" hidden="false" customHeight="false" outlineLevel="0" collapsed="false">
      <c r="A24" s="1" t="s">
        <v>1136</v>
      </c>
      <c r="B24" s="1" t="s">
        <v>1137</v>
      </c>
      <c r="G24" s="6" t="s">
        <v>148</v>
      </c>
      <c r="H24" s="30" t="n">
        <v>1</v>
      </c>
      <c r="I24" s="30" t="n">
        <f aca="false">ROUND('APUS COMUNICACIONES'!J289,2)</f>
        <v>456.64</v>
      </c>
      <c r="J24" s="9" t="n">
        <f aca="false">H24*I24</f>
        <v>456.64</v>
      </c>
      <c r="K24" s="30"/>
      <c r="L24" s="76"/>
    </row>
    <row r="25" customFormat="false" ht="15" hidden="false" customHeight="false" outlineLevel="0" collapsed="false">
      <c r="A25" s="1" t="s">
        <v>1138</v>
      </c>
      <c r="B25" s="1" t="s">
        <v>1139</v>
      </c>
      <c r="G25" s="6" t="s">
        <v>148</v>
      </c>
      <c r="H25" s="30" t="n">
        <v>1</v>
      </c>
      <c r="I25" s="30" t="n">
        <f aca="false">ROUND('APUS COMUNICACIONES'!J303,2)</f>
        <v>168.56</v>
      </c>
      <c r="J25" s="9" t="n">
        <f aca="false">H25*I25</f>
        <v>168.56</v>
      </c>
      <c r="K25" s="30"/>
      <c r="L25" s="76"/>
    </row>
    <row r="26" customFormat="false" ht="15" hidden="false" customHeight="false" outlineLevel="0" collapsed="false">
      <c r="A26" s="1" t="s">
        <v>1140</v>
      </c>
      <c r="B26" s="1" t="s">
        <v>1141</v>
      </c>
      <c r="G26" s="6" t="s">
        <v>148</v>
      </c>
      <c r="H26" s="30" t="n">
        <v>1</v>
      </c>
      <c r="I26" s="30" t="n">
        <f aca="false">ROUND('APUS COMUNICACIONES'!J318,2)</f>
        <v>122.09</v>
      </c>
      <c r="J26" s="9" t="n">
        <f aca="false">H26*I26</f>
        <v>122.09</v>
      </c>
      <c r="K26" s="30"/>
      <c r="L26" s="76"/>
    </row>
    <row r="27" customFormat="false" ht="15" hidden="false" customHeight="false" outlineLevel="0" collapsed="false">
      <c r="A27" s="1" t="s">
        <v>1142</v>
      </c>
      <c r="B27" s="1" t="s">
        <v>1143</v>
      </c>
      <c r="G27" s="6" t="s">
        <v>148</v>
      </c>
      <c r="H27" s="30" t="n">
        <v>1</v>
      </c>
      <c r="I27" s="30" t="n">
        <f aca="false">ROUND('APUS COMUNICACIONES'!J333,2)</f>
        <v>126.09</v>
      </c>
      <c r="J27" s="9" t="n">
        <f aca="false">H27*I27</f>
        <v>126.09</v>
      </c>
      <c r="K27" s="30"/>
      <c r="L27" s="76"/>
    </row>
    <row r="28" customFormat="false" ht="15" hidden="false" customHeight="false" outlineLevel="0" collapsed="false">
      <c r="A28" s="1" t="s">
        <v>1144</v>
      </c>
      <c r="B28" s="1" t="s">
        <v>1139</v>
      </c>
      <c r="G28" s="6" t="s">
        <v>148</v>
      </c>
      <c r="H28" s="30" t="n">
        <v>1</v>
      </c>
      <c r="I28" s="30" t="n">
        <f aca="false">ROUND('APUS COMUNICACIONES'!J348,2)</f>
        <v>145.29</v>
      </c>
      <c r="J28" s="9" t="n">
        <f aca="false">H28*I28</f>
        <v>145.29</v>
      </c>
      <c r="K28" s="30"/>
      <c r="L28" s="76"/>
    </row>
    <row r="29" customFormat="false" ht="15" hidden="false" customHeight="false" outlineLevel="0" collapsed="false">
      <c r="A29" s="1" t="s">
        <v>1145</v>
      </c>
      <c r="B29" s="1" t="s">
        <v>1146</v>
      </c>
      <c r="G29" s="6" t="s">
        <v>148</v>
      </c>
      <c r="H29" s="30" t="n">
        <v>1</v>
      </c>
      <c r="I29" s="30" t="n">
        <f aca="false">ROUND('APUS COMUNICACIONES'!J363,2)</f>
        <v>6296.12</v>
      </c>
      <c r="J29" s="9" t="n">
        <f aca="false">H29*I29</f>
        <v>6296.12</v>
      </c>
      <c r="K29" s="30"/>
      <c r="L29" s="76"/>
    </row>
    <row r="30" customFormat="false" ht="15" hidden="false" customHeight="false" outlineLevel="0" collapsed="false">
      <c r="A30" s="1" t="s">
        <v>1147</v>
      </c>
      <c r="B30" s="1" t="s">
        <v>1148</v>
      </c>
      <c r="G30" s="6" t="s">
        <v>148</v>
      </c>
      <c r="H30" s="30" t="n">
        <v>1</v>
      </c>
      <c r="I30" s="30" t="n">
        <f aca="false">ROUND('APUS COMUNICACIONES'!J377,2)</f>
        <v>8654.52</v>
      </c>
      <c r="J30" s="9" t="n">
        <f aca="false">H30*I30</f>
        <v>8654.52</v>
      </c>
      <c r="K30" s="30"/>
      <c r="L30" s="76"/>
    </row>
    <row r="31" customFormat="false" ht="15" hidden="false" customHeight="false" outlineLevel="0" collapsed="false">
      <c r="A31" s="1" t="s">
        <v>1149</v>
      </c>
      <c r="B31" s="1" t="s">
        <v>1150</v>
      </c>
      <c r="G31" s="6" t="s">
        <v>148</v>
      </c>
      <c r="H31" s="30" t="n">
        <v>1</v>
      </c>
      <c r="I31" s="30" t="n">
        <f aca="false">ROUND('APUS COMUNICACIONES'!J391,2)</f>
        <v>9533.57</v>
      </c>
      <c r="J31" s="9" t="n">
        <f aca="false">H31*I31</f>
        <v>9533.57</v>
      </c>
      <c r="K31" s="30"/>
      <c r="L31" s="76"/>
    </row>
    <row r="32" customFormat="false" ht="15" hidden="false" customHeight="false" outlineLevel="0" collapsed="false">
      <c r="A32" s="14" t="n">
        <v>6.03</v>
      </c>
      <c r="B32" s="13" t="s">
        <v>1151</v>
      </c>
      <c r="G32" s="6"/>
      <c r="H32" s="30"/>
      <c r="J32" s="42" t="n">
        <f aca="false">SUM(J33:J35)</f>
        <v>9574.79</v>
      </c>
      <c r="L32" s="76"/>
    </row>
    <row r="33" customFormat="false" ht="15" hidden="false" customHeight="false" outlineLevel="0" collapsed="false">
      <c r="A33" s="1" t="s">
        <v>1152</v>
      </c>
      <c r="B33" s="1" t="s">
        <v>1153</v>
      </c>
      <c r="G33" s="6" t="s">
        <v>148</v>
      </c>
      <c r="H33" s="30" t="n">
        <v>1</v>
      </c>
      <c r="I33" s="30" t="n">
        <f aca="false">ROUND('APUS COMUNICACIONES'!J408,2)</f>
        <v>8346.11</v>
      </c>
      <c r="J33" s="9" t="n">
        <f aca="false">H33*I33</f>
        <v>8346.11</v>
      </c>
      <c r="K33" s="30"/>
      <c r="L33" s="76"/>
      <c r="P33" s="14"/>
    </row>
    <row r="34" customFormat="false" ht="15" hidden="false" customHeight="false" outlineLevel="0" collapsed="false">
      <c r="A34" s="1" t="s">
        <v>1154</v>
      </c>
      <c r="B34" s="1" t="s">
        <v>1155</v>
      </c>
      <c r="G34" s="6" t="s">
        <v>148</v>
      </c>
      <c r="H34" s="30" t="n">
        <f aca="false">ROUNDUP(SUM(BIBLIOTECA:INGRESO!G85:G85),0)</f>
        <v>1</v>
      </c>
      <c r="I34" s="30" t="n">
        <f aca="false">ROUND('APUS COMUNICACIONES'!J422,2)</f>
        <v>670.77</v>
      </c>
      <c r="J34" s="9" t="n">
        <f aca="false">H34*I34</f>
        <v>670.77</v>
      </c>
      <c r="K34" s="30"/>
      <c r="L34" s="76"/>
    </row>
    <row r="35" customFormat="false" ht="15" hidden="false" customHeight="false" outlineLevel="0" collapsed="false">
      <c r="A35" s="1" t="s">
        <v>1156</v>
      </c>
      <c r="B35" s="1" t="s">
        <v>1157</v>
      </c>
      <c r="G35" s="6" t="s">
        <v>148</v>
      </c>
      <c r="H35" s="30" t="n">
        <f aca="false">ROUNDUP(SUM(BIBLIOTECA:INGRESO!G86:G86),0)</f>
        <v>1</v>
      </c>
      <c r="I35" s="30" t="n">
        <f aca="false">ROUND('APUS COMUNICACIONES'!J440,2)</f>
        <v>557.91</v>
      </c>
      <c r="J35" s="9" t="n">
        <f aca="false">H35*I35</f>
        <v>557.91</v>
      </c>
      <c r="K35" s="30"/>
      <c r="L35" s="76"/>
    </row>
    <row r="36" customFormat="false" ht="15" hidden="false" customHeight="false" outlineLevel="0" collapsed="false">
      <c r="A36" s="14" t="n">
        <v>6.04</v>
      </c>
      <c r="B36" s="13" t="s">
        <v>1158</v>
      </c>
      <c r="G36" s="6"/>
      <c r="H36" s="30"/>
      <c r="J36" s="42" t="n">
        <f aca="false">SUM(J37:J38)</f>
        <v>931.37</v>
      </c>
      <c r="L36" s="76"/>
    </row>
    <row r="37" customFormat="false" ht="15" hidden="false" customHeight="false" outlineLevel="0" collapsed="false">
      <c r="A37" s="1" t="s">
        <v>1159</v>
      </c>
      <c r="B37" s="1" t="s">
        <v>1160</v>
      </c>
      <c r="G37" s="6" t="s">
        <v>148</v>
      </c>
      <c r="H37" s="30" t="n">
        <v>1</v>
      </c>
      <c r="I37" s="30" t="n">
        <f aca="false">ROUND('APUS COMUNICACIONES'!J455,2)</f>
        <v>526.63</v>
      </c>
      <c r="J37" s="9" t="n">
        <f aca="false">H37*I37</f>
        <v>526.63</v>
      </c>
      <c r="K37" s="30"/>
      <c r="L37" s="76"/>
      <c r="P37" s="14"/>
    </row>
    <row r="38" customFormat="false" ht="15" hidden="false" customHeight="false" outlineLevel="0" collapsed="false">
      <c r="A38" s="1" t="s">
        <v>1161</v>
      </c>
      <c r="B38" s="1" t="s">
        <v>1162</v>
      </c>
      <c r="G38" s="6" t="s">
        <v>148</v>
      </c>
      <c r="H38" s="30" t="n">
        <f aca="false">ROUNDUP(SUM(BIBLIOTECA:INGRESO!G88:G88),0)</f>
        <v>1</v>
      </c>
      <c r="I38" s="30" t="n">
        <f aca="false">ROUND('APUS COMUNICACIONES'!J469,2)</f>
        <v>404.74</v>
      </c>
      <c r="J38" s="9" t="n">
        <f aca="false">H38*I38</f>
        <v>404.74</v>
      </c>
      <c r="K38" s="30"/>
      <c r="L38" s="76"/>
    </row>
    <row r="39" customFormat="false" ht="15" hidden="false" customHeight="false" outlineLevel="0" collapsed="false">
      <c r="A39" s="14" t="n">
        <v>6.05</v>
      </c>
      <c r="B39" s="13" t="s">
        <v>1163</v>
      </c>
      <c r="G39" s="6"/>
      <c r="H39" s="30"/>
      <c r="J39" s="42" t="n">
        <f aca="false">SUM(J40:J42)</f>
        <v>1120.14</v>
      </c>
      <c r="L39" s="76"/>
    </row>
    <row r="40" customFormat="false" ht="15" hidden="false" customHeight="false" outlineLevel="0" collapsed="false">
      <c r="A40" s="1" t="s">
        <v>1164</v>
      </c>
      <c r="B40" s="1" t="s">
        <v>1165</v>
      </c>
      <c r="G40" s="6" t="s">
        <v>148</v>
      </c>
      <c r="H40" s="30" t="n">
        <v>1</v>
      </c>
      <c r="I40" s="30" t="n">
        <f aca="false">ROUND('APUS COMUNICACIONES'!J484,2)</f>
        <v>949.43</v>
      </c>
      <c r="J40" s="9" t="n">
        <f aca="false">H40*I40</f>
        <v>949.43</v>
      </c>
      <c r="K40" s="30"/>
      <c r="L40" s="76"/>
      <c r="P40" s="14"/>
    </row>
    <row r="41" customFormat="false" ht="15" hidden="false" customHeight="false" outlineLevel="0" collapsed="false">
      <c r="A41" s="1" t="s">
        <v>1166</v>
      </c>
      <c r="B41" s="1" t="s">
        <v>1167</v>
      </c>
      <c r="G41" s="6" t="s">
        <v>148</v>
      </c>
      <c r="H41" s="30" t="n">
        <f aca="false">ROUNDUP(SUM(BIBLIOTECA:INGRESO!G90:G90),0)</f>
        <v>1</v>
      </c>
      <c r="I41" s="30" t="n">
        <f aca="false">ROUND('APUS COMUNICACIONES'!J497,2)</f>
        <v>106.38</v>
      </c>
      <c r="J41" s="9" t="n">
        <f aca="false">H41*I41</f>
        <v>106.38</v>
      </c>
      <c r="K41" s="30"/>
      <c r="L41" s="76"/>
    </row>
    <row r="42" customFormat="false" ht="15" hidden="false" customHeight="false" outlineLevel="0" collapsed="false">
      <c r="A42" s="1" t="s">
        <v>1168</v>
      </c>
      <c r="B42" s="1" t="s">
        <v>1169</v>
      </c>
      <c r="G42" s="6" t="s">
        <v>148</v>
      </c>
      <c r="H42" s="30" t="n">
        <f aca="false">ROUNDUP(SUM(BIBLIOTECA:INGRESO!G91:G91),0)</f>
        <v>1</v>
      </c>
      <c r="I42" s="30" t="n">
        <f aca="false">ROUND('APUS COMUNICACIONES'!J513,2)</f>
        <v>64.33</v>
      </c>
      <c r="J42" s="9" t="n">
        <f aca="false">H42*I42</f>
        <v>64.33</v>
      </c>
      <c r="K42" s="30"/>
      <c r="L42" s="76"/>
    </row>
    <row r="43" customFormat="false" ht="15" hidden="false" customHeight="false" outlineLevel="0" collapsed="false">
      <c r="G43" s="6"/>
    </row>
    <row r="44" customFormat="false" ht="15" hidden="false" customHeight="false" outlineLevel="0" collapsed="false">
      <c r="G4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N5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18" activeCellId="0" sqref="K518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4" min="10" style="1" width="9.14"/>
    <col collapsed="false" customWidth="true" hidden="false" outlineLevel="0" max="16" min="15" style="1" width="10.86"/>
  </cols>
  <sheetData>
    <row r="4" customFormat="false" ht="15" hidden="false" customHeight="false" outlineLevel="0" collapsed="false">
      <c r="A4" s="14" t="s">
        <v>276</v>
      </c>
      <c r="B4" s="14" t="str">
        <f aca="false">COMUNICACIONES!A5</f>
        <v>06.01.01</v>
      </c>
      <c r="C4" s="14" t="s">
        <v>1100</v>
      </c>
      <c r="D4" s="14"/>
    </row>
    <row r="5" customFormat="false" ht="15" hidden="false" customHeight="false" outlineLevel="0" collapsed="false">
      <c r="A5" s="14" t="s">
        <v>277</v>
      </c>
      <c r="B5" s="14" t="s">
        <v>325</v>
      </c>
      <c r="C5" s="38" t="s">
        <v>279</v>
      </c>
      <c r="D5" s="54" t="n">
        <v>8</v>
      </c>
      <c r="E5" s="38" t="s">
        <v>280</v>
      </c>
      <c r="F5" s="54" t="n">
        <f aca="false">D5</f>
        <v>8</v>
      </c>
      <c r="G5" s="14" t="s">
        <v>281</v>
      </c>
      <c r="I5" s="38" t="s">
        <v>148</v>
      </c>
      <c r="J5" s="55" t="n">
        <f aca="false">J10+J17+J20</f>
        <v>279.85</v>
      </c>
    </row>
    <row r="6" customFormat="false" ht="15" hidden="false" customHeight="false" outlineLevel="0" collapsed="false">
      <c r="A6" s="14" t="s">
        <v>282</v>
      </c>
      <c r="B6" s="14" t="s">
        <v>283</v>
      </c>
      <c r="F6" s="38" t="s">
        <v>121</v>
      </c>
      <c r="G6" s="38" t="s">
        <v>284</v>
      </c>
      <c r="H6" s="38" t="s">
        <v>285</v>
      </c>
      <c r="I6" s="38" t="s">
        <v>286</v>
      </c>
      <c r="J6" s="38" t="s">
        <v>287</v>
      </c>
    </row>
    <row r="7" customFormat="false" ht="15" hidden="false" customHeight="false" outlineLevel="0" collapsed="false">
      <c r="B7" s="56" t="s">
        <v>288</v>
      </c>
    </row>
    <row r="8" customFormat="false" ht="15" hidden="false" customHeight="false" outlineLevel="0" collapsed="false">
      <c r="B8" s="1" t="s">
        <v>675</v>
      </c>
      <c r="F8" s="57" t="s">
        <v>290</v>
      </c>
      <c r="G8" s="58" t="n">
        <v>1</v>
      </c>
      <c r="H8" s="59" t="n">
        <f aca="false">G8*8/$D$5</f>
        <v>1</v>
      </c>
      <c r="I8" s="30" t="n">
        <v>22.66</v>
      </c>
      <c r="J8" s="30" t="n">
        <f aca="false">H8*I8</f>
        <v>22.66</v>
      </c>
      <c r="K8" s="1" t="n">
        <v>47</v>
      </c>
    </row>
    <row r="9" customFormat="false" ht="15" hidden="false" customHeight="false" outlineLevel="0" collapsed="false">
      <c r="B9" s="1" t="s">
        <v>1170</v>
      </c>
      <c r="F9" s="57" t="s">
        <v>290</v>
      </c>
      <c r="G9" s="58" t="n">
        <v>1</v>
      </c>
      <c r="H9" s="59" t="n">
        <f aca="false">G9*8/$D$5</f>
        <v>1</v>
      </c>
      <c r="I9" s="1" t="n">
        <v>26.11</v>
      </c>
      <c r="J9" s="30" t="n">
        <f aca="false">H9*I9</f>
        <v>26.11</v>
      </c>
      <c r="K9" s="1" t="n">
        <v>47</v>
      </c>
    </row>
    <row r="10" customFormat="false" ht="15" hidden="false" customHeight="false" outlineLevel="0" collapsed="false">
      <c r="F10" s="57"/>
      <c r="G10" s="58"/>
      <c r="H10" s="59"/>
      <c r="J10" s="55" t="n">
        <f aca="false">ROUND(SUM(J8:J9),2)</f>
        <v>48.77</v>
      </c>
    </row>
    <row r="11" customFormat="false" ht="15" hidden="false" customHeight="false" outlineLevel="0" collapsed="false">
      <c r="B11" s="56" t="s">
        <v>652</v>
      </c>
      <c r="F11" s="57"/>
      <c r="G11" s="58"/>
      <c r="H11" s="59"/>
      <c r="I11" s="59"/>
      <c r="J11" s="30"/>
    </row>
    <row r="12" customFormat="false" ht="15" hidden="false" customHeight="false" outlineLevel="0" collapsed="false">
      <c r="B12" s="1" t="s">
        <v>1171</v>
      </c>
      <c r="F12" s="57" t="s">
        <v>148</v>
      </c>
      <c r="H12" s="59" t="n">
        <v>2</v>
      </c>
      <c r="I12" s="30" t="n">
        <v>40</v>
      </c>
      <c r="J12" s="30" t="n">
        <f aca="false">H12*I12</f>
        <v>80</v>
      </c>
      <c r="K12" s="1" t="n">
        <v>39</v>
      </c>
    </row>
    <row r="13" customFormat="false" ht="15" hidden="false" customHeight="false" outlineLevel="0" collapsed="false">
      <c r="B13" s="1" t="s">
        <v>1172</v>
      </c>
      <c r="F13" s="57" t="s">
        <v>148</v>
      </c>
      <c r="H13" s="59" t="n">
        <v>1</v>
      </c>
      <c r="I13" s="30" t="n">
        <v>7</v>
      </c>
      <c r="J13" s="30" t="n">
        <f aca="false">H13*I13</f>
        <v>7</v>
      </c>
      <c r="K13" s="1" t="n">
        <v>39</v>
      </c>
    </row>
    <row r="14" customFormat="false" ht="15" hidden="false" customHeight="false" outlineLevel="0" collapsed="false">
      <c r="B14" s="1" t="s">
        <v>1173</v>
      </c>
      <c r="F14" s="57" t="s">
        <v>148</v>
      </c>
      <c r="H14" s="59" t="n">
        <v>1</v>
      </c>
      <c r="I14" s="30" t="n">
        <v>140</v>
      </c>
      <c r="J14" s="30" t="n">
        <f aca="false">H14*I14</f>
        <v>140</v>
      </c>
      <c r="K14" s="1" t="n">
        <v>39</v>
      </c>
    </row>
    <row r="15" customFormat="false" ht="15" hidden="false" customHeight="false" outlineLevel="0" collapsed="false">
      <c r="B15" s="1" t="s">
        <v>1174</v>
      </c>
      <c r="F15" s="57" t="s">
        <v>148</v>
      </c>
      <c r="H15" s="59" t="n">
        <v>1</v>
      </c>
      <c r="I15" s="30" t="n">
        <v>0.93</v>
      </c>
      <c r="J15" s="30" t="n">
        <f aca="false">H15*I15</f>
        <v>0.93</v>
      </c>
      <c r="K15" s="1" t="n">
        <v>72</v>
      </c>
    </row>
    <row r="16" customFormat="false" ht="15" hidden="false" customHeight="false" outlineLevel="0" collapsed="false">
      <c r="B16" s="1" t="s">
        <v>1175</v>
      </c>
      <c r="F16" s="57" t="s">
        <v>148</v>
      </c>
      <c r="H16" s="59" t="n">
        <v>1</v>
      </c>
      <c r="I16" s="30" t="n">
        <v>1.69</v>
      </c>
      <c r="J16" s="30" t="n">
        <f aca="false">H16*I16</f>
        <v>1.69</v>
      </c>
      <c r="K16" s="1" t="n">
        <v>39</v>
      </c>
    </row>
    <row r="17" customFormat="false" ht="15" hidden="false" customHeight="false" outlineLevel="0" collapsed="false">
      <c r="J17" s="55" t="n">
        <f aca="false">ROUND(SUM(J12:J16),2)</f>
        <v>229.62</v>
      </c>
    </row>
    <row r="18" customFormat="false" ht="15" hidden="false" customHeight="false" outlineLevel="0" collapsed="false">
      <c r="B18" s="56" t="s">
        <v>308</v>
      </c>
    </row>
    <row r="19" customFormat="false" ht="15" hidden="false" customHeight="false" outlineLevel="0" collapsed="false">
      <c r="B19" s="1" t="s">
        <v>309</v>
      </c>
      <c r="F19" s="57" t="s">
        <v>310</v>
      </c>
      <c r="H19" s="59" t="n">
        <v>3</v>
      </c>
      <c r="I19" s="30" t="n">
        <f aca="false">J10</f>
        <v>48.77</v>
      </c>
      <c r="J19" s="30" t="n">
        <f aca="false">H19%*I19</f>
        <v>1.4631</v>
      </c>
      <c r="K19" s="1" t="n">
        <v>37</v>
      </c>
    </row>
    <row r="20" customFormat="false" ht="15" hidden="false" customHeight="false" outlineLevel="0" collapsed="false">
      <c r="A20" s="62"/>
      <c r="B20" s="62"/>
      <c r="C20" s="62"/>
      <c r="D20" s="62"/>
      <c r="E20" s="62"/>
      <c r="F20" s="62"/>
      <c r="G20" s="62"/>
      <c r="H20" s="62"/>
      <c r="I20" s="83"/>
      <c r="J20" s="63" t="n">
        <f aca="false">ROUND(SUM(J19),2)</f>
        <v>1.46</v>
      </c>
    </row>
    <row r="22" customFormat="false" ht="15" hidden="false" customHeight="false" outlineLevel="0" collapsed="false">
      <c r="A22" s="14" t="s">
        <v>276</v>
      </c>
      <c r="B22" s="14" t="str">
        <f aca="false">COMUNICACIONES!A6</f>
        <v>06.01.02</v>
      </c>
      <c r="C22" s="14" t="s">
        <v>1102</v>
      </c>
      <c r="D22" s="14"/>
    </row>
    <row r="23" customFormat="false" ht="15" hidden="false" customHeight="false" outlineLevel="0" collapsed="false">
      <c r="A23" s="14" t="s">
        <v>277</v>
      </c>
      <c r="B23" s="14" t="s">
        <v>325</v>
      </c>
      <c r="C23" s="38" t="s">
        <v>279</v>
      </c>
      <c r="D23" s="54" t="n">
        <v>8</v>
      </c>
      <c r="E23" s="38" t="s">
        <v>280</v>
      </c>
      <c r="F23" s="54" t="n">
        <f aca="false">D23</f>
        <v>8</v>
      </c>
      <c r="G23" s="14" t="s">
        <v>281</v>
      </c>
      <c r="I23" s="38" t="s">
        <v>148</v>
      </c>
      <c r="J23" s="55" t="n">
        <f aca="false">J28+J35+J38</f>
        <v>95.84</v>
      </c>
    </row>
    <row r="24" customFormat="false" ht="15" hidden="false" customHeight="false" outlineLevel="0" collapsed="false">
      <c r="A24" s="14" t="s">
        <v>282</v>
      </c>
      <c r="B24" s="14" t="s">
        <v>283</v>
      </c>
      <c r="F24" s="38" t="s">
        <v>121</v>
      </c>
      <c r="G24" s="38" t="s">
        <v>284</v>
      </c>
      <c r="H24" s="38" t="s">
        <v>285</v>
      </c>
      <c r="I24" s="38" t="s">
        <v>286</v>
      </c>
      <c r="J24" s="38" t="s">
        <v>287</v>
      </c>
    </row>
    <row r="25" customFormat="false" ht="15" hidden="false" customHeight="false" outlineLevel="0" collapsed="false">
      <c r="B25" s="56" t="s">
        <v>288</v>
      </c>
    </row>
    <row r="26" customFormat="false" ht="15" hidden="false" customHeight="false" outlineLevel="0" collapsed="false">
      <c r="B26" s="1" t="s">
        <v>675</v>
      </c>
      <c r="F26" s="57" t="s">
        <v>290</v>
      </c>
      <c r="G26" s="58" t="n">
        <v>1</v>
      </c>
      <c r="H26" s="59" t="n">
        <f aca="false">G26*8/$D$23</f>
        <v>1</v>
      </c>
      <c r="I26" s="30" t="n">
        <v>22.66</v>
      </c>
      <c r="J26" s="30" t="n">
        <f aca="false">H26*I26</f>
        <v>22.66</v>
      </c>
      <c r="K26" s="1" t="n">
        <v>47</v>
      </c>
    </row>
    <row r="27" customFormat="false" ht="15" hidden="false" customHeight="false" outlineLevel="0" collapsed="false">
      <c r="B27" s="1" t="s">
        <v>1170</v>
      </c>
      <c r="F27" s="57" t="s">
        <v>290</v>
      </c>
      <c r="G27" s="58" t="n">
        <v>1</v>
      </c>
      <c r="H27" s="59" t="n">
        <f aca="false">G27*8/$D$23</f>
        <v>1</v>
      </c>
      <c r="I27" s="1" t="n">
        <v>26.11</v>
      </c>
      <c r="J27" s="30" t="n">
        <f aca="false">H27*I27</f>
        <v>26.11</v>
      </c>
      <c r="K27" s="1" t="n">
        <v>47</v>
      </c>
    </row>
    <row r="28" customFormat="false" ht="15" hidden="false" customHeight="false" outlineLevel="0" collapsed="false">
      <c r="F28" s="57"/>
      <c r="G28" s="58"/>
      <c r="H28" s="59"/>
      <c r="J28" s="55" t="n">
        <f aca="false">ROUND(SUM(J26:J27),2)</f>
        <v>48.77</v>
      </c>
    </row>
    <row r="29" customFormat="false" ht="15" hidden="false" customHeight="false" outlineLevel="0" collapsed="false">
      <c r="B29" s="56" t="s">
        <v>652</v>
      </c>
      <c r="F29" s="57"/>
      <c r="G29" s="58"/>
      <c r="H29" s="59"/>
      <c r="I29" s="59"/>
      <c r="J29" s="30"/>
    </row>
    <row r="30" customFormat="false" ht="15" hidden="false" customHeight="false" outlineLevel="0" collapsed="false">
      <c r="B30" s="1" t="s">
        <v>1176</v>
      </c>
      <c r="F30" s="57" t="s">
        <v>148</v>
      </c>
      <c r="H30" s="59" t="n">
        <v>2</v>
      </c>
      <c r="I30" s="30" t="n">
        <v>12.63</v>
      </c>
      <c r="J30" s="30" t="n">
        <f aca="false">H30*I30</f>
        <v>25.26</v>
      </c>
      <c r="K30" s="1" t="n">
        <v>39</v>
      </c>
    </row>
    <row r="31" customFormat="false" ht="15" hidden="false" customHeight="false" outlineLevel="0" collapsed="false">
      <c r="B31" s="1" t="s">
        <v>1177</v>
      </c>
      <c r="F31" s="57" t="s">
        <v>148</v>
      </c>
      <c r="H31" s="59" t="n">
        <v>1</v>
      </c>
      <c r="I31" s="30" t="n">
        <v>3.73</v>
      </c>
      <c r="J31" s="30" t="n">
        <f aca="false">H31*I31</f>
        <v>3.73</v>
      </c>
      <c r="K31" s="1" t="n">
        <v>39</v>
      </c>
    </row>
    <row r="32" customFormat="false" ht="15" hidden="false" customHeight="false" outlineLevel="0" collapsed="false">
      <c r="B32" s="1" t="s">
        <v>1174</v>
      </c>
      <c r="F32" s="57" t="s">
        <v>148</v>
      </c>
      <c r="H32" s="59" t="n">
        <v>1</v>
      </c>
      <c r="I32" s="30" t="n">
        <v>0.93</v>
      </c>
      <c r="J32" s="30" t="n">
        <f aca="false">H32*I32</f>
        <v>0.93</v>
      </c>
      <c r="K32" s="1" t="n">
        <v>72</v>
      </c>
    </row>
    <row r="33" customFormat="false" ht="15" hidden="false" customHeight="false" outlineLevel="0" collapsed="false">
      <c r="B33" s="1" t="s">
        <v>1175</v>
      </c>
      <c r="F33" s="57" t="s">
        <v>148</v>
      </c>
      <c r="H33" s="59" t="n">
        <v>1</v>
      </c>
      <c r="I33" s="30" t="n">
        <v>1.69</v>
      </c>
      <c r="J33" s="30" t="n">
        <f aca="false">H33*I33</f>
        <v>1.69</v>
      </c>
      <c r="K33" s="1" t="n">
        <v>39</v>
      </c>
    </row>
    <row r="34" customFormat="false" ht="15" hidden="false" customHeight="false" outlineLevel="0" collapsed="false">
      <c r="B34" s="1" t="s">
        <v>1178</v>
      </c>
      <c r="F34" s="57" t="s">
        <v>148</v>
      </c>
      <c r="H34" s="59" t="n">
        <v>1</v>
      </c>
      <c r="I34" s="30" t="n">
        <v>14</v>
      </c>
      <c r="J34" s="30" t="n">
        <f aca="false">H34*I34</f>
        <v>14</v>
      </c>
      <c r="K34" s="1" t="n">
        <v>39</v>
      </c>
    </row>
    <row r="35" customFormat="false" ht="15" hidden="false" customHeight="false" outlineLevel="0" collapsed="false">
      <c r="J35" s="55" t="n">
        <f aca="false">ROUND(SUM(J30:J34),2)</f>
        <v>45.61</v>
      </c>
    </row>
    <row r="36" customFormat="false" ht="15" hidden="false" customHeight="false" outlineLevel="0" collapsed="false">
      <c r="B36" s="56" t="s">
        <v>308</v>
      </c>
    </row>
    <row r="37" customFormat="false" ht="15" hidden="false" customHeight="false" outlineLevel="0" collapsed="false">
      <c r="B37" s="1" t="s">
        <v>309</v>
      </c>
      <c r="F37" s="57" t="s">
        <v>310</v>
      </c>
      <c r="H37" s="59" t="n">
        <v>3</v>
      </c>
      <c r="I37" s="30" t="n">
        <f aca="false">J28</f>
        <v>48.77</v>
      </c>
      <c r="J37" s="30" t="n">
        <f aca="false">H37%*I37</f>
        <v>1.4631</v>
      </c>
      <c r="K37" s="1" t="n">
        <v>37</v>
      </c>
    </row>
    <row r="38" customFormat="false" ht="15" hidden="false" customHeight="false" outlineLevel="0" collapsed="false">
      <c r="A38" s="62"/>
      <c r="B38" s="62"/>
      <c r="C38" s="62"/>
      <c r="D38" s="62"/>
      <c r="E38" s="62"/>
      <c r="F38" s="62"/>
      <c r="G38" s="62"/>
      <c r="H38" s="62"/>
      <c r="I38" s="83"/>
      <c r="J38" s="63" t="n">
        <f aca="false">ROUND(SUM(J37),2)</f>
        <v>1.46</v>
      </c>
    </row>
    <row r="40" customFormat="false" ht="15" hidden="false" customHeight="false" outlineLevel="0" collapsed="false">
      <c r="A40" s="14" t="s">
        <v>276</v>
      </c>
      <c r="B40" s="14" t="str">
        <f aca="false">COMUNICACIONES!A7</f>
        <v>06.01.03</v>
      </c>
      <c r="C40" s="14" t="s">
        <v>1104</v>
      </c>
      <c r="D40" s="14"/>
    </row>
    <row r="41" customFormat="false" ht="15" hidden="false" customHeight="false" outlineLevel="0" collapsed="false">
      <c r="A41" s="14" t="s">
        <v>277</v>
      </c>
      <c r="B41" s="14" t="s">
        <v>325</v>
      </c>
      <c r="C41" s="38" t="s">
        <v>279</v>
      </c>
      <c r="D41" s="54" t="n">
        <v>8</v>
      </c>
      <c r="E41" s="38" t="s">
        <v>280</v>
      </c>
      <c r="F41" s="54" t="n">
        <f aca="false">D41</f>
        <v>8</v>
      </c>
      <c r="G41" s="14" t="s">
        <v>281</v>
      </c>
      <c r="I41" s="38" t="s">
        <v>148</v>
      </c>
      <c r="J41" s="55" t="n">
        <f aca="false">J46+J53+J56</f>
        <v>95.84</v>
      </c>
      <c r="M41" s="14"/>
      <c r="N41" s="14"/>
    </row>
    <row r="42" customFormat="false" ht="15" hidden="false" customHeight="false" outlineLevel="0" collapsed="false">
      <c r="A42" s="14" t="s">
        <v>282</v>
      </c>
      <c r="B42" s="14" t="s">
        <v>283</v>
      </c>
      <c r="F42" s="38" t="s">
        <v>121</v>
      </c>
      <c r="G42" s="38" t="s">
        <v>284</v>
      </c>
      <c r="H42" s="38" t="s">
        <v>285</v>
      </c>
      <c r="I42" s="38" t="s">
        <v>286</v>
      </c>
      <c r="J42" s="38" t="s">
        <v>287</v>
      </c>
      <c r="N42" s="14"/>
    </row>
    <row r="43" customFormat="false" ht="15" hidden="false" customHeight="false" outlineLevel="0" collapsed="false">
      <c r="B43" s="56" t="s">
        <v>288</v>
      </c>
      <c r="N43" s="14"/>
    </row>
    <row r="44" customFormat="false" ht="15" hidden="false" customHeight="false" outlineLevel="0" collapsed="false">
      <c r="B44" s="1" t="s">
        <v>675</v>
      </c>
      <c r="F44" s="57" t="s">
        <v>290</v>
      </c>
      <c r="G44" s="58" t="n">
        <v>1</v>
      </c>
      <c r="H44" s="59" t="n">
        <f aca="false">G44*8/$D$41</f>
        <v>1</v>
      </c>
      <c r="I44" s="30" t="n">
        <v>22.66</v>
      </c>
      <c r="J44" s="30" t="n">
        <f aca="false">H44*I44</f>
        <v>22.66</v>
      </c>
      <c r="K44" s="1" t="n">
        <v>47</v>
      </c>
    </row>
    <row r="45" customFormat="false" ht="15" hidden="false" customHeight="false" outlineLevel="0" collapsed="false">
      <c r="B45" s="1" t="s">
        <v>1170</v>
      </c>
      <c r="F45" s="57" t="s">
        <v>290</v>
      </c>
      <c r="G45" s="58" t="n">
        <v>1</v>
      </c>
      <c r="H45" s="59" t="n">
        <f aca="false">G45*8/$D$41</f>
        <v>1</v>
      </c>
      <c r="I45" s="1" t="n">
        <v>26.11</v>
      </c>
      <c r="J45" s="30" t="n">
        <f aca="false">H45*I45</f>
        <v>26.11</v>
      </c>
      <c r="K45" s="1" t="n">
        <v>47</v>
      </c>
    </row>
    <row r="46" customFormat="false" ht="15" hidden="false" customHeight="false" outlineLevel="0" collapsed="false">
      <c r="F46" s="57"/>
      <c r="G46" s="58"/>
      <c r="H46" s="59"/>
      <c r="J46" s="55" t="n">
        <f aca="false">ROUND(SUM(J44:J45),2)</f>
        <v>48.77</v>
      </c>
    </row>
    <row r="47" customFormat="false" ht="15" hidden="false" customHeight="false" outlineLevel="0" collapsed="false">
      <c r="B47" s="56" t="s">
        <v>652</v>
      </c>
      <c r="F47" s="57"/>
      <c r="G47" s="58"/>
      <c r="H47" s="59"/>
      <c r="I47" s="59"/>
      <c r="J47" s="30"/>
    </row>
    <row r="48" customFormat="false" ht="15" hidden="false" customHeight="false" outlineLevel="0" collapsed="false">
      <c r="B48" s="1" t="s">
        <v>1176</v>
      </c>
      <c r="F48" s="57" t="s">
        <v>148</v>
      </c>
      <c r="H48" s="59" t="n">
        <v>2</v>
      </c>
      <c r="I48" s="30" t="n">
        <v>12.63</v>
      </c>
      <c r="J48" s="30" t="n">
        <f aca="false">H48*I48</f>
        <v>25.26</v>
      </c>
      <c r="K48" s="1" t="n">
        <v>39</v>
      </c>
    </row>
    <row r="49" customFormat="false" ht="15" hidden="false" customHeight="false" outlineLevel="0" collapsed="false">
      <c r="B49" s="1" t="s">
        <v>1177</v>
      </c>
      <c r="F49" s="57" t="s">
        <v>148</v>
      </c>
      <c r="H49" s="59" t="n">
        <v>1</v>
      </c>
      <c r="I49" s="30" t="n">
        <v>3.73</v>
      </c>
      <c r="J49" s="30" t="n">
        <f aca="false">H49*I49</f>
        <v>3.73</v>
      </c>
      <c r="K49" s="1" t="n">
        <v>39</v>
      </c>
    </row>
    <row r="50" customFormat="false" ht="15" hidden="false" customHeight="false" outlineLevel="0" collapsed="false">
      <c r="B50" s="1" t="s">
        <v>1174</v>
      </c>
      <c r="F50" s="57" t="s">
        <v>148</v>
      </c>
      <c r="H50" s="59" t="n">
        <v>1</v>
      </c>
      <c r="I50" s="30" t="n">
        <v>0.93</v>
      </c>
      <c r="J50" s="30" t="n">
        <f aca="false">H50*I50</f>
        <v>0.93</v>
      </c>
      <c r="K50" s="1" t="n">
        <v>72</v>
      </c>
    </row>
    <row r="51" customFormat="false" ht="15" hidden="false" customHeight="false" outlineLevel="0" collapsed="false">
      <c r="B51" s="1" t="s">
        <v>1175</v>
      </c>
      <c r="F51" s="57" t="s">
        <v>148</v>
      </c>
      <c r="H51" s="59" t="n">
        <v>1</v>
      </c>
      <c r="I51" s="30" t="n">
        <v>1.69</v>
      </c>
      <c r="J51" s="30" t="n">
        <f aca="false">H51*I51</f>
        <v>1.69</v>
      </c>
      <c r="K51" s="1" t="n">
        <v>39</v>
      </c>
    </row>
    <row r="52" customFormat="false" ht="15" hidden="false" customHeight="false" outlineLevel="0" collapsed="false">
      <c r="B52" s="1" t="s">
        <v>1178</v>
      </c>
      <c r="F52" s="57" t="s">
        <v>148</v>
      </c>
      <c r="H52" s="59" t="n">
        <v>1</v>
      </c>
      <c r="I52" s="30" t="n">
        <v>14</v>
      </c>
      <c r="J52" s="30" t="n">
        <f aca="false">H52*I52</f>
        <v>14</v>
      </c>
      <c r="K52" s="1" t="n">
        <v>39</v>
      </c>
    </row>
    <row r="53" customFormat="false" ht="15" hidden="false" customHeight="false" outlineLevel="0" collapsed="false">
      <c r="J53" s="55" t="n">
        <f aca="false">ROUND(SUM(J48:J52),2)</f>
        <v>45.61</v>
      </c>
    </row>
    <row r="54" customFormat="false" ht="15" hidden="false" customHeight="false" outlineLevel="0" collapsed="false">
      <c r="B54" s="56" t="s">
        <v>308</v>
      </c>
    </row>
    <row r="55" customFormat="false" ht="15" hidden="false" customHeight="false" outlineLevel="0" collapsed="false">
      <c r="B55" s="1" t="s">
        <v>309</v>
      </c>
      <c r="F55" s="57" t="s">
        <v>310</v>
      </c>
      <c r="H55" s="59" t="n">
        <v>3</v>
      </c>
      <c r="I55" s="30" t="n">
        <f aca="false">J46</f>
        <v>48.77</v>
      </c>
      <c r="J55" s="30" t="n">
        <f aca="false">H55%*I55</f>
        <v>1.4631</v>
      </c>
      <c r="K55" s="1" t="n">
        <v>37</v>
      </c>
    </row>
    <row r="56" customFormat="false" ht="15" hidden="false" customHeight="false" outlineLevel="0" collapsed="false">
      <c r="A56" s="62"/>
      <c r="B56" s="62"/>
      <c r="C56" s="62"/>
      <c r="D56" s="62"/>
      <c r="E56" s="62"/>
      <c r="F56" s="62"/>
      <c r="G56" s="62"/>
      <c r="H56" s="62"/>
      <c r="I56" s="83"/>
      <c r="J56" s="63" t="n">
        <f aca="false">ROUND(SUM(J55),2)</f>
        <v>1.46</v>
      </c>
    </row>
    <row r="58" customFormat="false" ht="15" hidden="false" customHeight="false" outlineLevel="0" collapsed="false">
      <c r="A58" s="14" t="s">
        <v>276</v>
      </c>
      <c r="B58" s="14" t="str">
        <f aca="false">COMUNICACIONES!A8</f>
        <v>06.01.04</v>
      </c>
      <c r="C58" s="14" t="s">
        <v>1106</v>
      </c>
      <c r="D58" s="14"/>
    </row>
    <row r="59" customFormat="false" ht="15" hidden="false" customHeight="false" outlineLevel="0" collapsed="false">
      <c r="A59" s="14" t="s">
        <v>277</v>
      </c>
      <c r="B59" s="14" t="s">
        <v>313</v>
      </c>
      <c r="C59" s="38" t="s">
        <v>279</v>
      </c>
      <c r="D59" s="54" t="n">
        <v>30</v>
      </c>
      <c r="E59" s="38" t="s">
        <v>280</v>
      </c>
      <c r="F59" s="54" t="n">
        <f aca="false">D59</f>
        <v>30</v>
      </c>
      <c r="G59" s="14" t="s">
        <v>281</v>
      </c>
      <c r="I59" s="38" t="s">
        <v>143</v>
      </c>
      <c r="J59" s="55" t="n">
        <f aca="false">J65+J71+J74</f>
        <v>26.4</v>
      </c>
    </row>
    <row r="60" customFormat="false" ht="15" hidden="false" customHeight="false" outlineLevel="0" collapsed="false">
      <c r="A60" s="14" t="s">
        <v>282</v>
      </c>
      <c r="B60" s="14" t="s">
        <v>283</v>
      </c>
      <c r="F60" s="38" t="s">
        <v>121</v>
      </c>
      <c r="G60" s="38" t="s">
        <v>284</v>
      </c>
      <c r="H60" s="38" t="s">
        <v>285</v>
      </c>
      <c r="I60" s="38" t="s">
        <v>286</v>
      </c>
      <c r="J60" s="38" t="s">
        <v>287</v>
      </c>
    </row>
    <row r="61" customFormat="false" ht="15" hidden="false" customHeight="false" outlineLevel="0" collapsed="false">
      <c r="B61" s="56" t="s">
        <v>288</v>
      </c>
    </row>
    <row r="62" customFormat="false" ht="15" hidden="false" customHeight="false" outlineLevel="0" collapsed="false">
      <c r="B62" s="1" t="s">
        <v>649</v>
      </c>
      <c r="F62" s="57" t="s">
        <v>290</v>
      </c>
      <c r="G62" s="58" t="n">
        <v>0.1</v>
      </c>
      <c r="H62" s="59" t="n">
        <f aca="false">G62*8/$D$59</f>
        <v>0.0266666666666667</v>
      </c>
      <c r="I62" s="1" t="n">
        <v>34.73</v>
      </c>
      <c r="J62" s="30" t="n">
        <f aca="false">H62*I62</f>
        <v>0.926133333333333</v>
      </c>
      <c r="K62" s="1" t="n">
        <v>47</v>
      </c>
    </row>
    <row r="63" customFormat="false" ht="15" hidden="false" customHeight="false" outlineLevel="0" collapsed="false">
      <c r="B63" s="1" t="s">
        <v>289</v>
      </c>
      <c r="F63" s="57" t="s">
        <v>290</v>
      </c>
      <c r="G63" s="58" t="n">
        <v>1</v>
      </c>
      <c r="H63" s="59" t="n">
        <f aca="false">G63*8/$D$59</f>
        <v>0.266666666666667</v>
      </c>
      <c r="I63" s="30" t="n">
        <v>28.94</v>
      </c>
      <c r="J63" s="30" t="n">
        <f aca="false">H63*I63</f>
        <v>7.71733333333333</v>
      </c>
      <c r="K63" s="1" t="n">
        <v>47</v>
      </c>
    </row>
    <row r="64" customFormat="false" ht="15" hidden="false" customHeight="false" outlineLevel="0" collapsed="false">
      <c r="B64" s="1" t="s">
        <v>292</v>
      </c>
      <c r="F64" s="57" t="s">
        <v>290</v>
      </c>
      <c r="G64" s="58" t="n">
        <v>1</v>
      </c>
      <c r="H64" s="59" t="n">
        <f aca="false">G64*8/$D$59</f>
        <v>0.266666666666667</v>
      </c>
      <c r="I64" s="1" t="n">
        <v>20.51</v>
      </c>
      <c r="J64" s="30" t="n">
        <f aca="false">H64*I64</f>
        <v>5.46933333333333</v>
      </c>
      <c r="K64" s="1" t="n">
        <v>47</v>
      </c>
    </row>
    <row r="65" customFormat="false" ht="15" hidden="false" customHeight="false" outlineLevel="0" collapsed="false">
      <c r="F65" s="57"/>
      <c r="G65" s="58"/>
      <c r="H65" s="59"/>
      <c r="J65" s="55" t="n">
        <f aca="false">ROUND(SUM(J62:J64),2)</f>
        <v>14.11</v>
      </c>
    </row>
    <row r="66" customFormat="false" ht="15" hidden="false" customHeight="false" outlineLevel="0" collapsed="false">
      <c r="B66" s="56" t="s">
        <v>652</v>
      </c>
      <c r="F66" s="57"/>
      <c r="G66" s="58"/>
      <c r="H66" s="59"/>
      <c r="I66" s="59"/>
      <c r="J66" s="30"/>
    </row>
    <row r="67" customFormat="false" ht="15" hidden="false" customHeight="false" outlineLevel="0" collapsed="false">
      <c r="B67" s="1" t="s">
        <v>1179</v>
      </c>
      <c r="F67" s="57" t="s">
        <v>143</v>
      </c>
      <c r="G67" s="58"/>
      <c r="H67" s="59" t="n">
        <v>1.05</v>
      </c>
      <c r="I67" s="1" t="n">
        <v>7.1</v>
      </c>
      <c r="J67" s="30" t="n">
        <f aca="false">H67*I67</f>
        <v>7.455</v>
      </c>
      <c r="K67" s="1" t="n">
        <v>72</v>
      </c>
    </row>
    <row r="68" customFormat="false" ht="15" hidden="false" customHeight="false" outlineLevel="0" collapsed="false">
      <c r="B68" s="1" t="s">
        <v>1180</v>
      </c>
      <c r="F68" s="57" t="s">
        <v>148</v>
      </c>
      <c r="G68" s="58"/>
      <c r="H68" s="59" t="n">
        <v>0.25</v>
      </c>
      <c r="I68" s="1" t="n">
        <v>11.58</v>
      </c>
      <c r="J68" s="30" t="n">
        <f aca="false">H68*I68</f>
        <v>2.895</v>
      </c>
      <c r="K68" s="1" t="n">
        <v>72</v>
      </c>
    </row>
    <row r="69" customFormat="false" ht="15" hidden="false" customHeight="false" outlineLevel="0" collapsed="false">
      <c r="B69" s="1" t="s">
        <v>1181</v>
      </c>
      <c r="F69" s="57" t="s">
        <v>437</v>
      </c>
      <c r="G69" s="58"/>
      <c r="H69" s="59" t="n">
        <v>0.005</v>
      </c>
      <c r="I69" s="1" t="n">
        <v>133.93</v>
      </c>
      <c r="J69" s="30" t="n">
        <f aca="false">H69*I69</f>
        <v>0.66965</v>
      </c>
      <c r="K69" s="1" t="n">
        <v>30</v>
      </c>
    </row>
    <row r="70" customFormat="false" ht="15" hidden="false" customHeight="false" outlineLevel="0" collapsed="false">
      <c r="B70" s="1" t="s">
        <v>1182</v>
      </c>
      <c r="F70" s="57" t="s">
        <v>148</v>
      </c>
      <c r="G70" s="58"/>
      <c r="H70" s="59" t="n">
        <v>0.25</v>
      </c>
      <c r="I70" s="1" t="n">
        <v>3.39</v>
      </c>
      <c r="J70" s="30" t="n">
        <f aca="false">H70*I70</f>
        <v>0.8475</v>
      </c>
      <c r="K70" s="1" t="n">
        <v>72</v>
      </c>
    </row>
    <row r="71" customFormat="false" ht="15" hidden="false" customHeight="false" outlineLevel="0" collapsed="false">
      <c r="J71" s="55" t="n">
        <f aca="false">ROUND(SUM(J67:J70),2)</f>
        <v>11.87</v>
      </c>
    </row>
    <row r="72" customFormat="false" ht="15" hidden="false" customHeight="false" outlineLevel="0" collapsed="false">
      <c r="B72" s="56" t="s">
        <v>308</v>
      </c>
    </row>
    <row r="73" customFormat="false" ht="15" hidden="false" customHeight="false" outlineLevel="0" collapsed="false">
      <c r="B73" s="1" t="s">
        <v>309</v>
      </c>
      <c r="F73" s="57" t="s">
        <v>310</v>
      </c>
      <c r="H73" s="59" t="n">
        <v>3</v>
      </c>
      <c r="I73" s="30" t="n">
        <f aca="false">J65</f>
        <v>14.11</v>
      </c>
      <c r="J73" s="30" t="n">
        <f aca="false">H73%*I73</f>
        <v>0.4233</v>
      </c>
      <c r="K73" s="1" t="n">
        <v>37</v>
      </c>
    </row>
    <row r="74" customFormat="false" ht="15" hidden="false" customHeight="false" outlineLevel="0" collapsed="false">
      <c r="A74" s="62"/>
      <c r="B74" s="62"/>
      <c r="C74" s="62"/>
      <c r="D74" s="62"/>
      <c r="E74" s="62"/>
      <c r="F74" s="62"/>
      <c r="G74" s="62"/>
      <c r="H74" s="62"/>
      <c r="I74" s="83"/>
      <c r="J74" s="63" t="n">
        <f aca="false">ROUND(SUM(J73),2)</f>
        <v>0.42</v>
      </c>
    </row>
    <row r="76" customFormat="false" ht="15" hidden="false" customHeight="false" outlineLevel="0" collapsed="false">
      <c r="A76" s="14" t="s">
        <v>276</v>
      </c>
      <c r="B76" s="14" t="str">
        <f aca="false">COMUNICACIONES!A9</f>
        <v>06.01.05</v>
      </c>
      <c r="C76" s="14" t="s">
        <v>1108</v>
      </c>
      <c r="D76" s="14"/>
    </row>
    <row r="77" customFormat="false" ht="15" hidden="false" customHeight="false" outlineLevel="0" collapsed="false">
      <c r="A77" s="14" t="s">
        <v>277</v>
      </c>
      <c r="B77" s="14" t="s">
        <v>313</v>
      </c>
      <c r="C77" s="38" t="s">
        <v>279</v>
      </c>
      <c r="D77" s="54" t="n">
        <v>30</v>
      </c>
      <c r="E77" s="38" t="s">
        <v>280</v>
      </c>
      <c r="F77" s="54" t="n">
        <f aca="false">D77</f>
        <v>30</v>
      </c>
      <c r="G77" s="14" t="s">
        <v>281</v>
      </c>
      <c r="I77" s="38" t="s">
        <v>143</v>
      </c>
      <c r="J77" s="55" t="n">
        <f aca="false">J83+J89+J92</f>
        <v>25</v>
      </c>
    </row>
    <row r="78" customFormat="false" ht="15" hidden="false" customHeight="false" outlineLevel="0" collapsed="false">
      <c r="A78" s="14" t="s">
        <v>282</v>
      </c>
      <c r="B78" s="14" t="s">
        <v>283</v>
      </c>
      <c r="F78" s="38" t="s">
        <v>121</v>
      </c>
      <c r="G78" s="38" t="s">
        <v>284</v>
      </c>
      <c r="H78" s="38" t="s">
        <v>285</v>
      </c>
      <c r="I78" s="38" t="s">
        <v>286</v>
      </c>
      <c r="J78" s="38" t="s">
        <v>287</v>
      </c>
    </row>
    <row r="79" customFormat="false" ht="15" hidden="false" customHeight="false" outlineLevel="0" collapsed="false">
      <c r="B79" s="56" t="s">
        <v>288</v>
      </c>
    </row>
    <row r="80" customFormat="false" ht="15" hidden="false" customHeight="false" outlineLevel="0" collapsed="false">
      <c r="B80" s="1" t="s">
        <v>649</v>
      </c>
      <c r="F80" s="57" t="s">
        <v>290</v>
      </c>
      <c r="G80" s="58" t="n">
        <v>0.1</v>
      </c>
      <c r="H80" s="59" t="n">
        <f aca="false">G80*8/$D$77</f>
        <v>0.0266666666666667</v>
      </c>
      <c r="I80" s="1" t="n">
        <v>34.73</v>
      </c>
      <c r="J80" s="30" t="n">
        <f aca="false">H80*I80</f>
        <v>0.926133333333333</v>
      </c>
      <c r="K80" s="1" t="n">
        <v>47</v>
      </c>
    </row>
    <row r="81" customFormat="false" ht="15" hidden="false" customHeight="false" outlineLevel="0" collapsed="false">
      <c r="B81" s="1" t="s">
        <v>289</v>
      </c>
      <c r="F81" s="57" t="s">
        <v>290</v>
      </c>
      <c r="G81" s="58" t="n">
        <v>1</v>
      </c>
      <c r="H81" s="59" t="n">
        <f aca="false">G81*8/$D$77</f>
        <v>0.266666666666667</v>
      </c>
      <c r="I81" s="30" t="n">
        <v>28.94</v>
      </c>
      <c r="J81" s="30" t="n">
        <f aca="false">H81*I81</f>
        <v>7.71733333333333</v>
      </c>
      <c r="K81" s="1" t="n">
        <v>47</v>
      </c>
    </row>
    <row r="82" customFormat="false" ht="15" hidden="false" customHeight="false" outlineLevel="0" collapsed="false">
      <c r="B82" s="1" t="s">
        <v>292</v>
      </c>
      <c r="F82" s="57" t="s">
        <v>290</v>
      </c>
      <c r="G82" s="58" t="n">
        <v>1</v>
      </c>
      <c r="H82" s="59" t="n">
        <f aca="false">G82*8/$D$77</f>
        <v>0.266666666666667</v>
      </c>
      <c r="I82" s="1" t="n">
        <v>20.51</v>
      </c>
      <c r="J82" s="30" t="n">
        <f aca="false">H82*I82</f>
        <v>5.46933333333333</v>
      </c>
      <c r="K82" s="1" t="n">
        <v>47</v>
      </c>
    </row>
    <row r="83" customFormat="false" ht="15" hidden="false" customHeight="false" outlineLevel="0" collapsed="false">
      <c r="F83" s="57"/>
      <c r="G83" s="58"/>
      <c r="H83" s="59"/>
      <c r="J83" s="55" t="n">
        <f aca="false">ROUND(SUM(J80:J82),2)</f>
        <v>14.11</v>
      </c>
    </row>
    <row r="84" customFormat="false" ht="15" hidden="false" customHeight="false" outlineLevel="0" collapsed="false">
      <c r="B84" s="56" t="s">
        <v>652</v>
      </c>
      <c r="F84" s="57"/>
      <c r="G84" s="58"/>
      <c r="H84" s="59"/>
      <c r="I84" s="59"/>
      <c r="J84" s="30"/>
    </row>
    <row r="85" customFormat="false" ht="15" hidden="false" customHeight="false" outlineLevel="0" collapsed="false">
      <c r="B85" s="1" t="s">
        <v>1183</v>
      </c>
      <c r="F85" s="57" t="s">
        <v>148</v>
      </c>
      <c r="G85" s="58"/>
      <c r="H85" s="59" t="n">
        <v>0.25</v>
      </c>
      <c r="I85" s="1" t="n">
        <v>8.39</v>
      </c>
      <c r="J85" s="30" t="n">
        <f aca="false">H85*I85</f>
        <v>2.0975</v>
      </c>
      <c r="K85" s="1" t="n">
        <v>72</v>
      </c>
    </row>
    <row r="86" customFormat="false" ht="15" hidden="false" customHeight="false" outlineLevel="0" collapsed="false">
      <c r="B86" s="1" t="s">
        <v>1184</v>
      </c>
      <c r="F86" s="57" t="s">
        <v>143</v>
      </c>
      <c r="G86" s="58"/>
      <c r="H86" s="59" t="n">
        <v>1.05</v>
      </c>
      <c r="I86" s="1" t="n">
        <v>6.77</v>
      </c>
      <c r="J86" s="30" t="n">
        <f aca="false">H86*I86</f>
        <v>7.1085</v>
      </c>
      <c r="K86" s="1" t="n">
        <v>72</v>
      </c>
    </row>
    <row r="87" customFormat="false" ht="15" hidden="false" customHeight="false" outlineLevel="0" collapsed="false">
      <c r="B87" s="1" t="s">
        <v>1181</v>
      </c>
      <c r="F87" s="57" t="s">
        <v>437</v>
      </c>
      <c r="G87" s="58"/>
      <c r="H87" s="59" t="n">
        <v>0.005</v>
      </c>
      <c r="I87" s="1" t="n">
        <v>133.93</v>
      </c>
      <c r="J87" s="30" t="n">
        <f aca="false">H87*I87</f>
        <v>0.66965</v>
      </c>
      <c r="K87" s="1" t="n">
        <v>30</v>
      </c>
    </row>
    <row r="88" customFormat="false" ht="15" hidden="false" customHeight="false" outlineLevel="0" collapsed="false">
      <c r="B88" s="1" t="s">
        <v>1185</v>
      </c>
      <c r="F88" s="57" t="s">
        <v>148</v>
      </c>
      <c r="G88" s="58"/>
      <c r="H88" s="59" t="n">
        <v>0.25</v>
      </c>
      <c r="I88" s="1" t="n">
        <v>2.37</v>
      </c>
      <c r="J88" s="30" t="n">
        <f aca="false">H88*I88</f>
        <v>0.5925</v>
      </c>
      <c r="K88" s="1" t="n">
        <v>72</v>
      </c>
    </row>
    <row r="89" customFormat="false" ht="15" hidden="false" customHeight="false" outlineLevel="0" collapsed="false">
      <c r="J89" s="55" t="n">
        <f aca="false">ROUND(SUM(J85:J88),2)</f>
        <v>10.47</v>
      </c>
    </row>
    <row r="90" customFormat="false" ht="15" hidden="false" customHeight="false" outlineLevel="0" collapsed="false">
      <c r="B90" s="56" t="s">
        <v>308</v>
      </c>
    </row>
    <row r="91" customFormat="false" ht="15" hidden="false" customHeight="false" outlineLevel="0" collapsed="false">
      <c r="B91" s="1" t="s">
        <v>309</v>
      </c>
      <c r="F91" s="57" t="s">
        <v>310</v>
      </c>
      <c r="H91" s="59" t="n">
        <v>3</v>
      </c>
      <c r="I91" s="30" t="n">
        <f aca="false">J83</f>
        <v>14.11</v>
      </c>
      <c r="J91" s="30" t="n">
        <f aca="false">H91%*I91</f>
        <v>0.4233</v>
      </c>
      <c r="K91" s="1" t="n">
        <v>37</v>
      </c>
    </row>
    <row r="92" customFormat="false" ht="15" hidden="false" customHeight="false" outlineLevel="0" collapsed="false">
      <c r="A92" s="62"/>
      <c r="B92" s="62"/>
      <c r="C92" s="62"/>
      <c r="D92" s="62"/>
      <c r="E92" s="62"/>
      <c r="F92" s="62"/>
      <c r="G92" s="62"/>
      <c r="H92" s="62"/>
      <c r="I92" s="83"/>
      <c r="J92" s="63" t="n">
        <f aca="false">ROUND(SUM(J91),2)</f>
        <v>0.42</v>
      </c>
    </row>
    <row r="94" customFormat="false" ht="15" hidden="false" customHeight="false" outlineLevel="0" collapsed="false">
      <c r="A94" s="14" t="s">
        <v>276</v>
      </c>
      <c r="B94" s="14" t="str">
        <f aca="false">COMUNICACIONES!A10</f>
        <v>06.01.06</v>
      </c>
      <c r="C94" s="14" t="s">
        <v>1110</v>
      </c>
      <c r="D94" s="14"/>
    </row>
    <row r="95" customFormat="false" ht="15" hidden="false" customHeight="false" outlineLevel="0" collapsed="false">
      <c r="A95" s="14" t="s">
        <v>277</v>
      </c>
      <c r="B95" s="14" t="s">
        <v>313</v>
      </c>
      <c r="C95" s="38" t="s">
        <v>279</v>
      </c>
      <c r="D95" s="54" t="n">
        <v>40</v>
      </c>
      <c r="E95" s="38" t="s">
        <v>280</v>
      </c>
      <c r="F95" s="54" t="n">
        <f aca="false">D95</f>
        <v>40</v>
      </c>
      <c r="G95" s="14" t="s">
        <v>281</v>
      </c>
      <c r="I95" s="38" t="s">
        <v>143</v>
      </c>
      <c r="J95" s="55" t="n">
        <f aca="false">J101+J107+J110</f>
        <v>19.23</v>
      </c>
    </row>
    <row r="96" customFormat="false" ht="15" hidden="false" customHeight="false" outlineLevel="0" collapsed="false">
      <c r="A96" s="14" t="s">
        <v>282</v>
      </c>
      <c r="B96" s="14" t="s">
        <v>283</v>
      </c>
      <c r="F96" s="38" t="s">
        <v>121</v>
      </c>
      <c r="G96" s="38" t="s">
        <v>284</v>
      </c>
      <c r="H96" s="38" t="s">
        <v>285</v>
      </c>
      <c r="I96" s="38" t="s">
        <v>286</v>
      </c>
      <c r="J96" s="38" t="s">
        <v>287</v>
      </c>
    </row>
    <row r="97" customFormat="false" ht="15" hidden="false" customHeight="false" outlineLevel="0" collapsed="false">
      <c r="B97" s="56" t="s">
        <v>288</v>
      </c>
    </row>
    <row r="98" customFormat="false" ht="15" hidden="false" customHeight="false" outlineLevel="0" collapsed="false">
      <c r="B98" s="1" t="s">
        <v>649</v>
      </c>
      <c r="F98" s="57" t="s">
        <v>290</v>
      </c>
      <c r="G98" s="58" t="n">
        <v>0.1</v>
      </c>
      <c r="H98" s="59" t="n">
        <f aca="false">G98*8/$D$95</f>
        <v>0.02</v>
      </c>
      <c r="I98" s="1" t="n">
        <v>34.73</v>
      </c>
      <c r="J98" s="30" t="n">
        <f aca="false">H98*I98</f>
        <v>0.6946</v>
      </c>
      <c r="K98" s="1" t="n">
        <v>47</v>
      </c>
    </row>
    <row r="99" customFormat="false" ht="15" hidden="false" customHeight="false" outlineLevel="0" collapsed="false">
      <c r="B99" s="1" t="s">
        <v>289</v>
      </c>
      <c r="F99" s="57" t="s">
        <v>290</v>
      </c>
      <c r="G99" s="58" t="n">
        <v>1</v>
      </c>
      <c r="H99" s="59" t="n">
        <f aca="false">G99*8/$D$95</f>
        <v>0.2</v>
      </c>
      <c r="I99" s="30" t="n">
        <v>28.94</v>
      </c>
      <c r="J99" s="30" t="n">
        <f aca="false">H99*I99</f>
        <v>5.788</v>
      </c>
      <c r="K99" s="1" t="n">
        <v>47</v>
      </c>
    </row>
    <row r="100" customFormat="false" ht="15" hidden="false" customHeight="false" outlineLevel="0" collapsed="false">
      <c r="B100" s="1" t="s">
        <v>292</v>
      </c>
      <c r="F100" s="57" t="s">
        <v>290</v>
      </c>
      <c r="G100" s="58" t="n">
        <v>1</v>
      </c>
      <c r="H100" s="59" t="n">
        <f aca="false">G100*8/$D$95</f>
        <v>0.2</v>
      </c>
      <c r="I100" s="1" t="n">
        <v>20.51</v>
      </c>
      <c r="J100" s="30" t="n">
        <f aca="false">H100*I100</f>
        <v>4.102</v>
      </c>
      <c r="K100" s="1" t="n">
        <v>47</v>
      </c>
    </row>
    <row r="101" customFormat="false" ht="15" hidden="false" customHeight="false" outlineLevel="0" collapsed="false">
      <c r="F101" s="57"/>
      <c r="G101" s="58"/>
      <c r="H101" s="59"/>
      <c r="J101" s="55" t="n">
        <f aca="false">ROUND(SUM(J98:J100),2)</f>
        <v>10.58</v>
      </c>
    </row>
    <row r="102" customFormat="false" ht="15" hidden="false" customHeight="false" outlineLevel="0" collapsed="false">
      <c r="B102" s="56" t="s">
        <v>652</v>
      </c>
      <c r="F102" s="57"/>
      <c r="G102" s="58"/>
      <c r="H102" s="59"/>
      <c r="I102" s="59"/>
      <c r="J102" s="30"/>
    </row>
    <row r="103" customFormat="false" ht="15" hidden="false" customHeight="false" outlineLevel="0" collapsed="false">
      <c r="B103" s="1" t="s">
        <v>1186</v>
      </c>
      <c r="F103" s="57" t="s">
        <v>143</v>
      </c>
      <c r="G103" s="58"/>
      <c r="H103" s="59" t="n">
        <v>1.05</v>
      </c>
      <c r="I103" s="1" t="n">
        <v>6.47</v>
      </c>
      <c r="J103" s="30" t="n">
        <f aca="false">H103*I103</f>
        <v>6.7935</v>
      </c>
      <c r="K103" s="1" t="n">
        <v>72</v>
      </c>
    </row>
    <row r="104" customFormat="false" ht="15" hidden="false" customHeight="false" outlineLevel="0" collapsed="false">
      <c r="B104" s="1" t="s">
        <v>1187</v>
      </c>
      <c r="F104" s="57" t="s">
        <v>148</v>
      </c>
      <c r="G104" s="58"/>
      <c r="H104" s="59" t="n">
        <v>0.25</v>
      </c>
      <c r="I104" s="1" t="n">
        <v>2.54</v>
      </c>
      <c r="J104" s="30" t="n">
        <f aca="false">H104*I104</f>
        <v>0.635</v>
      </c>
      <c r="K104" s="1" t="n">
        <v>72</v>
      </c>
    </row>
    <row r="105" customFormat="false" ht="15" hidden="false" customHeight="false" outlineLevel="0" collapsed="false">
      <c r="B105" s="1" t="s">
        <v>1181</v>
      </c>
      <c r="F105" s="57" t="s">
        <v>437</v>
      </c>
      <c r="G105" s="58"/>
      <c r="H105" s="59" t="n">
        <v>0.005</v>
      </c>
      <c r="I105" s="1" t="n">
        <v>133.93</v>
      </c>
      <c r="J105" s="30" t="n">
        <f aca="false">H105*I105</f>
        <v>0.66965</v>
      </c>
      <c r="K105" s="1" t="n">
        <v>30</v>
      </c>
    </row>
    <row r="106" customFormat="false" ht="15" hidden="false" customHeight="false" outlineLevel="0" collapsed="false">
      <c r="B106" s="1" t="s">
        <v>1174</v>
      </c>
      <c r="F106" s="57" t="s">
        <v>148</v>
      </c>
      <c r="G106" s="58"/>
      <c r="H106" s="59" t="n">
        <v>0.25</v>
      </c>
      <c r="I106" s="1" t="n">
        <v>0.93</v>
      </c>
      <c r="J106" s="30" t="n">
        <f aca="false">H106*I106</f>
        <v>0.2325</v>
      </c>
      <c r="K106" s="1" t="n">
        <v>72</v>
      </c>
    </row>
    <row r="107" customFormat="false" ht="15" hidden="false" customHeight="false" outlineLevel="0" collapsed="false">
      <c r="J107" s="55" t="n">
        <f aca="false">ROUND(SUM(J103:J106),2)</f>
        <v>8.33</v>
      </c>
    </row>
    <row r="108" customFormat="false" ht="15" hidden="false" customHeight="false" outlineLevel="0" collapsed="false">
      <c r="B108" s="56" t="s">
        <v>308</v>
      </c>
    </row>
    <row r="109" customFormat="false" ht="15" hidden="false" customHeight="false" outlineLevel="0" collapsed="false">
      <c r="B109" s="1" t="s">
        <v>309</v>
      </c>
      <c r="F109" s="57" t="s">
        <v>310</v>
      </c>
      <c r="H109" s="59" t="n">
        <v>3</v>
      </c>
      <c r="I109" s="30" t="n">
        <f aca="false">J101</f>
        <v>10.58</v>
      </c>
      <c r="J109" s="30" t="n">
        <f aca="false">H109%*I109</f>
        <v>0.3174</v>
      </c>
      <c r="K109" s="1" t="n">
        <v>37</v>
      </c>
    </row>
    <row r="110" customFormat="false" ht="15" hidden="false" customHeight="false" outlineLevel="0" collapsed="false">
      <c r="A110" s="62"/>
      <c r="B110" s="62"/>
      <c r="C110" s="62"/>
      <c r="D110" s="62"/>
      <c r="E110" s="62"/>
      <c r="F110" s="62"/>
      <c r="G110" s="62"/>
      <c r="H110" s="62"/>
      <c r="I110" s="83"/>
      <c r="J110" s="63" t="n">
        <f aca="false">ROUND(SUM(J109),2)</f>
        <v>0.32</v>
      </c>
    </row>
    <row r="112" customFormat="false" ht="15" hidden="false" customHeight="false" outlineLevel="0" collapsed="false">
      <c r="A112" s="14" t="s">
        <v>276</v>
      </c>
      <c r="B112" s="14" t="str">
        <f aca="false">COMUNICACIONES!A11</f>
        <v>06.01.07</v>
      </c>
      <c r="C112" s="14" t="s">
        <v>1112</v>
      </c>
      <c r="D112" s="14"/>
    </row>
    <row r="113" customFormat="false" ht="15" hidden="false" customHeight="false" outlineLevel="0" collapsed="false">
      <c r="A113" s="14" t="s">
        <v>277</v>
      </c>
      <c r="B113" s="14" t="s">
        <v>313</v>
      </c>
      <c r="C113" s="38" t="s">
        <v>279</v>
      </c>
      <c r="D113" s="54" t="n">
        <v>40</v>
      </c>
      <c r="E113" s="38" t="s">
        <v>280</v>
      </c>
      <c r="F113" s="54" t="n">
        <f aca="false">D113</f>
        <v>40</v>
      </c>
      <c r="G113" s="14" t="s">
        <v>281</v>
      </c>
      <c r="I113" s="38" t="s">
        <v>143</v>
      </c>
      <c r="J113" s="55" t="n">
        <f aca="false">J119+J125+J128</f>
        <v>16.37</v>
      </c>
    </row>
    <row r="114" customFormat="false" ht="15" hidden="false" customHeight="false" outlineLevel="0" collapsed="false">
      <c r="A114" s="14" t="s">
        <v>282</v>
      </c>
      <c r="B114" s="14" t="s">
        <v>283</v>
      </c>
      <c r="F114" s="38" t="s">
        <v>121</v>
      </c>
      <c r="G114" s="38" t="s">
        <v>284</v>
      </c>
      <c r="H114" s="38" t="s">
        <v>285</v>
      </c>
      <c r="I114" s="38" t="s">
        <v>286</v>
      </c>
      <c r="J114" s="38" t="s">
        <v>287</v>
      </c>
    </row>
    <row r="115" customFormat="false" ht="15" hidden="false" customHeight="false" outlineLevel="0" collapsed="false">
      <c r="B115" s="56" t="s">
        <v>288</v>
      </c>
    </row>
    <row r="116" customFormat="false" ht="15" hidden="false" customHeight="false" outlineLevel="0" collapsed="false">
      <c r="B116" s="1" t="s">
        <v>649</v>
      </c>
      <c r="F116" s="57" t="s">
        <v>290</v>
      </c>
      <c r="G116" s="58" t="n">
        <v>0.1</v>
      </c>
      <c r="H116" s="59" t="n">
        <f aca="false">G116*8/$D$113</f>
        <v>0.02</v>
      </c>
      <c r="I116" s="1" t="n">
        <v>34.73</v>
      </c>
      <c r="J116" s="30" t="n">
        <f aca="false">H116*I116</f>
        <v>0.6946</v>
      </c>
      <c r="K116" s="1" t="n">
        <v>47</v>
      </c>
    </row>
    <row r="117" customFormat="false" ht="15" hidden="false" customHeight="false" outlineLevel="0" collapsed="false">
      <c r="B117" s="1" t="s">
        <v>289</v>
      </c>
      <c r="F117" s="57" t="s">
        <v>290</v>
      </c>
      <c r="G117" s="58" t="n">
        <v>1</v>
      </c>
      <c r="H117" s="59" t="n">
        <f aca="false">G117*8/$D$113</f>
        <v>0.2</v>
      </c>
      <c r="I117" s="30" t="n">
        <v>28.94</v>
      </c>
      <c r="J117" s="30" t="n">
        <f aca="false">H117*I117</f>
        <v>5.788</v>
      </c>
      <c r="K117" s="1" t="n">
        <v>47</v>
      </c>
    </row>
    <row r="118" customFormat="false" ht="15" hidden="false" customHeight="false" outlineLevel="0" collapsed="false">
      <c r="B118" s="1" t="s">
        <v>292</v>
      </c>
      <c r="F118" s="57" t="s">
        <v>290</v>
      </c>
      <c r="G118" s="58" t="n">
        <v>1</v>
      </c>
      <c r="H118" s="59" t="n">
        <f aca="false">G118*8/$D$113</f>
        <v>0.2</v>
      </c>
      <c r="I118" s="1" t="n">
        <v>20.51</v>
      </c>
      <c r="J118" s="30" t="n">
        <f aca="false">H118*I118</f>
        <v>4.102</v>
      </c>
      <c r="K118" s="1" t="n">
        <v>47</v>
      </c>
    </row>
    <row r="119" customFormat="false" ht="15" hidden="false" customHeight="false" outlineLevel="0" collapsed="false">
      <c r="F119" s="57"/>
      <c r="G119" s="58"/>
      <c r="H119" s="59"/>
      <c r="J119" s="55" t="n">
        <f aca="false">ROUND(SUM(J116:J118),2)</f>
        <v>10.58</v>
      </c>
    </row>
    <row r="120" customFormat="false" ht="15" hidden="false" customHeight="false" outlineLevel="0" collapsed="false">
      <c r="B120" s="56" t="s">
        <v>652</v>
      </c>
      <c r="F120" s="57"/>
      <c r="G120" s="58"/>
      <c r="H120" s="59"/>
      <c r="I120" s="59"/>
      <c r="J120" s="30"/>
    </row>
    <row r="121" customFormat="false" ht="15" hidden="false" customHeight="false" outlineLevel="0" collapsed="false">
      <c r="B121" s="1" t="s">
        <v>1188</v>
      </c>
      <c r="F121" s="57" t="s">
        <v>143</v>
      </c>
      <c r="G121" s="58"/>
      <c r="H121" s="59" t="n">
        <v>1.05</v>
      </c>
      <c r="I121" s="1" t="n">
        <v>3.5</v>
      </c>
      <c r="J121" s="30" t="n">
        <f aca="false">H121*I121</f>
        <v>3.675</v>
      </c>
      <c r="K121" s="1" t="n">
        <v>72</v>
      </c>
    </row>
    <row r="122" customFormat="false" ht="15" hidden="false" customHeight="false" outlineLevel="0" collapsed="false">
      <c r="B122" s="1" t="s">
        <v>1189</v>
      </c>
      <c r="F122" s="57" t="s">
        <v>148</v>
      </c>
      <c r="G122" s="58"/>
      <c r="H122" s="59" t="n">
        <v>0.25</v>
      </c>
      <c r="I122" s="1" t="n">
        <v>2.25</v>
      </c>
      <c r="J122" s="30" t="n">
        <f aca="false">H122*I122</f>
        <v>0.5625</v>
      </c>
      <c r="K122" s="1" t="n">
        <v>72</v>
      </c>
    </row>
    <row r="123" customFormat="false" ht="15" hidden="false" customHeight="false" outlineLevel="0" collapsed="false">
      <c r="B123" s="1" t="s">
        <v>1181</v>
      </c>
      <c r="F123" s="57" t="s">
        <v>437</v>
      </c>
      <c r="G123" s="58"/>
      <c r="H123" s="59" t="n">
        <v>0.005</v>
      </c>
      <c r="I123" s="1" t="n">
        <v>133.93</v>
      </c>
      <c r="J123" s="30" t="n">
        <f aca="false">H123*I123</f>
        <v>0.66965</v>
      </c>
      <c r="K123" s="1" t="n">
        <v>30</v>
      </c>
    </row>
    <row r="124" customFormat="false" ht="15" hidden="false" customHeight="false" outlineLevel="0" collapsed="false">
      <c r="B124" s="1" t="s">
        <v>1190</v>
      </c>
      <c r="F124" s="57" t="s">
        <v>148</v>
      </c>
      <c r="G124" s="58"/>
      <c r="H124" s="59" t="n">
        <v>0.25</v>
      </c>
      <c r="I124" s="1" t="n">
        <v>2.25</v>
      </c>
      <c r="J124" s="30" t="n">
        <f aca="false">H124*I124</f>
        <v>0.5625</v>
      </c>
      <c r="K124" s="1" t="n">
        <v>72</v>
      </c>
    </row>
    <row r="125" customFormat="false" ht="15" hidden="false" customHeight="false" outlineLevel="0" collapsed="false">
      <c r="J125" s="55" t="n">
        <f aca="false">ROUND(SUM(J121:J124),2)</f>
        <v>5.47</v>
      </c>
    </row>
    <row r="126" customFormat="false" ht="15" hidden="false" customHeight="false" outlineLevel="0" collapsed="false">
      <c r="B126" s="56" t="s">
        <v>308</v>
      </c>
    </row>
    <row r="127" customFormat="false" ht="15" hidden="false" customHeight="false" outlineLevel="0" collapsed="false">
      <c r="B127" s="1" t="s">
        <v>309</v>
      </c>
      <c r="F127" s="57" t="s">
        <v>310</v>
      </c>
      <c r="H127" s="59" t="n">
        <v>3</v>
      </c>
      <c r="I127" s="30" t="n">
        <f aca="false">J119</f>
        <v>10.58</v>
      </c>
      <c r="J127" s="30" t="n">
        <f aca="false">H127%*I127</f>
        <v>0.3174</v>
      </c>
      <c r="K127" s="1" t="n">
        <v>37</v>
      </c>
    </row>
    <row r="128" customFormat="false" ht="15" hidden="false" customHeight="false" outlineLevel="0" collapsed="false">
      <c r="A128" s="62"/>
      <c r="B128" s="62"/>
      <c r="C128" s="62"/>
      <c r="D128" s="62"/>
      <c r="E128" s="62"/>
      <c r="F128" s="62"/>
      <c r="G128" s="62"/>
      <c r="H128" s="62"/>
      <c r="I128" s="83"/>
      <c r="J128" s="63" t="n">
        <f aca="false">ROUND(SUM(J127),2)</f>
        <v>0.32</v>
      </c>
    </row>
    <row r="130" customFormat="false" ht="15" hidden="false" customHeight="false" outlineLevel="0" collapsed="false">
      <c r="A130" s="14" t="s">
        <v>276</v>
      </c>
      <c r="B130" s="14" t="str">
        <f aca="false">COMUNICACIONES!A12</f>
        <v>06.01.08</v>
      </c>
      <c r="C130" s="14" t="s">
        <v>1114</v>
      </c>
      <c r="D130" s="14"/>
    </row>
    <row r="131" customFormat="false" ht="15" hidden="false" customHeight="false" outlineLevel="0" collapsed="false">
      <c r="A131" s="14" t="s">
        <v>277</v>
      </c>
      <c r="B131" s="14" t="s">
        <v>325</v>
      </c>
      <c r="C131" s="38" t="s">
        <v>279</v>
      </c>
      <c r="D131" s="54" t="n">
        <v>10</v>
      </c>
      <c r="E131" s="38" t="s">
        <v>280</v>
      </c>
      <c r="F131" s="54" t="n">
        <f aca="false">D131</f>
        <v>10</v>
      </c>
      <c r="G131" s="14" t="s">
        <v>281</v>
      </c>
      <c r="I131" s="38" t="s">
        <v>148</v>
      </c>
      <c r="J131" s="55" t="n">
        <f aca="false">J137+J140+J143</f>
        <v>62.67</v>
      </c>
    </row>
    <row r="132" customFormat="false" ht="15" hidden="false" customHeight="false" outlineLevel="0" collapsed="false">
      <c r="A132" s="14" t="s">
        <v>282</v>
      </c>
      <c r="B132" s="14" t="s">
        <v>283</v>
      </c>
      <c r="F132" s="38" t="s">
        <v>121</v>
      </c>
      <c r="G132" s="38" t="s">
        <v>284</v>
      </c>
      <c r="H132" s="38" t="s">
        <v>285</v>
      </c>
      <c r="I132" s="38" t="s">
        <v>286</v>
      </c>
      <c r="J132" s="38" t="s">
        <v>287</v>
      </c>
    </row>
    <row r="133" customFormat="false" ht="15" hidden="false" customHeight="false" outlineLevel="0" collapsed="false">
      <c r="B133" s="56" t="s">
        <v>288</v>
      </c>
    </row>
    <row r="134" customFormat="false" ht="15" hidden="false" customHeight="false" outlineLevel="0" collapsed="false">
      <c r="B134" s="1" t="s">
        <v>649</v>
      </c>
      <c r="F134" s="57" t="s">
        <v>290</v>
      </c>
      <c r="G134" s="58" t="n">
        <v>0.1</v>
      </c>
      <c r="H134" s="59" t="n">
        <f aca="false">G134*8/$D$131</f>
        <v>0.08</v>
      </c>
      <c r="I134" s="1" t="n">
        <v>34.73</v>
      </c>
      <c r="J134" s="30" t="n">
        <f aca="false">H134*I134</f>
        <v>2.7784</v>
      </c>
      <c r="K134" s="1" t="n">
        <v>47</v>
      </c>
    </row>
    <row r="135" customFormat="false" ht="15" hidden="false" customHeight="false" outlineLevel="0" collapsed="false">
      <c r="B135" s="1" t="s">
        <v>289</v>
      </c>
      <c r="F135" s="57" t="s">
        <v>290</v>
      </c>
      <c r="G135" s="58" t="n">
        <v>1</v>
      </c>
      <c r="H135" s="59" t="n">
        <f aca="false">G135*8/$D$131</f>
        <v>0.8</v>
      </c>
      <c r="I135" s="30" t="n">
        <v>28.94</v>
      </c>
      <c r="J135" s="30" t="n">
        <f aca="false">H135*I135</f>
        <v>23.152</v>
      </c>
      <c r="K135" s="1" t="n">
        <v>47</v>
      </c>
    </row>
    <row r="136" customFormat="false" ht="15" hidden="false" customHeight="false" outlineLevel="0" collapsed="false">
      <c r="B136" s="1" t="s">
        <v>291</v>
      </c>
      <c r="F136" s="57" t="s">
        <v>290</v>
      </c>
      <c r="G136" s="58" t="n">
        <v>1</v>
      </c>
      <c r="H136" s="59" t="n">
        <f aca="false">G136*8/$D$131</f>
        <v>0.8</v>
      </c>
      <c r="I136" s="1" t="n">
        <v>22.66</v>
      </c>
      <c r="J136" s="30" t="n">
        <f aca="false">H136*I136</f>
        <v>18.128</v>
      </c>
      <c r="K136" s="1" t="n">
        <v>47</v>
      </c>
    </row>
    <row r="137" customFormat="false" ht="15" hidden="false" customHeight="false" outlineLevel="0" collapsed="false">
      <c r="F137" s="57"/>
      <c r="G137" s="58"/>
      <c r="H137" s="59"/>
      <c r="J137" s="55" t="n">
        <f aca="false">ROUND(SUM(J134:J136),2)</f>
        <v>44.06</v>
      </c>
    </row>
    <row r="138" customFormat="false" ht="15" hidden="false" customHeight="false" outlineLevel="0" collapsed="false">
      <c r="B138" s="56" t="s">
        <v>652</v>
      </c>
      <c r="F138" s="57"/>
      <c r="G138" s="58"/>
      <c r="H138" s="59"/>
      <c r="I138" s="59"/>
      <c r="J138" s="30"/>
    </row>
    <row r="139" customFormat="false" ht="15" hidden="false" customHeight="false" outlineLevel="0" collapsed="false">
      <c r="B139" s="1" t="s">
        <v>1114</v>
      </c>
      <c r="F139" s="57" t="s">
        <v>148</v>
      </c>
      <c r="G139" s="58"/>
      <c r="H139" s="59" t="n">
        <v>1</v>
      </c>
      <c r="I139" s="1" t="n">
        <v>17.29</v>
      </c>
      <c r="J139" s="30" t="n">
        <f aca="false">H139*I139</f>
        <v>17.29</v>
      </c>
      <c r="K139" s="1" t="n">
        <v>39</v>
      </c>
    </row>
    <row r="140" customFormat="false" ht="15" hidden="false" customHeight="false" outlineLevel="0" collapsed="false">
      <c r="J140" s="55" t="n">
        <f aca="false">ROUND(SUM(J139:J139),2)</f>
        <v>17.29</v>
      </c>
    </row>
    <row r="141" customFormat="false" ht="15" hidden="false" customHeight="false" outlineLevel="0" collapsed="false">
      <c r="B141" s="56" t="s">
        <v>308</v>
      </c>
    </row>
    <row r="142" customFormat="false" ht="15" hidden="false" customHeight="false" outlineLevel="0" collapsed="false">
      <c r="B142" s="1" t="s">
        <v>309</v>
      </c>
      <c r="F142" s="57" t="s">
        <v>310</v>
      </c>
      <c r="H142" s="59" t="n">
        <v>3</v>
      </c>
      <c r="I142" s="30" t="n">
        <f aca="false">J137</f>
        <v>44.06</v>
      </c>
      <c r="J142" s="30" t="n">
        <f aca="false">H142%*I142</f>
        <v>1.3218</v>
      </c>
      <c r="K142" s="1" t="n">
        <v>37</v>
      </c>
    </row>
    <row r="143" customFormat="false" ht="15" hidden="false" customHeight="false" outlineLevel="0" collapsed="false">
      <c r="A143" s="62"/>
      <c r="B143" s="62"/>
      <c r="C143" s="62"/>
      <c r="D143" s="62"/>
      <c r="E143" s="62"/>
      <c r="F143" s="62"/>
      <c r="G143" s="62"/>
      <c r="H143" s="62"/>
      <c r="I143" s="83"/>
      <c r="J143" s="63" t="n">
        <f aca="false">ROUND(SUM(J142),2)</f>
        <v>1.32</v>
      </c>
    </row>
    <row r="145" customFormat="false" ht="15" hidden="false" customHeight="false" outlineLevel="0" collapsed="false">
      <c r="A145" s="14" t="s">
        <v>276</v>
      </c>
      <c r="B145" s="14" t="str">
        <f aca="false">COMUNICACIONES!A13</f>
        <v>06.01.09</v>
      </c>
      <c r="C145" s="14" t="s">
        <v>1116</v>
      </c>
      <c r="D145" s="14"/>
    </row>
    <row r="146" customFormat="false" ht="15" hidden="false" customHeight="false" outlineLevel="0" collapsed="false">
      <c r="A146" s="14" t="s">
        <v>277</v>
      </c>
      <c r="B146" s="14" t="s">
        <v>325</v>
      </c>
      <c r="C146" s="38" t="s">
        <v>279</v>
      </c>
      <c r="D146" s="54" t="n">
        <v>10</v>
      </c>
      <c r="E146" s="38" t="s">
        <v>280</v>
      </c>
      <c r="F146" s="54" t="n">
        <f aca="false">D146</f>
        <v>10</v>
      </c>
      <c r="G146" s="14" t="s">
        <v>281</v>
      </c>
      <c r="I146" s="38" t="s">
        <v>148</v>
      </c>
      <c r="J146" s="55" t="n">
        <f aca="false">J152+J155+J158</f>
        <v>58.85</v>
      </c>
    </row>
    <row r="147" customFormat="false" ht="15" hidden="false" customHeight="false" outlineLevel="0" collapsed="false">
      <c r="A147" s="14" t="s">
        <v>282</v>
      </c>
      <c r="B147" s="14" t="s">
        <v>283</v>
      </c>
      <c r="F147" s="38" t="s">
        <v>121</v>
      </c>
      <c r="G147" s="38" t="s">
        <v>284</v>
      </c>
      <c r="H147" s="38" t="s">
        <v>285</v>
      </c>
      <c r="I147" s="38" t="s">
        <v>286</v>
      </c>
      <c r="J147" s="38" t="s">
        <v>287</v>
      </c>
    </row>
    <row r="148" customFormat="false" ht="15" hidden="false" customHeight="false" outlineLevel="0" collapsed="false">
      <c r="B148" s="56" t="s">
        <v>288</v>
      </c>
    </row>
    <row r="149" customFormat="false" ht="15" hidden="false" customHeight="false" outlineLevel="0" collapsed="false">
      <c r="B149" s="1" t="s">
        <v>649</v>
      </c>
      <c r="F149" s="57" t="s">
        <v>290</v>
      </c>
      <c r="G149" s="58" t="n">
        <v>0.1</v>
      </c>
      <c r="H149" s="59" t="n">
        <f aca="false">G149*8/$D$146</f>
        <v>0.08</v>
      </c>
      <c r="I149" s="1" t="n">
        <v>34.73</v>
      </c>
      <c r="J149" s="30" t="n">
        <f aca="false">H149*I149</f>
        <v>2.7784</v>
      </c>
      <c r="K149" s="1" t="n">
        <v>47</v>
      </c>
    </row>
    <row r="150" customFormat="false" ht="15" hidden="false" customHeight="false" outlineLevel="0" collapsed="false">
      <c r="B150" s="1" t="s">
        <v>289</v>
      </c>
      <c r="F150" s="57" t="s">
        <v>290</v>
      </c>
      <c r="G150" s="58" t="n">
        <v>1</v>
      </c>
      <c r="H150" s="59" t="n">
        <f aca="false">G150*8/$D$146</f>
        <v>0.8</v>
      </c>
      <c r="I150" s="30" t="n">
        <v>28.94</v>
      </c>
      <c r="J150" s="30" t="n">
        <f aca="false">H150*I150</f>
        <v>23.152</v>
      </c>
      <c r="K150" s="1" t="n">
        <v>47</v>
      </c>
    </row>
    <row r="151" customFormat="false" ht="15" hidden="false" customHeight="false" outlineLevel="0" collapsed="false">
      <c r="B151" s="1" t="s">
        <v>291</v>
      </c>
      <c r="F151" s="57" t="s">
        <v>290</v>
      </c>
      <c r="G151" s="58" t="n">
        <v>1</v>
      </c>
      <c r="H151" s="59" t="n">
        <f aca="false">G151*8/$D$146</f>
        <v>0.8</v>
      </c>
      <c r="I151" s="1" t="n">
        <v>22.66</v>
      </c>
      <c r="J151" s="30" t="n">
        <f aca="false">H151*I151</f>
        <v>18.128</v>
      </c>
      <c r="K151" s="1" t="n">
        <v>47</v>
      </c>
    </row>
    <row r="152" customFormat="false" ht="15" hidden="false" customHeight="false" outlineLevel="0" collapsed="false">
      <c r="F152" s="57"/>
      <c r="G152" s="58"/>
      <c r="H152" s="59"/>
      <c r="J152" s="55" t="n">
        <f aca="false">ROUND(SUM(J149:J151),2)</f>
        <v>44.06</v>
      </c>
    </row>
    <row r="153" customFormat="false" ht="15" hidden="false" customHeight="false" outlineLevel="0" collapsed="false">
      <c r="B153" s="56" t="s">
        <v>652</v>
      </c>
      <c r="F153" s="57"/>
      <c r="G153" s="58"/>
      <c r="H153" s="59"/>
      <c r="I153" s="59"/>
      <c r="J153" s="30"/>
    </row>
    <row r="154" customFormat="false" ht="15" hidden="false" customHeight="false" outlineLevel="0" collapsed="false">
      <c r="B154" s="1" t="s">
        <v>1116</v>
      </c>
      <c r="F154" s="57" t="s">
        <v>148</v>
      </c>
      <c r="G154" s="58"/>
      <c r="H154" s="59" t="n">
        <v>1</v>
      </c>
      <c r="I154" s="1" t="n">
        <v>13.47</v>
      </c>
      <c r="J154" s="30" t="n">
        <f aca="false">H154*I154</f>
        <v>13.47</v>
      </c>
      <c r="K154" s="1" t="n">
        <v>39</v>
      </c>
    </row>
    <row r="155" customFormat="false" ht="15" hidden="false" customHeight="false" outlineLevel="0" collapsed="false">
      <c r="J155" s="55" t="n">
        <f aca="false">ROUND(SUM(J154:J154),2)</f>
        <v>13.47</v>
      </c>
    </row>
    <row r="156" customFormat="false" ht="15" hidden="false" customHeight="false" outlineLevel="0" collapsed="false">
      <c r="B156" s="56" t="s">
        <v>308</v>
      </c>
    </row>
    <row r="157" customFormat="false" ht="15" hidden="false" customHeight="false" outlineLevel="0" collapsed="false">
      <c r="B157" s="1" t="s">
        <v>309</v>
      </c>
      <c r="F157" s="57" t="s">
        <v>310</v>
      </c>
      <c r="H157" s="59" t="n">
        <v>3</v>
      </c>
      <c r="I157" s="30" t="n">
        <f aca="false">J152</f>
        <v>44.06</v>
      </c>
      <c r="J157" s="30" t="n">
        <f aca="false">H157%*I157</f>
        <v>1.3218</v>
      </c>
      <c r="K157" s="1" t="n">
        <v>37</v>
      </c>
    </row>
    <row r="158" customFormat="false" ht="15" hidden="false" customHeight="false" outlineLevel="0" collapsed="false">
      <c r="A158" s="62"/>
      <c r="B158" s="62"/>
      <c r="C158" s="62"/>
      <c r="D158" s="62"/>
      <c r="E158" s="62"/>
      <c r="F158" s="62"/>
      <c r="G158" s="62"/>
      <c r="H158" s="62"/>
      <c r="I158" s="83"/>
      <c r="J158" s="63" t="n">
        <f aca="false">ROUND(SUM(J157),2)</f>
        <v>1.32</v>
      </c>
    </row>
    <row r="159" customFormat="false" ht="15" hidden="false" customHeight="false" outlineLevel="0" collapsed="false">
      <c r="F159" s="57"/>
      <c r="G159" s="58"/>
      <c r="H159" s="59"/>
      <c r="J159" s="30"/>
    </row>
    <row r="160" customFormat="false" ht="15" hidden="false" customHeight="false" outlineLevel="0" collapsed="false">
      <c r="A160" s="14" t="s">
        <v>276</v>
      </c>
      <c r="B160" s="14" t="str">
        <f aca="false">COMUNICACIONES!A14</f>
        <v>06.01.10</v>
      </c>
      <c r="C160" s="14" t="s">
        <v>1118</v>
      </c>
      <c r="D160" s="14"/>
    </row>
    <row r="161" customFormat="false" ht="15" hidden="false" customHeight="false" outlineLevel="0" collapsed="false">
      <c r="A161" s="14" t="s">
        <v>277</v>
      </c>
      <c r="B161" s="14" t="s">
        <v>325</v>
      </c>
      <c r="C161" s="38" t="s">
        <v>279</v>
      </c>
      <c r="D161" s="54" t="n">
        <v>10</v>
      </c>
      <c r="E161" s="38" t="s">
        <v>280</v>
      </c>
      <c r="F161" s="54" t="n">
        <f aca="false">D161</f>
        <v>10</v>
      </c>
      <c r="G161" s="14" t="s">
        <v>281</v>
      </c>
      <c r="I161" s="38" t="s">
        <v>148</v>
      </c>
      <c r="J161" s="55" t="n">
        <f aca="false">J167+J170+J173</f>
        <v>57.88</v>
      </c>
    </row>
    <row r="162" customFormat="false" ht="15" hidden="false" customHeight="false" outlineLevel="0" collapsed="false">
      <c r="A162" s="14" t="s">
        <v>282</v>
      </c>
      <c r="B162" s="14" t="s">
        <v>283</v>
      </c>
      <c r="F162" s="38" t="s">
        <v>121</v>
      </c>
      <c r="G162" s="38" t="s">
        <v>284</v>
      </c>
      <c r="H162" s="38" t="s">
        <v>285</v>
      </c>
      <c r="I162" s="38" t="s">
        <v>286</v>
      </c>
      <c r="J162" s="38" t="s">
        <v>287</v>
      </c>
    </row>
    <row r="163" customFormat="false" ht="15" hidden="false" customHeight="false" outlineLevel="0" collapsed="false">
      <c r="B163" s="56" t="s">
        <v>288</v>
      </c>
    </row>
    <row r="164" customFormat="false" ht="15" hidden="false" customHeight="false" outlineLevel="0" collapsed="false">
      <c r="B164" s="1" t="s">
        <v>649</v>
      </c>
      <c r="F164" s="57" t="s">
        <v>290</v>
      </c>
      <c r="G164" s="58" t="n">
        <v>0.1</v>
      </c>
      <c r="H164" s="59" t="n">
        <f aca="false">G164*8/$D$161</f>
        <v>0.08</v>
      </c>
      <c r="I164" s="1" t="n">
        <v>34.73</v>
      </c>
      <c r="J164" s="30" t="n">
        <f aca="false">H164*I164</f>
        <v>2.7784</v>
      </c>
      <c r="K164" s="1" t="n">
        <v>47</v>
      </c>
    </row>
    <row r="165" customFormat="false" ht="15" hidden="false" customHeight="false" outlineLevel="0" collapsed="false">
      <c r="B165" s="1" t="s">
        <v>289</v>
      </c>
      <c r="F165" s="57" t="s">
        <v>290</v>
      </c>
      <c r="G165" s="58" t="n">
        <v>1</v>
      </c>
      <c r="H165" s="59" t="n">
        <f aca="false">G165*8/$D$161</f>
        <v>0.8</v>
      </c>
      <c r="I165" s="30" t="n">
        <v>28.94</v>
      </c>
      <c r="J165" s="30" t="n">
        <f aca="false">H165*I165</f>
        <v>23.152</v>
      </c>
      <c r="K165" s="1" t="n">
        <v>47</v>
      </c>
      <c r="M165" s="14"/>
    </row>
    <row r="166" customFormat="false" ht="15" hidden="false" customHeight="false" outlineLevel="0" collapsed="false">
      <c r="B166" s="1" t="s">
        <v>291</v>
      </c>
      <c r="F166" s="57" t="s">
        <v>290</v>
      </c>
      <c r="G166" s="58" t="n">
        <v>1</v>
      </c>
      <c r="H166" s="59" t="n">
        <f aca="false">G166*8/$D$161</f>
        <v>0.8</v>
      </c>
      <c r="I166" s="1" t="n">
        <v>22.66</v>
      </c>
      <c r="J166" s="30" t="n">
        <f aca="false">H166*I166</f>
        <v>18.128</v>
      </c>
      <c r="K166" s="1" t="n">
        <v>47</v>
      </c>
      <c r="M166" s="14"/>
    </row>
    <row r="167" customFormat="false" ht="15" hidden="false" customHeight="false" outlineLevel="0" collapsed="false">
      <c r="F167" s="57"/>
      <c r="G167" s="58"/>
      <c r="H167" s="59"/>
      <c r="J167" s="55" t="n">
        <f aca="false">ROUND(SUM(J164:J166),2)</f>
        <v>44.06</v>
      </c>
      <c r="M167" s="14"/>
    </row>
    <row r="168" customFormat="false" ht="15" hidden="false" customHeight="false" outlineLevel="0" collapsed="false">
      <c r="B168" s="56" t="s">
        <v>652</v>
      </c>
      <c r="F168" s="57"/>
      <c r="G168" s="58"/>
      <c r="H168" s="59"/>
      <c r="I168" s="59"/>
      <c r="J168" s="30"/>
      <c r="M168" s="14"/>
    </row>
    <row r="169" customFormat="false" ht="15" hidden="false" customHeight="false" outlineLevel="0" collapsed="false">
      <c r="B169" s="1" t="s">
        <v>1118</v>
      </c>
      <c r="F169" s="57" t="s">
        <v>148</v>
      </c>
      <c r="G169" s="58"/>
      <c r="H169" s="59" t="n">
        <v>1</v>
      </c>
      <c r="I169" s="1" t="n">
        <v>12.5</v>
      </c>
      <c r="J169" s="30" t="n">
        <f aca="false">H169*I169</f>
        <v>12.5</v>
      </c>
      <c r="K169" s="1" t="n">
        <v>39</v>
      </c>
      <c r="M169" s="14"/>
    </row>
    <row r="170" customFormat="false" ht="15" hidden="false" customHeight="false" outlineLevel="0" collapsed="false">
      <c r="J170" s="55" t="n">
        <f aca="false">ROUND(SUM(J169:J169),2)</f>
        <v>12.5</v>
      </c>
      <c r="L170" s="14"/>
      <c r="M170" s="14"/>
    </row>
    <row r="171" customFormat="false" ht="15" hidden="false" customHeight="false" outlineLevel="0" collapsed="false">
      <c r="B171" s="56" t="s">
        <v>308</v>
      </c>
    </row>
    <row r="172" customFormat="false" ht="15" hidden="false" customHeight="false" outlineLevel="0" collapsed="false">
      <c r="B172" s="1" t="s">
        <v>309</v>
      </c>
      <c r="F172" s="57" t="s">
        <v>310</v>
      </c>
      <c r="H172" s="59" t="n">
        <v>3</v>
      </c>
      <c r="I172" s="30" t="n">
        <f aca="false">J167</f>
        <v>44.06</v>
      </c>
      <c r="J172" s="30" t="n">
        <f aca="false">H172%*I172</f>
        <v>1.3218</v>
      </c>
      <c r="K172" s="1" t="n">
        <v>37</v>
      </c>
    </row>
    <row r="173" customFormat="false" ht="15" hidden="false" customHeight="false" outlineLevel="0" collapsed="false">
      <c r="A173" s="62"/>
      <c r="B173" s="62"/>
      <c r="C173" s="62"/>
      <c r="D173" s="62"/>
      <c r="E173" s="62"/>
      <c r="F173" s="62"/>
      <c r="G173" s="62"/>
      <c r="H173" s="62"/>
      <c r="I173" s="83"/>
      <c r="J173" s="63" t="n">
        <f aca="false">ROUND(SUM(J172),2)</f>
        <v>1.32</v>
      </c>
    </row>
    <row r="175" customFormat="false" ht="15" hidden="false" customHeight="false" outlineLevel="0" collapsed="false">
      <c r="A175" s="14" t="s">
        <v>276</v>
      </c>
      <c r="B175" s="14" t="str">
        <f aca="false">COMUNICACIONES!A15</f>
        <v>06.01.11</v>
      </c>
      <c r="C175" s="14" t="s">
        <v>1120</v>
      </c>
      <c r="D175" s="14"/>
    </row>
    <row r="176" customFormat="false" ht="15" hidden="false" customHeight="false" outlineLevel="0" collapsed="false">
      <c r="A176" s="14" t="s">
        <v>277</v>
      </c>
      <c r="B176" s="14" t="s">
        <v>313</v>
      </c>
      <c r="C176" s="38" t="s">
        <v>279</v>
      </c>
      <c r="D176" s="54" t="n">
        <v>12</v>
      </c>
      <c r="E176" s="38" t="s">
        <v>280</v>
      </c>
      <c r="F176" s="54" t="n">
        <f aca="false">D176</f>
        <v>12</v>
      </c>
      <c r="G176" s="14" t="s">
        <v>281</v>
      </c>
      <c r="I176" s="38" t="s">
        <v>143</v>
      </c>
      <c r="J176" s="55" t="n">
        <f aca="false">J182+J185+J188</f>
        <v>99.34</v>
      </c>
    </row>
    <row r="177" customFormat="false" ht="15" hidden="false" customHeight="false" outlineLevel="0" collapsed="false">
      <c r="A177" s="14" t="s">
        <v>282</v>
      </c>
      <c r="B177" s="14" t="s">
        <v>283</v>
      </c>
      <c r="F177" s="38" t="s">
        <v>121</v>
      </c>
      <c r="G177" s="38" t="s">
        <v>284</v>
      </c>
      <c r="H177" s="38" t="s">
        <v>285</v>
      </c>
      <c r="I177" s="38" t="s">
        <v>286</v>
      </c>
      <c r="J177" s="38" t="s">
        <v>287</v>
      </c>
    </row>
    <row r="178" customFormat="false" ht="15" hidden="false" customHeight="false" outlineLevel="0" collapsed="false">
      <c r="B178" s="56" t="s">
        <v>288</v>
      </c>
    </row>
    <row r="179" customFormat="false" ht="15" hidden="false" customHeight="false" outlineLevel="0" collapsed="false">
      <c r="B179" s="1" t="s">
        <v>649</v>
      </c>
      <c r="F179" s="57" t="s">
        <v>290</v>
      </c>
      <c r="G179" s="58" t="n">
        <v>0.1</v>
      </c>
      <c r="H179" s="59" t="n">
        <f aca="false">G179*8/$D$176</f>
        <v>0.0666666666666667</v>
      </c>
      <c r="I179" s="1" t="n">
        <v>34.73</v>
      </c>
      <c r="J179" s="30" t="n">
        <f aca="false">H179*I179</f>
        <v>2.31533333333333</v>
      </c>
      <c r="K179" s="1" t="n">
        <v>47</v>
      </c>
    </row>
    <row r="180" customFormat="false" ht="15" hidden="false" customHeight="false" outlineLevel="0" collapsed="false">
      <c r="B180" s="1" t="s">
        <v>289</v>
      </c>
      <c r="F180" s="57" t="s">
        <v>290</v>
      </c>
      <c r="G180" s="58" t="n">
        <v>1</v>
      </c>
      <c r="H180" s="59" t="n">
        <f aca="false">G180*8/$D$176</f>
        <v>0.666666666666667</v>
      </c>
      <c r="I180" s="30" t="n">
        <v>28.94</v>
      </c>
      <c r="J180" s="30" t="n">
        <f aca="false">H180*I180</f>
        <v>19.2933333333333</v>
      </c>
      <c r="K180" s="1" t="n">
        <v>47</v>
      </c>
    </row>
    <row r="181" customFormat="false" ht="15" hidden="false" customHeight="false" outlineLevel="0" collapsed="false">
      <c r="B181" s="1" t="s">
        <v>292</v>
      </c>
      <c r="F181" s="57" t="s">
        <v>290</v>
      </c>
      <c r="G181" s="58" t="n">
        <v>1</v>
      </c>
      <c r="H181" s="59" t="n">
        <f aca="false">G181*8/$D$176</f>
        <v>0.666666666666667</v>
      </c>
      <c r="I181" s="1" t="n">
        <v>20.51</v>
      </c>
      <c r="J181" s="30" t="n">
        <f aca="false">H181*I181</f>
        <v>13.6733333333333</v>
      </c>
      <c r="K181" s="1" t="n">
        <v>47</v>
      </c>
    </row>
    <row r="182" customFormat="false" ht="15" hidden="false" customHeight="false" outlineLevel="0" collapsed="false">
      <c r="F182" s="57"/>
      <c r="G182" s="58"/>
      <c r="H182" s="59"/>
      <c r="J182" s="55" t="n">
        <f aca="false">ROUND(SUM(J179:J181),2)</f>
        <v>35.28</v>
      </c>
    </row>
    <row r="183" customFormat="false" ht="15" hidden="false" customHeight="false" outlineLevel="0" collapsed="false">
      <c r="B183" s="56" t="s">
        <v>652</v>
      </c>
      <c r="F183" s="57"/>
      <c r="G183" s="58"/>
      <c r="H183" s="59"/>
      <c r="I183" s="59"/>
      <c r="J183" s="30"/>
    </row>
    <row r="184" customFormat="false" ht="15" hidden="false" customHeight="false" outlineLevel="0" collapsed="false">
      <c r="B184" s="1" t="s">
        <v>1191</v>
      </c>
      <c r="F184" s="57" t="s">
        <v>148</v>
      </c>
      <c r="G184" s="58"/>
      <c r="H184" s="59" t="n">
        <v>1.05</v>
      </c>
      <c r="I184" s="1" t="n">
        <v>60</v>
      </c>
      <c r="J184" s="30" t="n">
        <f aca="false">H184*I184</f>
        <v>63</v>
      </c>
      <c r="K184" s="1" t="n">
        <v>30</v>
      </c>
    </row>
    <row r="185" customFormat="false" ht="15" hidden="false" customHeight="false" outlineLevel="0" collapsed="false">
      <c r="J185" s="55" t="n">
        <f aca="false">ROUND(SUM(J184:J184),2)</f>
        <v>63</v>
      </c>
    </row>
    <row r="186" customFormat="false" ht="15" hidden="false" customHeight="false" outlineLevel="0" collapsed="false">
      <c r="B186" s="56" t="s">
        <v>308</v>
      </c>
    </row>
    <row r="187" customFormat="false" ht="15" hidden="false" customHeight="false" outlineLevel="0" collapsed="false">
      <c r="B187" s="1" t="s">
        <v>309</v>
      </c>
      <c r="F187" s="57" t="s">
        <v>310</v>
      </c>
      <c r="H187" s="59" t="n">
        <v>3</v>
      </c>
      <c r="I187" s="30" t="n">
        <f aca="false">J182</f>
        <v>35.28</v>
      </c>
      <c r="J187" s="30" t="n">
        <f aca="false">H187%*I187</f>
        <v>1.0584</v>
      </c>
      <c r="K187" s="1" t="n">
        <v>37</v>
      </c>
    </row>
    <row r="188" customFormat="false" ht="15" hidden="false" customHeight="false" outlineLevel="0" collapsed="false">
      <c r="A188" s="62"/>
      <c r="B188" s="62"/>
      <c r="C188" s="62"/>
      <c r="D188" s="62"/>
      <c r="E188" s="62"/>
      <c r="F188" s="62"/>
      <c r="G188" s="62"/>
      <c r="H188" s="62"/>
      <c r="I188" s="83"/>
      <c r="J188" s="63" t="n">
        <f aca="false">ROUND(SUM(J187),2)</f>
        <v>1.06</v>
      </c>
    </row>
    <row r="190" customFormat="false" ht="15" hidden="false" customHeight="false" outlineLevel="0" collapsed="false">
      <c r="A190" s="14" t="s">
        <v>276</v>
      </c>
      <c r="B190" s="14" t="str">
        <f aca="false">COMUNICACIONES!A17</f>
        <v>06.02.01</v>
      </c>
      <c r="C190" s="14" t="s">
        <v>1123</v>
      </c>
      <c r="D190" s="14"/>
    </row>
    <row r="191" customFormat="false" ht="15" hidden="false" customHeight="false" outlineLevel="0" collapsed="false">
      <c r="A191" s="14" t="s">
        <v>277</v>
      </c>
      <c r="B191" s="14" t="s">
        <v>325</v>
      </c>
      <c r="C191" s="38" t="s">
        <v>279</v>
      </c>
      <c r="D191" s="54" t="n">
        <v>4</v>
      </c>
      <c r="E191" s="38" t="s">
        <v>280</v>
      </c>
      <c r="F191" s="54" t="n">
        <f aca="false">D191</f>
        <v>4</v>
      </c>
      <c r="G191" s="14" t="s">
        <v>281</v>
      </c>
      <c r="I191" s="38" t="s">
        <v>148</v>
      </c>
      <c r="J191" s="55" t="n">
        <f aca="false">J196+J199+J202</f>
        <v>2842.98</v>
      </c>
    </row>
    <row r="192" customFormat="false" ht="15" hidden="false" customHeight="false" outlineLevel="0" collapsed="false">
      <c r="A192" s="14" t="s">
        <v>282</v>
      </c>
      <c r="B192" s="14" t="s">
        <v>283</v>
      </c>
      <c r="F192" s="38" t="s">
        <v>121</v>
      </c>
      <c r="G192" s="38" t="s">
        <v>284</v>
      </c>
      <c r="H192" s="38" t="s">
        <v>285</v>
      </c>
      <c r="I192" s="38" t="s">
        <v>286</v>
      </c>
      <c r="J192" s="38" t="s">
        <v>287</v>
      </c>
    </row>
    <row r="193" customFormat="false" ht="15" hidden="false" customHeight="false" outlineLevel="0" collapsed="false">
      <c r="B193" s="56" t="s">
        <v>288</v>
      </c>
    </row>
    <row r="194" customFormat="false" ht="15" hidden="false" customHeight="false" outlineLevel="0" collapsed="false">
      <c r="B194" s="1" t="s">
        <v>675</v>
      </c>
      <c r="F194" s="57" t="s">
        <v>290</v>
      </c>
      <c r="G194" s="58" t="n">
        <v>1</v>
      </c>
      <c r="H194" s="59" t="n">
        <f aca="false">G194*8/$D$191</f>
        <v>2</v>
      </c>
      <c r="I194" s="30" t="n">
        <v>22.66</v>
      </c>
      <c r="J194" s="30" t="n">
        <f aca="false">H194*I194</f>
        <v>45.32</v>
      </c>
      <c r="K194" s="1" t="n">
        <v>47</v>
      </c>
    </row>
    <row r="195" customFormat="false" ht="15" hidden="false" customHeight="false" outlineLevel="0" collapsed="false">
      <c r="B195" s="1" t="s">
        <v>1170</v>
      </c>
      <c r="F195" s="57" t="s">
        <v>290</v>
      </c>
      <c r="G195" s="58" t="n">
        <v>1</v>
      </c>
      <c r="H195" s="59" t="n">
        <f aca="false">G195*8/$D$191</f>
        <v>2</v>
      </c>
      <c r="I195" s="1" t="n">
        <v>26.11</v>
      </c>
      <c r="J195" s="30" t="n">
        <f aca="false">H195*I195</f>
        <v>52.22</v>
      </c>
      <c r="K195" s="1" t="n">
        <v>47</v>
      </c>
    </row>
    <row r="196" customFormat="false" ht="15" hidden="false" customHeight="false" outlineLevel="0" collapsed="false">
      <c r="F196" s="57"/>
      <c r="G196" s="58"/>
      <c r="H196" s="59"/>
      <c r="J196" s="55" t="n">
        <f aca="false">ROUND(SUM(J194:J195),2)</f>
        <v>97.54</v>
      </c>
    </row>
    <row r="197" customFormat="false" ht="15" hidden="false" customHeight="false" outlineLevel="0" collapsed="false">
      <c r="B197" s="56" t="s">
        <v>652</v>
      </c>
      <c r="F197" s="57"/>
      <c r="G197" s="58"/>
      <c r="H197" s="59"/>
      <c r="I197" s="59"/>
      <c r="J197" s="30"/>
    </row>
    <row r="198" customFormat="false" ht="15" hidden="false" customHeight="false" outlineLevel="0" collapsed="false">
      <c r="B198" s="1" t="s">
        <v>1192</v>
      </c>
      <c r="F198" s="57" t="s">
        <v>148</v>
      </c>
      <c r="G198" s="58"/>
      <c r="H198" s="59" t="n">
        <v>1</v>
      </c>
      <c r="I198" s="1" t="n">
        <v>2742.51</v>
      </c>
      <c r="J198" s="30" t="n">
        <f aca="false">H198*I198</f>
        <v>2742.51</v>
      </c>
      <c r="K198" s="1" t="n">
        <v>30</v>
      </c>
    </row>
    <row r="199" customFormat="false" ht="15" hidden="false" customHeight="false" outlineLevel="0" collapsed="false">
      <c r="J199" s="55" t="n">
        <f aca="false">ROUND(SUM(J198:J198),2)</f>
        <v>2742.51</v>
      </c>
    </row>
    <row r="200" customFormat="false" ht="15" hidden="false" customHeight="false" outlineLevel="0" collapsed="false">
      <c r="B200" s="56" t="s">
        <v>308</v>
      </c>
    </row>
    <row r="201" customFormat="false" ht="15" hidden="false" customHeight="false" outlineLevel="0" collapsed="false">
      <c r="B201" s="1" t="s">
        <v>309</v>
      </c>
      <c r="F201" s="57" t="s">
        <v>310</v>
      </c>
      <c r="H201" s="59" t="n">
        <v>3</v>
      </c>
      <c r="I201" s="30" t="n">
        <f aca="false">J196</f>
        <v>97.54</v>
      </c>
      <c r="J201" s="30" t="n">
        <f aca="false">H201%*I201</f>
        <v>2.9262</v>
      </c>
      <c r="K201" s="1" t="n">
        <v>37</v>
      </c>
    </row>
    <row r="202" customFormat="false" ht="15" hidden="false" customHeight="false" outlineLevel="0" collapsed="false">
      <c r="A202" s="62"/>
      <c r="B202" s="62"/>
      <c r="C202" s="62"/>
      <c r="D202" s="62"/>
      <c r="E202" s="62"/>
      <c r="F202" s="62"/>
      <c r="G202" s="62"/>
      <c r="H202" s="62"/>
      <c r="I202" s="83"/>
      <c r="J202" s="63" t="n">
        <f aca="false">ROUND(SUM(J201),2)</f>
        <v>2.93</v>
      </c>
    </row>
    <row r="204" customFormat="false" ht="15" hidden="false" customHeight="false" outlineLevel="0" collapsed="false">
      <c r="A204" s="14" t="s">
        <v>276</v>
      </c>
      <c r="B204" s="14" t="str">
        <f aca="false">COMUNICACIONES!A18</f>
        <v>06.02.02</v>
      </c>
      <c r="C204" s="14" t="s">
        <v>1125</v>
      </c>
      <c r="D204" s="14"/>
    </row>
    <row r="205" customFormat="false" ht="15" hidden="false" customHeight="false" outlineLevel="0" collapsed="false">
      <c r="A205" s="14" t="s">
        <v>277</v>
      </c>
      <c r="B205" s="14" t="s">
        <v>325</v>
      </c>
      <c r="C205" s="38" t="s">
        <v>279</v>
      </c>
      <c r="D205" s="54" t="n">
        <v>4</v>
      </c>
      <c r="E205" s="38" t="s">
        <v>280</v>
      </c>
      <c r="F205" s="54" t="n">
        <f aca="false">D205</f>
        <v>4</v>
      </c>
      <c r="G205" s="14" t="s">
        <v>281</v>
      </c>
      <c r="I205" s="38" t="s">
        <v>148</v>
      </c>
      <c r="J205" s="55" t="n">
        <f aca="false">J210+J213+J216</f>
        <v>813.09</v>
      </c>
    </row>
    <row r="206" customFormat="false" ht="15" hidden="false" customHeight="false" outlineLevel="0" collapsed="false">
      <c r="A206" s="14" t="s">
        <v>282</v>
      </c>
      <c r="B206" s="14" t="s">
        <v>283</v>
      </c>
      <c r="F206" s="38" t="s">
        <v>121</v>
      </c>
      <c r="G206" s="38" t="s">
        <v>284</v>
      </c>
      <c r="H206" s="38" t="s">
        <v>285</v>
      </c>
      <c r="I206" s="38" t="s">
        <v>286</v>
      </c>
      <c r="J206" s="38" t="s">
        <v>287</v>
      </c>
    </row>
    <row r="207" customFormat="false" ht="15" hidden="false" customHeight="false" outlineLevel="0" collapsed="false">
      <c r="B207" s="56" t="s">
        <v>288</v>
      </c>
    </row>
    <row r="208" customFormat="false" ht="15" hidden="false" customHeight="false" outlineLevel="0" collapsed="false">
      <c r="B208" s="1" t="s">
        <v>675</v>
      </c>
      <c r="F208" s="57" t="s">
        <v>290</v>
      </c>
      <c r="G208" s="58" t="n">
        <v>1</v>
      </c>
      <c r="H208" s="59" t="n">
        <f aca="false">G208*8/$D$205</f>
        <v>2</v>
      </c>
      <c r="I208" s="30" t="n">
        <v>22.66</v>
      </c>
      <c r="J208" s="30" t="n">
        <f aca="false">H208*I208</f>
        <v>45.32</v>
      </c>
      <c r="K208" s="1" t="n">
        <v>47</v>
      </c>
    </row>
    <row r="209" customFormat="false" ht="15" hidden="false" customHeight="false" outlineLevel="0" collapsed="false">
      <c r="B209" s="1" t="s">
        <v>1170</v>
      </c>
      <c r="F209" s="57" t="s">
        <v>290</v>
      </c>
      <c r="G209" s="58" t="n">
        <v>1</v>
      </c>
      <c r="H209" s="59" t="n">
        <f aca="false">G209*8/$D$205</f>
        <v>2</v>
      </c>
      <c r="I209" s="1" t="n">
        <v>26.11</v>
      </c>
      <c r="J209" s="30" t="n">
        <f aca="false">H209*I209</f>
        <v>52.22</v>
      </c>
      <c r="K209" s="1" t="n">
        <v>47</v>
      </c>
    </row>
    <row r="210" customFormat="false" ht="15" hidden="false" customHeight="false" outlineLevel="0" collapsed="false">
      <c r="F210" s="57"/>
      <c r="G210" s="58"/>
      <c r="H210" s="59"/>
      <c r="J210" s="55" t="n">
        <f aca="false">ROUND(SUM(J208:J209),2)</f>
        <v>97.54</v>
      </c>
    </row>
    <row r="211" customFormat="false" ht="15" hidden="false" customHeight="false" outlineLevel="0" collapsed="false">
      <c r="B211" s="56" t="s">
        <v>652</v>
      </c>
      <c r="F211" s="57"/>
      <c r="G211" s="58"/>
      <c r="H211" s="59"/>
      <c r="I211" s="59"/>
      <c r="J211" s="30"/>
    </row>
    <row r="212" customFormat="false" ht="15" hidden="false" customHeight="false" outlineLevel="0" collapsed="false">
      <c r="B212" s="1" t="s">
        <v>1193</v>
      </c>
      <c r="F212" s="57" t="s">
        <v>148</v>
      </c>
      <c r="G212" s="58"/>
      <c r="H212" s="59" t="n">
        <v>1</v>
      </c>
      <c r="I212" s="1" t="n">
        <v>712.62</v>
      </c>
      <c r="J212" s="30" t="n">
        <f aca="false">H212*I212</f>
        <v>712.62</v>
      </c>
      <c r="K212" s="1" t="n">
        <v>30</v>
      </c>
    </row>
    <row r="213" customFormat="false" ht="15" hidden="false" customHeight="false" outlineLevel="0" collapsed="false">
      <c r="J213" s="55" t="n">
        <f aca="false">ROUND(SUM(J212:J212),2)</f>
        <v>712.62</v>
      </c>
    </row>
    <row r="214" customFormat="false" ht="15" hidden="false" customHeight="false" outlineLevel="0" collapsed="false">
      <c r="B214" s="56" t="s">
        <v>308</v>
      </c>
    </row>
    <row r="215" customFormat="false" ht="15" hidden="false" customHeight="false" outlineLevel="0" collapsed="false">
      <c r="B215" s="1" t="s">
        <v>309</v>
      </c>
      <c r="F215" s="57" t="s">
        <v>310</v>
      </c>
      <c r="H215" s="59" t="n">
        <v>3</v>
      </c>
      <c r="I215" s="30" t="n">
        <f aca="false">J210</f>
        <v>97.54</v>
      </c>
      <c r="J215" s="30" t="n">
        <f aca="false">H215%*I215</f>
        <v>2.9262</v>
      </c>
      <c r="K215" s="1" t="n">
        <v>37</v>
      </c>
    </row>
    <row r="216" customFormat="false" ht="15" hidden="false" customHeight="false" outlineLevel="0" collapsed="false">
      <c r="A216" s="62"/>
      <c r="B216" s="62"/>
      <c r="C216" s="62"/>
      <c r="D216" s="62"/>
      <c r="E216" s="62"/>
      <c r="F216" s="62"/>
      <c r="G216" s="62"/>
      <c r="H216" s="62"/>
      <c r="I216" s="83"/>
      <c r="J216" s="63" t="n">
        <f aca="false">ROUND(SUM(J215),2)</f>
        <v>2.93</v>
      </c>
    </row>
    <row r="217" customFormat="false" ht="15" hidden="false" customHeight="false" outlineLevel="0" collapsed="false">
      <c r="A217" s="138"/>
      <c r="B217" s="138"/>
      <c r="C217" s="138"/>
      <c r="D217" s="138"/>
      <c r="E217" s="138"/>
      <c r="F217" s="138"/>
      <c r="G217" s="138"/>
    </row>
    <row r="218" customFormat="false" ht="15" hidden="false" customHeight="false" outlineLevel="0" collapsed="false">
      <c r="A218" s="14" t="s">
        <v>276</v>
      </c>
      <c r="B218" s="14" t="str">
        <f aca="false">COMUNICACIONES!A19</f>
        <v>06.02.03</v>
      </c>
      <c r="C218" s="14" t="s">
        <v>1127</v>
      </c>
      <c r="D218" s="14"/>
    </row>
    <row r="219" customFormat="false" ht="15" hidden="false" customHeight="false" outlineLevel="0" collapsed="false">
      <c r="A219" s="14" t="s">
        <v>277</v>
      </c>
      <c r="B219" s="14" t="s">
        <v>325</v>
      </c>
      <c r="C219" s="38" t="s">
        <v>279</v>
      </c>
      <c r="D219" s="54" t="n">
        <v>4</v>
      </c>
      <c r="E219" s="38" t="s">
        <v>280</v>
      </c>
      <c r="F219" s="54" t="n">
        <f aca="false">D219</f>
        <v>4</v>
      </c>
      <c r="G219" s="14" t="s">
        <v>281</v>
      </c>
      <c r="I219" s="38" t="s">
        <v>148</v>
      </c>
      <c r="J219" s="55" t="n">
        <f aca="false">J224+J227+J230</f>
        <v>2276.01</v>
      </c>
    </row>
    <row r="220" customFormat="false" ht="15" hidden="false" customHeight="false" outlineLevel="0" collapsed="false">
      <c r="A220" s="14" t="s">
        <v>282</v>
      </c>
      <c r="B220" s="14" t="s">
        <v>283</v>
      </c>
      <c r="F220" s="38" t="s">
        <v>121</v>
      </c>
      <c r="G220" s="38" t="s">
        <v>284</v>
      </c>
      <c r="H220" s="38" t="s">
        <v>285</v>
      </c>
      <c r="I220" s="38" t="s">
        <v>286</v>
      </c>
      <c r="J220" s="38" t="s">
        <v>287</v>
      </c>
    </row>
    <row r="221" customFormat="false" ht="15" hidden="false" customHeight="false" outlineLevel="0" collapsed="false">
      <c r="B221" s="56" t="s">
        <v>288</v>
      </c>
    </row>
    <row r="222" customFormat="false" ht="15" hidden="false" customHeight="false" outlineLevel="0" collapsed="false">
      <c r="B222" s="1" t="s">
        <v>675</v>
      </c>
      <c r="F222" s="57" t="s">
        <v>290</v>
      </c>
      <c r="G222" s="58" t="n">
        <v>1</v>
      </c>
      <c r="H222" s="59" t="n">
        <f aca="false">G222*8/$D$219</f>
        <v>2</v>
      </c>
      <c r="I222" s="30" t="n">
        <v>22.66</v>
      </c>
      <c r="J222" s="30" t="n">
        <f aca="false">H222*I222</f>
        <v>45.32</v>
      </c>
      <c r="K222" s="1" t="n">
        <v>47</v>
      </c>
    </row>
    <row r="223" customFormat="false" ht="15" hidden="false" customHeight="false" outlineLevel="0" collapsed="false">
      <c r="B223" s="1" t="s">
        <v>1170</v>
      </c>
      <c r="F223" s="57" t="s">
        <v>290</v>
      </c>
      <c r="G223" s="58" t="n">
        <v>1</v>
      </c>
      <c r="H223" s="59" t="n">
        <f aca="false">G223*8/$D$219</f>
        <v>2</v>
      </c>
      <c r="I223" s="1" t="n">
        <v>26.11</v>
      </c>
      <c r="J223" s="30" t="n">
        <f aca="false">H223*I223</f>
        <v>52.22</v>
      </c>
      <c r="K223" s="1" t="n">
        <v>47</v>
      </c>
    </row>
    <row r="224" customFormat="false" ht="15" hidden="false" customHeight="false" outlineLevel="0" collapsed="false">
      <c r="F224" s="57"/>
      <c r="G224" s="58"/>
      <c r="H224" s="59"/>
      <c r="J224" s="55" t="n">
        <f aca="false">ROUND(SUM(J222:J223),2)</f>
        <v>97.54</v>
      </c>
    </row>
    <row r="225" customFormat="false" ht="15" hidden="false" customHeight="false" outlineLevel="0" collapsed="false">
      <c r="B225" s="56" t="s">
        <v>652</v>
      </c>
      <c r="F225" s="57"/>
      <c r="G225" s="58"/>
      <c r="H225" s="59"/>
      <c r="I225" s="59"/>
      <c r="J225" s="30"/>
    </row>
    <row r="226" customFormat="false" ht="15" hidden="false" customHeight="false" outlineLevel="0" collapsed="false">
      <c r="B226" s="1" t="s">
        <v>1194</v>
      </c>
      <c r="F226" s="57" t="s">
        <v>148</v>
      </c>
      <c r="G226" s="58"/>
      <c r="H226" s="59" t="n">
        <v>1</v>
      </c>
      <c r="I226" s="1" t="n">
        <v>2175.54</v>
      </c>
      <c r="J226" s="30" t="n">
        <f aca="false">H226*I226</f>
        <v>2175.54</v>
      </c>
      <c r="K226" s="1" t="n">
        <v>30</v>
      </c>
    </row>
    <row r="227" customFormat="false" ht="15" hidden="false" customHeight="false" outlineLevel="0" collapsed="false">
      <c r="J227" s="55" t="n">
        <f aca="false">ROUND(SUM(J226:J226),2)</f>
        <v>2175.54</v>
      </c>
    </row>
    <row r="228" customFormat="false" ht="15" hidden="false" customHeight="false" outlineLevel="0" collapsed="false">
      <c r="B228" s="56" t="s">
        <v>308</v>
      </c>
    </row>
    <row r="229" customFormat="false" ht="15" hidden="false" customHeight="false" outlineLevel="0" collapsed="false">
      <c r="B229" s="1" t="s">
        <v>309</v>
      </c>
      <c r="F229" s="57" t="s">
        <v>310</v>
      </c>
      <c r="H229" s="59" t="n">
        <v>3</v>
      </c>
      <c r="I229" s="30" t="n">
        <f aca="false">J224</f>
        <v>97.54</v>
      </c>
      <c r="J229" s="30" t="n">
        <f aca="false">H229%*I229</f>
        <v>2.9262</v>
      </c>
      <c r="K229" s="1" t="n">
        <v>37</v>
      </c>
    </row>
    <row r="230" customFormat="false" ht="15" hidden="false" customHeight="false" outlineLevel="0" collapsed="false">
      <c r="A230" s="62"/>
      <c r="B230" s="62"/>
      <c r="C230" s="62"/>
      <c r="D230" s="62"/>
      <c r="E230" s="62"/>
      <c r="F230" s="62"/>
      <c r="G230" s="62"/>
      <c r="H230" s="62"/>
      <c r="I230" s="83"/>
      <c r="J230" s="63" t="n">
        <f aca="false">ROUND(SUM(J229),2)</f>
        <v>2.93</v>
      </c>
    </row>
    <row r="231" customFormat="false" ht="15" hidden="false" customHeight="false" outlineLevel="0" collapsed="false">
      <c r="A231" s="138"/>
      <c r="B231" s="138"/>
      <c r="C231" s="138"/>
      <c r="D231" s="138"/>
      <c r="E231" s="138"/>
      <c r="F231" s="138"/>
      <c r="G231" s="138"/>
    </row>
    <row r="232" customFormat="false" ht="15" hidden="false" customHeight="false" outlineLevel="0" collapsed="false">
      <c r="A232" s="14" t="s">
        <v>276</v>
      </c>
      <c r="B232" s="14" t="str">
        <f aca="false">COMUNICACIONES!A20</f>
        <v>06.02.04</v>
      </c>
      <c r="C232" s="14" t="s">
        <v>1127</v>
      </c>
      <c r="D232" s="14"/>
    </row>
    <row r="233" customFormat="false" ht="15" hidden="false" customHeight="false" outlineLevel="0" collapsed="false">
      <c r="A233" s="14" t="s">
        <v>277</v>
      </c>
      <c r="B233" s="14" t="s">
        <v>325</v>
      </c>
      <c r="C233" s="38" t="s">
        <v>279</v>
      </c>
      <c r="D233" s="54" t="n">
        <v>4</v>
      </c>
      <c r="E233" s="38" t="s">
        <v>280</v>
      </c>
      <c r="F233" s="54" t="n">
        <f aca="false">D233</f>
        <v>4</v>
      </c>
      <c r="G233" s="14" t="s">
        <v>281</v>
      </c>
      <c r="I233" s="38" t="s">
        <v>148</v>
      </c>
      <c r="J233" s="55" t="n">
        <f aca="false">J238+J241+J244</f>
        <v>460.54</v>
      </c>
    </row>
    <row r="234" customFormat="false" ht="15" hidden="false" customHeight="false" outlineLevel="0" collapsed="false">
      <c r="A234" s="14" t="s">
        <v>282</v>
      </c>
      <c r="B234" s="14" t="s">
        <v>283</v>
      </c>
      <c r="F234" s="38" t="s">
        <v>121</v>
      </c>
      <c r="G234" s="38" t="s">
        <v>284</v>
      </c>
      <c r="H234" s="38" t="s">
        <v>285</v>
      </c>
      <c r="I234" s="38" t="s">
        <v>286</v>
      </c>
      <c r="J234" s="38" t="s">
        <v>287</v>
      </c>
    </row>
    <row r="235" customFormat="false" ht="15" hidden="false" customHeight="false" outlineLevel="0" collapsed="false">
      <c r="B235" s="56" t="s">
        <v>288</v>
      </c>
    </row>
    <row r="236" customFormat="false" ht="15" hidden="false" customHeight="false" outlineLevel="0" collapsed="false">
      <c r="B236" s="1" t="s">
        <v>675</v>
      </c>
      <c r="F236" s="57" t="s">
        <v>290</v>
      </c>
      <c r="G236" s="58" t="n">
        <v>1</v>
      </c>
      <c r="H236" s="59" t="n">
        <f aca="false">G236*8/$D$233</f>
        <v>2</v>
      </c>
      <c r="I236" s="30" t="n">
        <v>22.66</v>
      </c>
      <c r="J236" s="30" t="n">
        <f aca="false">H236*I236</f>
        <v>45.32</v>
      </c>
      <c r="K236" s="1" t="n">
        <v>47</v>
      </c>
    </row>
    <row r="237" customFormat="false" ht="15" hidden="false" customHeight="false" outlineLevel="0" collapsed="false">
      <c r="B237" s="1" t="s">
        <v>1170</v>
      </c>
      <c r="F237" s="57" t="s">
        <v>290</v>
      </c>
      <c r="G237" s="58" t="n">
        <v>1</v>
      </c>
      <c r="H237" s="59" t="n">
        <f aca="false">G237*8/$D$233</f>
        <v>2</v>
      </c>
      <c r="I237" s="1" t="n">
        <v>26.11</v>
      </c>
      <c r="J237" s="30" t="n">
        <f aca="false">H237*I237</f>
        <v>52.22</v>
      </c>
      <c r="K237" s="1" t="n">
        <v>47</v>
      </c>
    </row>
    <row r="238" customFormat="false" ht="15" hidden="false" customHeight="false" outlineLevel="0" collapsed="false">
      <c r="F238" s="57"/>
      <c r="G238" s="58"/>
      <c r="H238" s="59"/>
      <c r="J238" s="55" t="n">
        <f aca="false">ROUND(SUM(J236:J237),2)</f>
        <v>97.54</v>
      </c>
    </row>
    <row r="239" customFormat="false" ht="15" hidden="false" customHeight="false" outlineLevel="0" collapsed="false">
      <c r="B239" s="56" t="s">
        <v>652</v>
      </c>
      <c r="F239" s="57"/>
      <c r="G239" s="58"/>
      <c r="H239" s="59"/>
      <c r="I239" s="59"/>
      <c r="J239" s="30"/>
    </row>
    <row r="240" customFormat="false" ht="15" hidden="false" customHeight="false" outlineLevel="0" collapsed="false">
      <c r="B240" s="1" t="s">
        <v>1195</v>
      </c>
      <c r="F240" s="57" t="s">
        <v>148</v>
      </c>
      <c r="G240" s="58"/>
      <c r="H240" s="59" t="n">
        <v>1</v>
      </c>
      <c r="I240" s="1" t="n">
        <v>360.07</v>
      </c>
      <c r="J240" s="30" t="n">
        <f aca="false">H240*I240</f>
        <v>360.07</v>
      </c>
      <c r="K240" s="1" t="n">
        <v>30</v>
      </c>
    </row>
    <row r="241" customFormat="false" ht="15" hidden="false" customHeight="false" outlineLevel="0" collapsed="false">
      <c r="J241" s="55" t="n">
        <f aca="false">ROUND(SUM(J240:J240),2)</f>
        <v>360.07</v>
      </c>
    </row>
    <row r="242" customFormat="false" ht="15" hidden="false" customHeight="false" outlineLevel="0" collapsed="false">
      <c r="B242" s="56" t="s">
        <v>308</v>
      </c>
    </row>
    <row r="243" customFormat="false" ht="15" hidden="false" customHeight="false" outlineLevel="0" collapsed="false">
      <c r="B243" s="1" t="s">
        <v>309</v>
      </c>
      <c r="F243" s="57" t="s">
        <v>310</v>
      </c>
      <c r="H243" s="59" t="n">
        <v>3</v>
      </c>
      <c r="I243" s="30" t="n">
        <f aca="false">J238</f>
        <v>97.54</v>
      </c>
      <c r="J243" s="30" t="n">
        <f aca="false">H243%*I243</f>
        <v>2.9262</v>
      </c>
      <c r="K243" s="1" t="n">
        <v>37</v>
      </c>
    </row>
    <row r="244" customFormat="false" ht="15" hidden="false" customHeight="false" outlineLevel="0" collapsed="false">
      <c r="A244" s="62"/>
      <c r="B244" s="62"/>
      <c r="C244" s="62"/>
      <c r="D244" s="62"/>
      <c r="E244" s="62"/>
      <c r="F244" s="62"/>
      <c r="G244" s="62"/>
      <c r="H244" s="62"/>
      <c r="I244" s="83"/>
      <c r="J244" s="63" t="n">
        <f aca="false">ROUND(SUM(J243),2)</f>
        <v>2.93</v>
      </c>
    </row>
    <row r="245" customFormat="false" ht="15" hidden="false" customHeight="false" outlineLevel="0" collapsed="false">
      <c r="A245" s="138"/>
      <c r="B245" s="138"/>
      <c r="C245" s="138"/>
      <c r="D245" s="138"/>
      <c r="E245" s="138"/>
      <c r="F245" s="138"/>
      <c r="G245" s="139"/>
    </row>
    <row r="246" customFormat="false" ht="15" hidden="false" customHeight="false" outlineLevel="0" collapsed="false">
      <c r="A246" s="14" t="s">
        <v>276</v>
      </c>
      <c r="B246" s="14" t="str">
        <f aca="false">COMUNICACIONES!A21</f>
        <v>06.02.05</v>
      </c>
      <c r="C246" s="14" t="s">
        <v>1131</v>
      </c>
      <c r="D246" s="14"/>
    </row>
    <row r="247" customFormat="false" ht="15" hidden="false" customHeight="false" outlineLevel="0" collapsed="false">
      <c r="A247" s="14" t="s">
        <v>277</v>
      </c>
      <c r="B247" s="14" t="s">
        <v>325</v>
      </c>
      <c r="C247" s="38" t="s">
        <v>279</v>
      </c>
      <c r="D247" s="54" t="n">
        <v>3</v>
      </c>
      <c r="E247" s="38" t="s">
        <v>280</v>
      </c>
      <c r="F247" s="54" t="n">
        <f aca="false">D247</f>
        <v>3</v>
      </c>
      <c r="G247" s="14" t="s">
        <v>281</v>
      </c>
      <c r="I247" s="38" t="s">
        <v>148</v>
      </c>
      <c r="J247" s="55" t="n">
        <f aca="false">J252+J255+J258</f>
        <v>15436</v>
      </c>
    </row>
    <row r="248" customFormat="false" ht="15" hidden="false" customHeight="false" outlineLevel="0" collapsed="false">
      <c r="A248" s="14" t="s">
        <v>282</v>
      </c>
      <c r="B248" s="14" t="s">
        <v>283</v>
      </c>
      <c r="F248" s="38" t="s">
        <v>121</v>
      </c>
      <c r="G248" s="38" t="s">
        <v>284</v>
      </c>
      <c r="H248" s="38" t="s">
        <v>285</v>
      </c>
      <c r="I248" s="38" t="s">
        <v>286</v>
      </c>
      <c r="J248" s="38" t="s">
        <v>287</v>
      </c>
      <c r="N248" s="14"/>
    </row>
    <row r="249" customFormat="false" ht="15" hidden="false" customHeight="false" outlineLevel="0" collapsed="false">
      <c r="B249" s="56" t="s">
        <v>288</v>
      </c>
      <c r="N249" s="14"/>
    </row>
    <row r="250" customFormat="false" ht="15" hidden="false" customHeight="false" outlineLevel="0" collapsed="false">
      <c r="B250" s="1" t="s">
        <v>675</v>
      </c>
      <c r="F250" s="57" t="s">
        <v>290</v>
      </c>
      <c r="G250" s="58" t="n">
        <v>1</v>
      </c>
      <c r="H250" s="59" t="n">
        <f aca="false">G250*8/$D$247</f>
        <v>2.66666666666667</v>
      </c>
      <c r="I250" s="30" t="n">
        <v>22.66</v>
      </c>
      <c r="J250" s="30" t="n">
        <f aca="false">H250*I250</f>
        <v>60.4266666666667</v>
      </c>
      <c r="K250" s="1" t="n">
        <v>47</v>
      </c>
      <c r="N250" s="14"/>
    </row>
    <row r="251" customFormat="false" ht="15" hidden="false" customHeight="false" outlineLevel="0" collapsed="false">
      <c r="B251" s="1" t="s">
        <v>1170</v>
      </c>
      <c r="F251" s="57" t="s">
        <v>290</v>
      </c>
      <c r="G251" s="58" t="n">
        <v>1</v>
      </c>
      <c r="H251" s="59" t="n">
        <f aca="false">G251*8/$D$247</f>
        <v>2.66666666666667</v>
      </c>
      <c r="I251" s="1" t="n">
        <v>26.11</v>
      </c>
      <c r="J251" s="30" t="n">
        <f aca="false">H251*I251</f>
        <v>69.6266666666667</v>
      </c>
      <c r="K251" s="1" t="n">
        <v>47</v>
      </c>
      <c r="N251" s="14"/>
    </row>
    <row r="252" customFormat="false" ht="15" hidden="false" customHeight="false" outlineLevel="0" collapsed="false">
      <c r="F252" s="57"/>
      <c r="G252" s="58"/>
      <c r="H252" s="59"/>
      <c r="J252" s="55" t="n">
        <f aca="false">ROUND(SUM(J250:J251),2)</f>
        <v>130.05</v>
      </c>
      <c r="N252" s="14"/>
    </row>
    <row r="253" customFormat="false" ht="15" hidden="false" customHeight="false" outlineLevel="0" collapsed="false">
      <c r="B253" s="56" t="s">
        <v>652</v>
      </c>
      <c r="F253" s="57"/>
      <c r="G253" s="58"/>
      <c r="H253" s="59"/>
      <c r="I253" s="59"/>
      <c r="J253" s="30"/>
    </row>
    <row r="254" customFormat="false" ht="15" hidden="false" customHeight="false" outlineLevel="0" collapsed="false">
      <c r="B254" s="1" t="s">
        <v>1196</v>
      </c>
      <c r="F254" s="57" t="s">
        <v>148</v>
      </c>
      <c r="G254" s="58"/>
      <c r="H254" s="59" t="n">
        <v>1</v>
      </c>
      <c r="I254" s="1" t="n">
        <v>15302.05</v>
      </c>
      <c r="J254" s="30" t="n">
        <f aca="false">H254*I254</f>
        <v>15302.05</v>
      </c>
      <c r="K254" s="1" t="n">
        <v>30</v>
      </c>
    </row>
    <row r="255" customFormat="false" ht="15" hidden="false" customHeight="false" outlineLevel="0" collapsed="false">
      <c r="J255" s="55" t="n">
        <f aca="false">ROUND(SUM(J254:J254),2)</f>
        <v>15302.05</v>
      </c>
    </row>
    <row r="256" customFormat="false" ht="15" hidden="false" customHeight="false" outlineLevel="0" collapsed="false">
      <c r="B256" s="56" t="s">
        <v>308</v>
      </c>
    </row>
    <row r="257" customFormat="false" ht="15" hidden="false" customHeight="false" outlineLevel="0" collapsed="false">
      <c r="B257" s="1" t="s">
        <v>309</v>
      </c>
      <c r="F257" s="57" t="s">
        <v>310</v>
      </c>
      <c r="H257" s="59" t="n">
        <v>3</v>
      </c>
      <c r="I257" s="30" t="n">
        <f aca="false">J252</f>
        <v>130.05</v>
      </c>
      <c r="J257" s="30" t="n">
        <f aca="false">H257%*I257</f>
        <v>3.9015</v>
      </c>
      <c r="K257" s="1" t="n">
        <v>37</v>
      </c>
    </row>
    <row r="258" customFormat="false" ht="15" hidden="false" customHeight="false" outlineLevel="0" collapsed="false">
      <c r="A258" s="62"/>
      <c r="B258" s="62"/>
      <c r="C258" s="62"/>
      <c r="D258" s="62"/>
      <c r="E258" s="62"/>
      <c r="F258" s="62"/>
      <c r="G258" s="62"/>
      <c r="H258" s="62"/>
      <c r="I258" s="83"/>
      <c r="J258" s="63" t="n">
        <f aca="false">ROUND(SUM(J257),2)</f>
        <v>3.9</v>
      </c>
    </row>
    <row r="259" customFormat="false" ht="15" hidden="false" customHeight="false" outlineLevel="0" collapsed="false">
      <c r="A259" s="138"/>
      <c r="B259" s="138"/>
      <c r="C259" s="138"/>
      <c r="D259" s="138"/>
      <c r="E259" s="138"/>
      <c r="F259" s="138"/>
      <c r="G259" s="138"/>
    </row>
    <row r="260" customFormat="false" ht="15" hidden="false" customHeight="false" outlineLevel="0" collapsed="false">
      <c r="A260" s="14" t="s">
        <v>276</v>
      </c>
      <c r="B260" s="14" t="str">
        <f aca="false">COMUNICACIONES!A22</f>
        <v>06.02.06</v>
      </c>
      <c r="C260" s="14" t="s">
        <v>1133</v>
      </c>
      <c r="D260" s="14"/>
    </row>
    <row r="261" customFormat="false" ht="15" hidden="false" customHeight="false" outlineLevel="0" collapsed="false">
      <c r="A261" s="14" t="s">
        <v>277</v>
      </c>
      <c r="B261" s="14" t="s">
        <v>325</v>
      </c>
      <c r="C261" s="38" t="s">
        <v>279</v>
      </c>
      <c r="D261" s="54" t="n">
        <v>3</v>
      </c>
      <c r="E261" s="38" t="s">
        <v>280</v>
      </c>
      <c r="F261" s="54" t="n">
        <f aca="false">D261</f>
        <v>3</v>
      </c>
      <c r="G261" s="14" t="s">
        <v>281</v>
      </c>
      <c r="I261" s="38" t="s">
        <v>148</v>
      </c>
      <c r="J261" s="55" t="n">
        <f aca="false">J266+J269+J272</f>
        <v>14367</v>
      </c>
    </row>
    <row r="262" customFormat="false" ht="15" hidden="false" customHeight="false" outlineLevel="0" collapsed="false">
      <c r="A262" s="14" t="s">
        <v>282</v>
      </c>
      <c r="B262" s="14" t="s">
        <v>283</v>
      </c>
      <c r="F262" s="38" t="s">
        <v>121</v>
      </c>
      <c r="G262" s="38" t="s">
        <v>284</v>
      </c>
      <c r="H262" s="38" t="s">
        <v>285</v>
      </c>
      <c r="I262" s="38" t="s">
        <v>286</v>
      </c>
      <c r="J262" s="38" t="s">
        <v>287</v>
      </c>
    </row>
    <row r="263" customFormat="false" ht="15" hidden="false" customHeight="false" outlineLevel="0" collapsed="false">
      <c r="B263" s="56" t="s">
        <v>288</v>
      </c>
    </row>
    <row r="264" customFormat="false" ht="15" hidden="false" customHeight="false" outlineLevel="0" collapsed="false">
      <c r="B264" s="1" t="s">
        <v>675</v>
      </c>
      <c r="F264" s="57" t="s">
        <v>290</v>
      </c>
      <c r="G264" s="58" t="n">
        <v>1</v>
      </c>
      <c r="H264" s="59" t="n">
        <f aca="false">G264*8/$D$261</f>
        <v>2.66666666666667</v>
      </c>
      <c r="I264" s="30" t="n">
        <v>22.66</v>
      </c>
      <c r="J264" s="30" t="n">
        <f aca="false">H264*I264</f>
        <v>60.4266666666667</v>
      </c>
      <c r="K264" s="1" t="n">
        <v>47</v>
      </c>
    </row>
    <row r="265" customFormat="false" ht="15" hidden="false" customHeight="false" outlineLevel="0" collapsed="false">
      <c r="B265" s="1" t="s">
        <v>1170</v>
      </c>
      <c r="F265" s="57" t="s">
        <v>290</v>
      </c>
      <c r="G265" s="58" t="n">
        <v>1</v>
      </c>
      <c r="H265" s="59" t="n">
        <f aca="false">G265*8/$D$261</f>
        <v>2.66666666666667</v>
      </c>
      <c r="I265" s="1" t="n">
        <v>26.11</v>
      </c>
      <c r="J265" s="30" t="n">
        <f aca="false">H265*I265</f>
        <v>69.6266666666667</v>
      </c>
      <c r="K265" s="1" t="n">
        <v>47</v>
      </c>
    </row>
    <row r="266" customFormat="false" ht="15" hidden="false" customHeight="false" outlineLevel="0" collapsed="false">
      <c r="F266" s="57"/>
      <c r="G266" s="58"/>
      <c r="H266" s="59"/>
      <c r="J266" s="55" t="n">
        <f aca="false">ROUND(SUM(J264:J265),2)</f>
        <v>130.05</v>
      </c>
    </row>
    <row r="267" customFormat="false" ht="15" hidden="false" customHeight="false" outlineLevel="0" collapsed="false">
      <c r="B267" s="56" t="s">
        <v>652</v>
      </c>
      <c r="F267" s="57"/>
      <c r="G267" s="58"/>
      <c r="H267" s="59"/>
      <c r="I267" s="59"/>
      <c r="J267" s="30"/>
    </row>
    <row r="268" customFormat="false" ht="15" hidden="false" customHeight="false" outlineLevel="0" collapsed="false">
      <c r="B268" s="1" t="s">
        <v>1197</v>
      </c>
      <c r="F268" s="57" t="s">
        <v>148</v>
      </c>
      <c r="G268" s="58"/>
      <c r="H268" s="59" t="n">
        <v>1</v>
      </c>
      <c r="I268" s="1" t="n">
        <v>14233.05</v>
      </c>
      <c r="J268" s="30" t="n">
        <f aca="false">H268*I268</f>
        <v>14233.05</v>
      </c>
      <c r="K268" s="1" t="n">
        <v>30</v>
      </c>
    </row>
    <row r="269" customFormat="false" ht="15" hidden="false" customHeight="false" outlineLevel="0" collapsed="false">
      <c r="J269" s="55" t="n">
        <f aca="false">ROUND(SUM(J268:J268),2)</f>
        <v>14233.05</v>
      </c>
    </row>
    <row r="270" customFormat="false" ht="15" hidden="false" customHeight="false" outlineLevel="0" collapsed="false">
      <c r="B270" s="56" t="s">
        <v>308</v>
      </c>
    </row>
    <row r="271" customFormat="false" ht="15" hidden="false" customHeight="false" outlineLevel="0" collapsed="false">
      <c r="B271" s="1" t="s">
        <v>309</v>
      </c>
      <c r="F271" s="57" t="s">
        <v>310</v>
      </c>
      <c r="H271" s="59" t="n">
        <v>3</v>
      </c>
      <c r="I271" s="30" t="n">
        <f aca="false">J266</f>
        <v>130.05</v>
      </c>
      <c r="J271" s="30" t="n">
        <f aca="false">H271%*I271</f>
        <v>3.9015</v>
      </c>
      <c r="K271" s="1" t="n">
        <v>37</v>
      </c>
    </row>
    <row r="272" customFormat="false" ht="15" hidden="false" customHeight="false" outlineLevel="0" collapsed="false">
      <c r="A272" s="62"/>
      <c r="B272" s="62"/>
      <c r="C272" s="62"/>
      <c r="D272" s="62"/>
      <c r="E272" s="62"/>
      <c r="F272" s="62"/>
      <c r="G272" s="62"/>
      <c r="H272" s="62"/>
      <c r="I272" s="83"/>
      <c r="J272" s="63" t="n">
        <f aca="false">ROUND(SUM(J271),2)</f>
        <v>3.9</v>
      </c>
    </row>
    <row r="273" customFormat="false" ht="15" hidden="false" customHeight="false" outlineLevel="0" collapsed="false">
      <c r="A273" s="138"/>
      <c r="B273" s="139"/>
      <c r="C273" s="138"/>
      <c r="D273" s="139"/>
      <c r="E273" s="139"/>
      <c r="F273" s="139"/>
      <c r="G273" s="139"/>
    </row>
    <row r="274" customFormat="false" ht="15" hidden="false" customHeight="false" outlineLevel="0" collapsed="false">
      <c r="A274" s="14" t="s">
        <v>276</v>
      </c>
      <c r="B274" s="14" t="str">
        <f aca="false">COMUNICACIONES!A23</f>
        <v>06.02.07</v>
      </c>
      <c r="C274" s="14" t="s">
        <v>1135</v>
      </c>
      <c r="D274" s="14"/>
    </row>
    <row r="275" customFormat="false" ht="15" hidden="false" customHeight="false" outlineLevel="0" collapsed="false">
      <c r="A275" s="14" t="s">
        <v>277</v>
      </c>
      <c r="B275" s="14" t="s">
        <v>325</v>
      </c>
      <c r="C275" s="38" t="s">
        <v>279</v>
      </c>
      <c r="D275" s="54" t="n">
        <v>4</v>
      </c>
      <c r="E275" s="38" t="s">
        <v>280</v>
      </c>
      <c r="F275" s="54" t="n">
        <f aca="false">D275</f>
        <v>4</v>
      </c>
      <c r="G275" s="14" t="s">
        <v>281</v>
      </c>
      <c r="I275" s="38" t="s">
        <v>148</v>
      </c>
      <c r="J275" s="55" t="n">
        <f aca="false">J280+J283+J286</f>
        <v>1343.81</v>
      </c>
    </row>
    <row r="276" customFormat="false" ht="15" hidden="false" customHeight="false" outlineLevel="0" collapsed="false">
      <c r="A276" s="14" t="s">
        <v>282</v>
      </c>
      <c r="B276" s="14" t="s">
        <v>283</v>
      </c>
      <c r="F276" s="38" t="s">
        <v>121</v>
      </c>
      <c r="G276" s="38" t="s">
        <v>284</v>
      </c>
      <c r="H276" s="38" t="s">
        <v>285</v>
      </c>
      <c r="I276" s="38" t="s">
        <v>286</v>
      </c>
      <c r="J276" s="38" t="s">
        <v>287</v>
      </c>
    </row>
    <row r="277" customFormat="false" ht="15" hidden="false" customHeight="false" outlineLevel="0" collapsed="false">
      <c r="B277" s="56" t="s">
        <v>288</v>
      </c>
    </row>
    <row r="278" customFormat="false" ht="15" hidden="false" customHeight="false" outlineLevel="0" collapsed="false">
      <c r="B278" s="1" t="s">
        <v>675</v>
      </c>
      <c r="F278" s="57" t="s">
        <v>290</v>
      </c>
      <c r="G278" s="58" t="n">
        <v>1</v>
      </c>
      <c r="H278" s="59" t="n">
        <f aca="false">G278*8/$D$275</f>
        <v>2</v>
      </c>
      <c r="I278" s="30" t="n">
        <v>22.66</v>
      </c>
      <c r="J278" s="30" t="n">
        <f aca="false">H278*I278</f>
        <v>45.32</v>
      </c>
      <c r="K278" s="1" t="n">
        <v>47</v>
      </c>
    </row>
    <row r="279" customFormat="false" ht="15" hidden="false" customHeight="false" outlineLevel="0" collapsed="false">
      <c r="B279" s="1" t="s">
        <v>1170</v>
      </c>
      <c r="F279" s="57" t="s">
        <v>290</v>
      </c>
      <c r="G279" s="58" t="n">
        <v>1</v>
      </c>
      <c r="H279" s="59" t="n">
        <f aca="false">G279*8/$D$275</f>
        <v>2</v>
      </c>
      <c r="I279" s="1" t="n">
        <v>26.11</v>
      </c>
      <c r="J279" s="30" t="n">
        <f aca="false">H279*I279</f>
        <v>52.22</v>
      </c>
      <c r="K279" s="1" t="n">
        <v>47</v>
      </c>
    </row>
    <row r="280" customFormat="false" ht="15" hidden="false" customHeight="false" outlineLevel="0" collapsed="false">
      <c r="F280" s="57"/>
      <c r="G280" s="58"/>
      <c r="H280" s="59"/>
      <c r="J280" s="55" t="n">
        <f aca="false">ROUND(SUM(J278:J279),2)</f>
        <v>97.54</v>
      </c>
    </row>
    <row r="281" customFormat="false" ht="15" hidden="false" customHeight="false" outlineLevel="0" collapsed="false">
      <c r="B281" s="56" t="s">
        <v>652</v>
      </c>
      <c r="F281" s="57"/>
      <c r="G281" s="58"/>
      <c r="H281" s="59"/>
      <c r="I281" s="59"/>
      <c r="J281" s="30"/>
    </row>
    <row r="282" customFormat="false" ht="15" hidden="false" customHeight="false" outlineLevel="0" collapsed="false">
      <c r="B282" s="1" t="s">
        <v>1198</v>
      </c>
      <c r="F282" s="57" t="s">
        <v>148</v>
      </c>
      <c r="G282" s="58"/>
      <c r="H282" s="59" t="n">
        <v>1</v>
      </c>
      <c r="I282" s="1" t="n">
        <v>1243.34</v>
      </c>
      <c r="J282" s="30" t="n">
        <f aca="false">H282*I282</f>
        <v>1243.34</v>
      </c>
      <c r="K282" s="1" t="n">
        <v>30</v>
      </c>
    </row>
    <row r="283" customFormat="false" ht="15" hidden="false" customHeight="false" outlineLevel="0" collapsed="false">
      <c r="J283" s="55" t="n">
        <f aca="false">ROUND(SUM(J282:J282),2)</f>
        <v>1243.34</v>
      </c>
    </row>
    <row r="284" customFormat="false" ht="15" hidden="false" customHeight="false" outlineLevel="0" collapsed="false">
      <c r="B284" s="56" t="s">
        <v>308</v>
      </c>
    </row>
    <row r="285" customFormat="false" ht="15" hidden="false" customHeight="false" outlineLevel="0" collapsed="false">
      <c r="B285" s="1" t="s">
        <v>309</v>
      </c>
      <c r="F285" s="57" t="s">
        <v>310</v>
      </c>
      <c r="H285" s="59" t="n">
        <v>3</v>
      </c>
      <c r="I285" s="30" t="n">
        <f aca="false">J280</f>
        <v>97.54</v>
      </c>
      <c r="J285" s="30" t="n">
        <f aca="false">H285%*I285</f>
        <v>2.9262</v>
      </c>
      <c r="K285" s="1" t="n">
        <v>37</v>
      </c>
    </row>
    <row r="286" customFormat="false" ht="15" hidden="false" customHeight="false" outlineLevel="0" collapsed="false">
      <c r="A286" s="62"/>
      <c r="B286" s="62"/>
      <c r="C286" s="62"/>
      <c r="D286" s="62"/>
      <c r="E286" s="62"/>
      <c r="F286" s="62"/>
      <c r="G286" s="62"/>
      <c r="H286" s="62"/>
      <c r="I286" s="83"/>
      <c r="J286" s="63" t="n">
        <f aca="false">ROUND(SUM(J285),2)</f>
        <v>2.93</v>
      </c>
    </row>
    <row r="287" customFormat="false" ht="15" hidden="false" customHeight="false" outlineLevel="0" collapsed="false">
      <c r="A287" s="134"/>
      <c r="B287" s="139"/>
      <c r="C287" s="138"/>
      <c r="D287" s="138"/>
      <c r="E287" s="134"/>
      <c r="F287" s="140"/>
      <c r="G287" s="138"/>
    </row>
    <row r="288" customFormat="false" ht="15" hidden="false" customHeight="false" outlineLevel="0" collapsed="false">
      <c r="A288" s="14" t="s">
        <v>276</v>
      </c>
      <c r="B288" s="14" t="str">
        <f aca="false">COMUNICACIONES!A24</f>
        <v>06.02.08</v>
      </c>
      <c r="C288" s="14" t="s">
        <v>1137</v>
      </c>
      <c r="D288" s="14"/>
    </row>
    <row r="289" customFormat="false" ht="15" hidden="false" customHeight="false" outlineLevel="0" collapsed="false">
      <c r="A289" s="14" t="s">
        <v>277</v>
      </c>
      <c r="B289" s="14" t="s">
        <v>325</v>
      </c>
      <c r="C289" s="38" t="s">
        <v>279</v>
      </c>
      <c r="D289" s="54" t="n">
        <v>4</v>
      </c>
      <c r="E289" s="38" t="s">
        <v>280</v>
      </c>
      <c r="F289" s="54" t="n">
        <f aca="false">D289</f>
        <v>4</v>
      </c>
      <c r="G289" s="14" t="s">
        <v>281</v>
      </c>
      <c r="I289" s="38" t="s">
        <v>148</v>
      </c>
      <c r="J289" s="55" t="n">
        <f aca="false">J294+J297+J300</f>
        <v>456.64</v>
      </c>
    </row>
    <row r="290" customFormat="false" ht="15" hidden="false" customHeight="false" outlineLevel="0" collapsed="false">
      <c r="A290" s="14" t="s">
        <v>282</v>
      </c>
      <c r="B290" s="14" t="s">
        <v>283</v>
      </c>
      <c r="F290" s="38" t="s">
        <v>121</v>
      </c>
      <c r="G290" s="38" t="s">
        <v>284</v>
      </c>
      <c r="H290" s="38" t="s">
        <v>285</v>
      </c>
      <c r="I290" s="38" t="s">
        <v>286</v>
      </c>
      <c r="J290" s="38" t="s">
        <v>287</v>
      </c>
    </row>
    <row r="291" customFormat="false" ht="15" hidden="false" customHeight="false" outlineLevel="0" collapsed="false">
      <c r="B291" s="56" t="s">
        <v>288</v>
      </c>
    </row>
    <row r="292" customFormat="false" ht="15" hidden="false" customHeight="false" outlineLevel="0" collapsed="false">
      <c r="B292" s="1" t="s">
        <v>675</v>
      </c>
      <c r="F292" s="57" t="s">
        <v>290</v>
      </c>
      <c r="G292" s="58" t="n">
        <v>1</v>
      </c>
      <c r="H292" s="59" t="n">
        <f aca="false">G292*8/$D$289</f>
        <v>2</v>
      </c>
      <c r="I292" s="30" t="n">
        <v>22.66</v>
      </c>
      <c r="J292" s="30" t="n">
        <f aca="false">H292*I292</f>
        <v>45.32</v>
      </c>
      <c r="K292" s="1" t="n">
        <v>47</v>
      </c>
    </row>
    <row r="293" customFormat="false" ht="15" hidden="false" customHeight="false" outlineLevel="0" collapsed="false">
      <c r="B293" s="1" t="s">
        <v>1170</v>
      </c>
      <c r="F293" s="57" t="s">
        <v>290</v>
      </c>
      <c r="G293" s="58" t="n">
        <v>1</v>
      </c>
      <c r="H293" s="59" t="n">
        <f aca="false">G293*8/$D$289</f>
        <v>2</v>
      </c>
      <c r="I293" s="1" t="n">
        <v>26.11</v>
      </c>
      <c r="J293" s="30" t="n">
        <f aca="false">H293*I293</f>
        <v>52.22</v>
      </c>
      <c r="K293" s="1" t="n">
        <v>47</v>
      </c>
    </row>
    <row r="294" customFormat="false" ht="15" hidden="false" customHeight="false" outlineLevel="0" collapsed="false">
      <c r="F294" s="57"/>
      <c r="G294" s="58"/>
      <c r="H294" s="59"/>
      <c r="J294" s="55" t="n">
        <f aca="false">ROUND(SUM(J292:J293),2)</f>
        <v>97.54</v>
      </c>
    </row>
    <row r="295" customFormat="false" ht="15" hidden="false" customHeight="false" outlineLevel="0" collapsed="false">
      <c r="B295" s="56" t="s">
        <v>652</v>
      </c>
      <c r="F295" s="57"/>
      <c r="G295" s="58"/>
      <c r="H295" s="59"/>
      <c r="I295" s="59"/>
      <c r="J295" s="30"/>
    </row>
    <row r="296" customFormat="false" ht="15" hidden="false" customHeight="false" outlineLevel="0" collapsed="false">
      <c r="B296" s="1" t="s">
        <v>1199</v>
      </c>
      <c r="F296" s="57" t="s">
        <v>148</v>
      </c>
      <c r="G296" s="58"/>
      <c r="H296" s="59" t="n">
        <v>1</v>
      </c>
      <c r="I296" s="1" t="n">
        <v>356.17</v>
      </c>
      <c r="J296" s="30" t="n">
        <f aca="false">H296*I296</f>
        <v>356.17</v>
      </c>
      <c r="K296" s="1" t="n">
        <v>30</v>
      </c>
    </row>
    <row r="297" customFormat="false" ht="15" hidden="false" customHeight="false" outlineLevel="0" collapsed="false">
      <c r="J297" s="55" t="n">
        <f aca="false">ROUND(SUM(J296:J296),2)</f>
        <v>356.17</v>
      </c>
    </row>
    <row r="298" customFormat="false" ht="15" hidden="false" customHeight="false" outlineLevel="0" collapsed="false">
      <c r="B298" s="56" t="s">
        <v>308</v>
      </c>
    </row>
    <row r="299" customFormat="false" ht="15" hidden="false" customHeight="false" outlineLevel="0" collapsed="false">
      <c r="B299" s="1" t="s">
        <v>309</v>
      </c>
      <c r="F299" s="57" t="s">
        <v>310</v>
      </c>
      <c r="H299" s="59" t="n">
        <v>3</v>
      </c>
      <c r="I299" s="30" t="n">
        <f aca="false">J294</f>
        <v>97.54</v>
      </c>
      <c r="J299" s="30" t="n">
        <f aca="false">H299%*I299</f>
        <v>2.9262</v>
      </c>
      <c r="K299" s="1" t="n">
        <v>37</v>
      </c>
    </row>
    <row r="300" customFormat="false" ht="15" hidden="false" customHeight="false" outlineLevel="0" collapsed="false">
      <c r="A300" s="62"/>
      <c r="B300" s="62"/>
      <c r="C300" s="62"/>
      <c r="D300" s="62"/>
      <c r="E300" s="62"/>
      <c r="F300" s="62"/>
      <c r="G300" s="62"/>
      <c r="H300" s="62"/>
      <c r="I300" s="83"/>
      <c r="J300" s="63" t="n">
        <f aca="false">ROUND(SUM(J299),2)</f>
        <v>2.93</v>
      </c>
    </row>
    <row r="301" customFormat="false" ht="15" hidden="false" customHeight="false" outlineLevel="0" collapsed="false">
      <c r="A301" s="134"/>
      <c r="B301" s="134"/>
      <c r="C301" s="138"/>
      <c r="D301" s="138"/>
      <c r="E301" s="134"/>
      <c r="F301" s="141"/>
      <c r="G301" s="134"/>
    </row>
    <row r="302" customFormat="false" ht="15" hidden="false" customHeight="false" outlineLevel="0" collapsed="false">
      <c r="A302" s="14" t="s">
        <v>276</v>
      </c>
      <c r="B302" s="14" t="str">
        <f aca="false">COMUNICACIONES!A25</f>
        <v>06.02.09</v>
      </c>
      <c r="C302" s="14" t="s">
        <v>1139</v>
      </c>
      <c r="D302" s="14"/>
    </row>
    <row r="303" customFormat="false" ht="15" hidden="false" customHeight="false" outlineLevel="0" collapsed="false">
      <c r="A303" s="14" t="s">
        <v>277</v>
      </c>
      <c r="B303" s="14" t="s">
        <v>325</v>
      </c>
      <c r="C303" s="38" t="s">
        <v>279</v>
      </c>
      <c r="D303" s="54" t="n">
        <v>4</v>
      </c>
      <c r="E303" s="38" t="s">
        <v>280</v>
      </c>
      <c r="F303" s="54" t="n">
        <f aca="false">D303</f>
        <v>4</v>
      </c>
      <c r="G303" s="14" t="s">
        <v>281</v>
      </c>
      <c r="I303" s="38" t="s">
        <v>148</v>
      </c>
      <c r="J303" s="55" t="n">
        <f aca="false">J308+J311+J315</f>
        <v>168.56</v>
      </c>
    </row>
    <row r="304" customFormat="false" ht="15" hidden="false" customHeight="false" outlineLevel="0" collapsed="false">
      <c r="A304" s="14" t="s">
        <v>282</v>
      </c>
      <c r="B304" s="14" t="s">
        <v>283</v>
      </c>
      <c r="F304" s="38" t="s">
        <v>121</v>
      </c>
      <c r="G304" s="38" t="s">
        <v>284</v>
      </c>
      <c r="H304" s="38" t="s">
        <v>285</v>
      </c>
      <c r="I304" s="38" t="s">
        <v>286</v>
      </c>
      <c r="J304" s="38" t="s">
        <v>287</v>
      </c>
    </row>
    <row r="305" customFormat="false" ht="15" hidden="false" customHeight="false" outlineLevel="0" collapsed="false">
      <c r="B305" s="56" t="s">
        <v>288</v>
      </c>
    </row>
    <row r="306" customFormat="false" ht="15" hidden="false" customHeight="false" outlineLevel="0" collapsed="false">
      <c r="B306" s="1" t="s">
        <v>675</v>
      </c>
      <c r="F306" s="57" t="s">
        <v>290</v>
      </c>
      <c r="G306" s="58" t="n">
        <v>1</v>
      </c>
      <c r="H306" s="59" t="n">
        <f aca="false">G306*8/$D$303</f>
        <v>2</v>
      </c>
      <c r="I306" s="30" t="n">
        <v>22.66</v>
      </c>
      <c r="J306" s="30" t="n">
        <f aca="false">H306*I306</f>
        <v>45.32</v>
      </c>
      <c r="K306" s="1" t="n">
        <v>47</v>
      </c>
    </row>
    <row r="307" customFormat="false" ht="15" hidden="false" customHeight="false" outlineLevel="0" collapsed="false">
      <c r="B307" s="1" t="s">
        <v>1170</v>
      </c>
      <c r="F307" s="57" t="s">
        <v>290</v>
      </c>
      <c r="G307" s="58" t="n">
        <v>1</v>
      </c>
      <c r="H307" s="59" t="n">
        <f aca="false">G307*8/$D$303</f>
        <v>2</v>
      </c>
      <c r="I307" s="1" t="n">
        <v>26.11</v>
      </c>
      <c r="J307" s="30" t="n">
        <f aca="false">H307*I307</f>
        <v>52.22</v>
      </c>
      <c r="K307" s="1" t="n">
        <v>47</v>
      </c>
    </row>
    <row r="308" customFormat="false" ht="15" hidden="false" customHeight="false" outlineLevel="0" collapsed="false">
      <c r="F308" s="57"/>
      <c r="G308" s="58"/>
      <c r="H308" s="59"/>
      <c r="J308" s="55" t="n">
        <f aca="false">ROUND(SUM(J306:J307),2)</f>
        <v>97.54</v>
      </c>
    </row>
    <row r="309" customFormat="false" ht="15" hidden="false" customHeight="false" outlineLevel="0" collapsed="false">
      <c r="B309" s="56" t="s">
        <v>652</v>
      </c>
      <c r="F309" s="57"/>
      <c r="G309" s="58"/>
      <c r="H309" s="59"/>
      <c r="I309" s="59"/>
      <c r="J309" s="30"/>
    </row>
    <row r="310" customFormat="false" ht="15" hidden="false" customHeight="false" outlineLevel="0" collapsed="false">
      <c r="B310" s="1" t="s">
        <v>1200</v>
      </c>
      <c r="F310" s="57" t="s">
        <v>148</v>
      </c>
      <c r="G310" s="58"/>
      <c r="H310" s="59" t="n">
        <v>1</v>
      </c>
      <c r="I310" s="1" t="n">
        <v>47.41</v>
      </c>
      <c r="J310" s="30" t="n">
        <f aca="false">H310*I310</f>
        <v>47.41</v>
      </c>
      <c r="K310" s="1" t="n">
        <v>30</v>
      </c>
    </row>
    <row r="311" customFormat="false" ht="15" hidden="false" customHeight="false" outlineLevel="0" collapsed="false">
      <c r="J311" s="55" t="n">
        <f aca="false">ROUND(SUM(J310:J310),2)</f>
        <v>47.41</v>
      </c>
    </row>
    <row r="312" customFormat="false" ht="15" hidden="false" customHeight="false" outlineLevel="0" collapsed="false">
      <c r="B312" s="56" t="s">
        <v>308</v>
      </c>
    </row>
    <row r="313" customFormat="false" ht="15" hidden="false" customHeight="false" outlineLevel="0" collapsed="false">
      <c r="B313" s="1" t="s">
        <v>309</v>
      </c>
      <c r="F313" s="57" t="s">
        <v>310</v>
      </c>
      <c r="H313" s="59" t="n">
        <v>3</v>
      </c>
      <c r="I313" s="30" t="n">
        <f aca="false">J308</f>
        <v>97.54</v>
      </c>
      <c r="J313" s="30" t="n">
        <f aca="false">H313%*I313</f>
        <v>2.9262</v>
      </c>
      <c r="K313" s="1" t="n">
        <v>37</v>
      </c>
    </row>
    <row r="314" customFormat="false" ht="15" hidden="false" customHeight="false" outlineLevel="0" collapsed="false">
      <c r="B314" s="1" t="s">
        <v>862</v>
      </c>
      <c r="F314" s="57" t="s">
        <v>863</v>
      </c>
      <c r="G314" s="58" t="n">
        <v>1</v>
      </c>
      <c r="H314" s="59" t="n">
        <f aca="false">G314*8/$D$303</f>
        <v>2</v>
      </c>
      <c r="I314" s="71" t="n">
        <v>10.34</v>
      </c>
      <c r="J314" s="30" t="n">
        <f aca="false">H314*I314</f>
        <v>20.68</v>
      </c>
      <c r="K314" s="1" t="n">
        <v>39</v>
      </c>
    </row>
    <row r="315" customFormat="false" ht="15" hidden="false" customHeight="false" outlineLevel="0" collapsed="false">
      <c r="A315" s="62"/>
      <c r="B315" s="62"/>
      <c r="C315" s="62"/>
      <c r="D315" s="62"/>
      <c r="E315" s="62"/>
      <c r="F315" s="62"/>
      <c r="G315" s="62"/>
      <c r="H315" s="62"/>
      <c r="I315" s="83"/>
      <c r="J315" s="63" t="n">
        <f aca="false">ROUND(SUM(J313:J314),2)</f>
        <v>23.61</v>
      </c>
    </row>
    <row r="316" customFormat="false" ht="15" hidden="false" customHeight="false" outlineLevel="0" collapsed="false">
      <c r="A316" s="142"/>
      <c r="B316" s="15"/>
      <c r="C316" s="15"/>
      <c r="D316" s="15"/>
      <c r="E316" s="15"/>
      <c r="F316" s="143"/>
      <c r="G316" s="15"/>
      <c r="H316" s="144"/>
      <c r="I316" s="145"/>
      <c r="J316" s="145"/>
    </row>
    <row r="317" customFormat="false" ht="15" hidden="false" customHeight="false" outlineLevel="0" collapsed="false">
      <c r="A317" s="2" t="s">
        <v>276</v>
      </c>
      <c r="B317" s="14" t="str">
        <f aca="false">COMUNICACIONES!A26</f>
        <v>06.02.10</v>
      </c>
      <c r="C317" s="2" t="s">
        <v>1141</v>
      </c>
      <c r="D317" s="2"/>
      <c r="E317" s="122"/>
      <c r="F317" s="122"/>
      <c r="G317" s="122"/>
      <c r="H317" s="122"/>
      <c r="I317" s="122"/>
      <c r="J317" s="122"/>
    </row>
    <row r="318" customFormat="false" ht="15" hidden="false" customHeight="false" outlineLevel="0" collapsed="false">
      <c r="A318" s="2" t="s">
        <v>277</v>
      </c>
      <c r="B318" s="2" t="s">
        <v>325</v>
      </c>
      <c r="C318" s="146" t="s">
        <v>279</v>
      </c>
      <c r="D318" s="147" t="n">
        <v>5</v>
      </c>
      <c r="E318" s="146" t="s">
        <v>280</v>
      </c>
      <c r="F318" s="147" t="n">
        <f aca="false">D318</f>
        <v>5</v>
      </c>
      <c r="G318" s="2" t="s">
        <v>281</v>
      </c>
      <c r="H318" s="122"/>
      <c r="I318" s="146" t="s">
        <v>148</v>
      </c>
      <c r="J318" s="148" t="n">
        <f aca="false">J323+J326+J330</f>
        <v>122.09</v>
      </c>
    </row>
    <row r="319" customFormat="false" ht="15" hidden="false" customHeight="false" outlineLevel="0" collapsed="false">
      <c r="A319" s="2" t="s">
        <v>282</v>
      </c>
      <c r="B319" s="2" t="s">
        <v>283</v>
      </c>
      <c r="C319" s="122"/>
      <c r="D319" s="122"/>
      <c r="E319" s="122"/>
      <c r="F319" s="146" t="s">
        <v>121</v>
      </c>
      <c r="G319" s="146" t="s">
        <v>284</v>
      </c>
      <c r="H319" s="146" t="s">
        <v>285</v>
      </c>
      <c r="I319" s="146" t="s">
        <v>286</v>
      </c>
      <c r="J319" s="146" t="s">
        <v>287</v>
      </c>
    </row>
    <row r="320" customFormat="false" ht="15" hidden="false" customHeight="false" outlineLevel="0" collapsed="false">
      <c r="A320" s="122"/>
      <c r="B320" s="56" t="s">
        <v>288</v>
      </c>
      <c r="C320" s="122"/>
      <c r="D320" s="122"/>
      <c r="E320" s="122"/>
      <c r="F320" s="122"/>
      <c r="G320" s="122"/>
      <c r="H320" s="122"/>
      <c r="I320" s="122"/>
      <c r="J320" s="122"/>
    </row>
    <row r="321" customFormat="false" ht="15" hidden="false" customHeight="false" outlineLevel="0" collapsed="false">
      <c r="A321" s="122"/>
      <c r="B321" s="122" t="s">
        <v>291</v>
      </c>
      <c r="C321" s="122"/>
      <c r="D321" s="122"/>
      <c r="E321" s="122"/>
      <c r="F321" s="149" t="s">
        <v>290</v>
      </c>
      <c r="G321" s="150" t="n">
        <v>1</v>
      </c>
      <c r="H321" s="151" t="n">
        <f aca="false">G321*8/$D$318</f>
        <v>1.6</v>
      </c>
      <c r="I321" s="152" t="n">
        <v>22.66</v>
      </c>
      <c r="J321" s="152" t="n">
        <f aca="false">H321*I321</f>
        <v>36.256</v>
      </c>
      <c r="K321" s="1" t="n">
        <v>47</v>
      </c>
    </row>
    <row r="322" customFormat="false" ht="15" hidden="false" customHeight="false" outlineLevel="0" collapsed="false">
      <c r="A322" s="122"/>
      <c r="B322" s="122" t="s">
        <v>1170</v>
      </c>
      <c r="C322" s="122"/>
      <c r="D322" s="122"/>
      <c r="E322" s="122"/>
      <c r="F322" s="149" t="s">
        <v>290</v>
      </c>
      <c r="G322" s="150" t="n">
        <v>1</v>
      </c>
      <c r="H322" s="151" t="n">
        <f aca="false">G322*8/$D$318</f>
        <v>1.6</v>
      </c>
      <c r="I322" s="122" t="n">
        <v>26.11</v>
      </c>
      <c r="J322" s="152" t="n">
        <f aca="false">H322*I322</f>
        <v>41.776</v>
      </c>
      <c r="K322" s="1" t="n">
        <v>47</v>
      </c>
    </row>
    <row r="323" customFormat="false" ht="15" hidden="false" customHeight="false" outlineLevel="0" collapsed="false">
      <c r="A323" s="122"/>
      <c r="B323" s="122"/>
      <c r="C323" s="122"/>
      <c r="D323" s="122"/>
      <c r="E323" s="122"/>
      <c r="F323" s="149"/>
      <c r="G323" s="150"/>
      <c r="H323" s="151"/>
      <c r="I323" s="122"/>
      <c r="J323" s="148" t="n">
        <f aca="false">ROUND(SUM(J321:J322),2)</f>
        <v>78.03</v>
      </c>
    </row>
    <row r="324" customFormat="false" ht="15" hidden="false" customHeight="false" outlineLevel="0" collapsed="false">
      <c r="A324" s="122"/>
      <c r="B324" s="56" t="s">
        <v>652</v>
      </c>
      <c r="C324" s="122"/>
      <c r="D324" s="122"/>
      <c r="E324" s="122"/>
      <c r="F324" s="149"/>
      <c r="G324" s="150"/>
      <c r="H324" s="151"/>
      <c r="I324" s="151"/>
      <c r="J324" s="152"/>
    </row>
    <row r="325" customFormat="false" ht="15" hidden="false" customHeight="false" outlineLevel="0" collapsed="false">
      <c r="A325" s="122"/>
      <c r="B325" s="122" t="s">
        <v>1201</v>
      </c>
      <c r="C325" s="122"/>
      <c r="D325" s="122"/>
      <c r="E325" s="122"/>
      <c r="F325" s="149" t="s">
        <v>148</v>
      </c>
      <c r="G325" s="122"/>
      <c r="H325" s="151" t="n">
        <v>1</v>
      </c>
      <c r="I325" s="152" t="n">
        <v>41.55</v>
      </c>
      <c r="J325" s="152" t="n">
        <f aca="false">H325*I325</f>
        <v>41.55</v>
      </c>
      <c r="K325" s="1" t="n">
        <v>30</v>
      </c>
    </row>
    <row r="326" customFormat="false" ht="15" hidden="false" customHeight="false" outlineLevel="0" collapsed="false">
      <c r="A326" s="122"/>
      <c r="B326" s="122"/>
      <c r="C326" s="122"/>
      <c r="D326" s="122"/>
      <c r="E326" s="122"/>
      <c r="F326" s="122"/>
      <c r="G326" s="122"/>
      <c r="H326" s="122"/>
      <c r="I326" s="122"/>
      <c r="J326" s="148" t="n">
        <f aca="false">ROUND(SUM(J325:J325),2)</f>
        <v>41.55</v>
      </c>
    </row>
    <row r="327" customFormat="false" ht="15" hidden="false" customHeight="false" outlineLevel="0" collapsed="false">
      <c r="A327" s="122"/>
      <c r="B327" s="56" t="s">
        <v>308</v>
      </c>
      <c r="C327" s="122"/>
      <c r="D327" s="122"/>
      <c r="E327" s="122"/>
      <c r="F327" s="122"/>
      <c r="G327" s="122"/>
      <c r="H327" s="122"/>
      <c r="I327" s="122"/>
      <c r="J327" s="122"/>
    </row>
    <row r="328" customFormat="false" ht="15" hidden="false" customHeight="false" outlineLevel="0" collapsed="false">
      <c r="A328" s="122"/>
      <c r="B328" s="122" t="s">
        <v>309</v>
      </c>
      <c r="C328" s="122"/>
      <c r="D328" s="122"/>
      <c r="E328" s="122"/>
      <c r="F328" s="149" t="s">
        <v>310</v>
      </c>
      <c r="G328" s="122"/>
      <c r="H328" s="151" t="n">
        <v>3</v>
      </c>
      <c r="I328" s="152" t="n">
        <f aca="false">J323</f>
        <v>78.03</v>
      </c>
      <c r="J328" s="152" t="n">
        <f aca="false">H328%*I328</f>
        <v>2.3409</v>
      </c>
      <c r="K328" s="1" t="n">
        <v>37</v>
      </c>
    </row>
    <row r="329" customFormat="false" ht="15" hidden="false" customHeight="false" outlineLevel="0" collapsed="false">
      <c r="A329" s="122"/>
      <c r="B329" s="122" t="s">
        <v>862</v>
      </c>
      <c r="C329" s="122"/>
      <c r="D329" s="122"/>
      <c r="E329" s="122"/>
      <c r="F329" s="149" t="s">
        <v>863</v>
      </c>
      <c r="G329" s="150" t="n">
        <v>1</v>
      </c>
      <c r="H329" s="151" t="n">
        <f aca="false">G329*8/$D$318</f>
        <v>1.6</v>
      </c>
      <c r="I329" s="155" t="n">
        <v>10.34</v>
      </c>
      <c r="J329" s="152" t="n">
        <f aca="false">H329%*I329</f>
        <v>0.16544</v>
      </c>
      <c r="K329" s="1" t="n">
        <v>39</v>
      </c>
    </row>
    <row r="330" customFormat="false" ht="15" hidden="false" customHeight="false" outlineLevel="0" collapsed="false">
      <c r="A330" s="156"/>
      <c r="B330" s="156"/>
      <c r="C330" s="156"/>
      <c r="D330" s="156"/>
      <c r="E330" s="156"/>
      <c r="F330" s="156"/>
      <c r="G330" s="156"/>
      <c r="H330" s="156"/>
      <c r="I330" s="157"/>
      <c r="J330" s="158" t="n">
        <f aca="false">ROUND(SUM(J328:J329),2)</f>
        <v>2.51</v>
      </c>
    </row>
    <row r="332" customFormat="false" ht="15" hidden="false" customHeight="false" outlineLevel="0" collapsed="false">
      <c r="A332" s="14" t="s">
        <v>276</v>
      </c>
      <c r="B332" s="14" t="str">
        <f aca="false">COMUNICACIONES!A27</f>
        <v>06.02.11</v>
      </c>
      <c r="C332" s="14" t="s">
        <v>1143</v>
      </c>
      <c r="D332" s="14"/>
    </row>
    <row r="333" customFormat="false" ht="15" hidden="false" customHeight="false" outlineLevel="0" collapsed="false">
      <c r="A333" s="14" t="s">
        <v>277</v>
      </c>
      <c r="B333" s="14" t="s">
        <v>325</v>
      </c>
      <c r="C333" s="38" t="s">
        <v>279</v>
      </c>
      <c r="D333" s="54" t="n">
        <v>4</v>
      </c>
      <c r="E333" s="38" t="s">
        <v>280</v>
      </c>
      <c r="F333" s="54" t="n">
        <f aca="false">D333</f>
        <v>4</v>
      </c>
      <c r="G333" s="14" t="s">
        <v>281</v>
      </c>
      <c r="I333" s="38" t="s">
        <v>148</v>
      </c>
      <c r="J333" s="55" t="n">
        <f aca="false">J338+J341+J345</f>
        <v>126.09</v>
      </c>
      <c r="L333" s="14"/>
    </row>
    <row r="334" customFormat="false" ht="15" hidden="false" customHeight="false" outlineLevel="0" collapsed="false">
      <c r="A334" s="14" t="s">
        <v>282</v>
      </c>
      <c r="B334" s="14" t="s">
        <v>283</v>
      </c>
      <c r="F334" s="38" t="s">
        <v>121</v>
      </c>
      <c r="G334" s="38" t="s">
        <v>284</v>
      </c>
      <c r="H334" s="38" t="s">
        <v>285</v>
      </c>
      <c r="I334" s="38" t="s">
        <v>286</v>
      </c>
      <c r="J334" s="38" t="s">
        <v>287</v>
      </c>
      <c r="L334" s="14"/>
    </row>
    <row r="335" customFormat="false" ht="15" hidden="false" customHeight="false" outlineLevel="0" collapsed="false">
      <c r="B335" s="56" t="s">
        <v>288</v>
      </c>
      <c r="L335" s="14"/>
    </row>
    <row r="336" customFormat="false" ht="15" hidden="false" customHeight="false" outlineLevel="0" collapsed="false">
      <c r="B336" s="1" t="s">
        <v>291</v>
      </c>
      <c r="F336" s="57" t="s">
        <v>290</v>
      </c>
      <c r="G336" s="58" t="n">
        <v>1</v>
      </c>
      <c r="H336" s="59" t="n">
        <f aca="false">G336*8/$D$333</f>
        <v>2</v>
      </c>
      <c r="I336" s="30" t="n">
        <v>22.66</v>
      </c>
      <c r="J336" s="30" t="n">
        <f aca="false">H336*I336</f>
        <v>45.32</v>
      </c>
      <c r="K336" s="1" t="n">
        <v>47</v>
      </c>
      <c r="L336" s="14"/>
    </row>
    <row r="337" customFormat="false" ht="15" hidden="false" customHeight="false" outlineLevel="0" collapsed="false">
      <c r="B337" s="1" t="s">
        <v>1170</v>
      </c>
      <c r="F337" s="57" t="s">
        <v>290</v>
      </c>
      <c r="G337" s="58" t="n">
        <v>1</v>
      </c>
      <c r="H337" s="59" t="n">
        <f aca="false">G337*8/$D$333</f>
        <v>2</v>
      </c>
      <c r="I337" s="1" t="n">
        <v>26.11</v>
      </c>
      <c r="J337" s="30" t="n">
        <f aca="false">H337*I337</f>
        <v>52.22</v>
      </c>
      <c r="K337" s="1" t="n">
        <v>47</v>
      </c>
      <c r="L337" s="14"/>
    </row>
    <row r="338" customFormat="false" ht="15" hidden="false" customHeight="false" outlineLevel="0" collapsed="false">
      <c r="F338" s="57"/>
      <c r="G338" s="58"/>
      <c r="H338" s="59"/>
      <c r="J338" s="55" t="n">
        <f aca="false">ROUND(SUM(J336:J337),2)</f>
        <v>97.54</v>
      </c>
      <c r="L338" s="14"/>
    </row>
    <row r="339" customFormat="false" ht="15" hidden="false" customHeight="false" outlineLevel="0" collapsed="false">
      <c r="B339" s="56" t="s">
        <v>652</v>
      </c>
      <c r="F339" s="57"/>
      <c r="G339" s="58"/>
      <c r="H339" s="59"/>
      <c r="I339" s="59"/>
      <c r="J339" s="30"/>
      <c r="L339" s="14"/>
    </row>
    <row r="340" customFormat="false" ht="15" hidden="false" customHeight="false" outlineLevel="0" collapsed="false">
      <c r="B340" s="1" t="s">
        <v>1202</v>
      </c>
      <c r="F340" s="57" t="s">
        <v>148</v>
      </c>
      <c r="H340" s="59" t="n">
        <v>1</v>
      </c>
      <c r="I340" s="30" t="n">
        <v>25.42</v>
      </c>
      <c r="J340" s="30" t="n">
        <f aca="false">H340*I340</f>
        <v>25.42</v>
      </c>
      <c r="K340" s="1" t="n">
        <v>30</v>
      </c>
    </row>
    <row r="341" customFormat="false" ht="15" hidden="false" customHeight="false" outlineLevel="0" collapsed="false">
      <c r="J341" s="55" t="n">
        <f aca="false">ROUND(SUM(J340:J340),2)</f>
        <v>25.42</v>
      </c>
    </row>
    <row r="342" customFormat="false" ht="15" hidden="false" customHeight="false" outlineLevel="0" collapsed="false">
      <c r="B342" s="56" t="s">
        <v>308</v>
      </c>
    </row>
    <row r="343" customFormat="false" ht="15" hidden="false" customHeight="false" outlineLevel="0" collapsed="false">
      <c r="B343" s="1" t="s">
        <v>309</v>
      </c>
      <c r="F343" s="57" t="s">
        <v>310</v>
      </c>
      <c r="H343" s="59" t="n">
        <v>3</v>
      </c>
      <c r="I343" s="30" t="n">
        <f aca="false">J338</f>
        <v>97.54</v>
      </c>
      <c r="J343" s="30" t="n">
        <f aca="false">H343%*I343</f>
        <v>2.9262</v>
      </c>
      <c r="K343" s="1" t="n">
        <v>37</v>
      </c>
    </row>
    <row r="344" customFormat="false" ht="15" hidden="false" customHeight="false" outlineLevel="0" collapsed="false">
      <c r="B344" s="1" t="s">
        <v>862</v>
      </c>
      <c r="F344" s="57" t="s">
        <v>863</v>
      </c>
      <c r="G344" s="58" t="n">
        <v>1</v>
      </c>
      <c r="H344" s="59" t="n">
        <f aca="false">G344*8/$D$333</f>
        <v>2</v>
      </c>
      <c r="I344" s="71" t="n">
        <v>10.34</v>
      </c>
      <c r="J344" s="30" t="n">
        <f aca="false">H344%*I344</f>
        <v>0.2068</v>
      </c>
      <c r="K344" s="1" t="n">
        <v>39</v>
      </c>
    </row>
    <row r="345" customFormat="false" ht="15" hidden="false" customHeight="false" outlineLevel="0" collapsed="false">
      <c r="A345" s="62"/>
      <c r="B345" s="62"/>
      <c r="C345" s="62"/>
      <c r="D345" s="62"/>
      <c r="E345" s="62"/>
      <c r="F345" s="62"/>
      <c r="G345" s="62"/>
      <c r="H345" s="62"/>
      <c r="I345" s="83"/>
      <c r="J345" s="63" t="n">
        <f aca="false">ROUND(SUM(J343:J344),2)</f>
        <v>3.13</v>
      </c>
    </row>
    <row r="347" customFormat="false" ht="15" hidden="false" customHeight="false" outlineLevel="0" collapsed="false">
      <c r="A347" s="14" t="s">
        <v>276</v>
      </c>
      <c r="B347" s="14" t="str">
        <f aca="false">COMUNICACIONES!A28</f>
        <v>06.02.12</v>
      </c>
      <c r="C347" s="14" t="s">
        <v>1203</v>
      </c>
      <c r="D347" s="14"/>
    </row>
    <row r="348" customFormat="false" ht="15" hidden="false" customHeight="false" outlineLevel="0" collapsed="false">
      <c r="A348" s="14" t="s">
        <v>277</v>
      </c>
      <c r="B348" s="14" t="s">
        <v>325</v>
      </c>
      <c r="C348" s="38" t="s">
        <v>279</v>
      </c>
      <c r="D348" s="54" t="n">
        <v>4</v>
      </c>
      <c r="E348" s="38" t="s">
        <v>280</v>
      </c>
      <c r="F348" s="54" t="n">
        <f aca="false">D348</f>
        <v>4</v>
      </c>
      <c r="G348" s="14" t="s">
        <v>281</v>
      </c>
      <c r="I348" s="38" t="s">
        <v>148</v>
      </c>
      <c r="J348" s="55" t="n">
        <f aca="false">J353+J356+J360</f>
        <v>145.29</v>
      </c>
    </row>
    <row r="349" customFormat="false" ht="15" hidden="false" customHeight="false" outlineLevel="0" collapsed="false">
      <c r="A349" s="14" t="s">
        <v>282</v>
      </c>
      <c r="B349" s="14" t="s">
        <v>283</v>
      </c>
      <c r="F349" s="38" t="s">
        <v>121</v>
      </c>
      <c r="G349" s="38" t="s">
        <v>284</v>
      </c>
      <c r="H349" s="38" t="s">
        <v>285</v>
      </c>
      <c r="I349" s="38" t="s">
        <v>286</v>
      </c>
      <c r="J349" s="38" t="s">
        <v>287</v>
      </c>
    </row>
    <row r="350" customFormat="false" ht="15" hidden="false" customHeight="false" outlineLevel="0" collapsed="false">
      <c r="B350" s="56" t="s">
        <v>288</v>
      </c>
    </row>
    <row r="351" customFormat="false" ht="15" hidden="false" customHeight="false" outlineLevel="0" collapsed="false">
      <c r="B351" s="1" t="s">
        <v>291</v>
      </c>
      <c r="F351" s="57" t="s">
        <v>290</v>
      </c>
      <c r="G351" s="58" t="n">
        <v>1</v>
      </c>
      <c r="H351" s="59" t="n">
        <f aca="false">G351*8/$D$348</f>
        <v>2</v>
      </c>
      <c r="I351" s="30" t="n">
        <v>22.66</v>
      </c>
      <c r="J351" s="30" t="n">
        <f aca="false">H351*I351</f>
        <v>45.32</v>
      </c>
      <c r="K351" s="1" t="n">
        <v>47</v>
      </c>
    </row>
    <row r="352" customFormat="false" ht="15" hidden="false" customHeight="false" outlineLevel="0" collapsed="false">
      <c r="B352" s="1" t="s">
        <v>1170</v>
      </c>
      <c r="F352" s="57" t="s">
        <v>290</v>
      </c>
      <c r="G352" s="58" t="n">
        <v>1</v>
      </c>
      <c r="H352" s="59" t="n">
        <f aca="false">G352*8/$D$348</f>
        <v>2</v>
      </c>
      <c r="I352" s="1" t="n">
        <v>26.11</v>
      </c>
      <c r="J352" s="30" t="n">
        <f aca="false">H352*I352</f>
        <v>52.22</v>
      </c>
      <c r="K352" s="1" t="n">
        <v>47</v>
      </c>
    </row>
    <row r="353" customFormat="false" ht="15" hidden="false" customHeight="false" outlineLevel="0" collapsed="false">
      <c r="F353" s="57"/>
      <c r="G353" s="58"/>
      <c r="H353" s="59"/>
      <c r="J353" s="55" t="n">
        <f aca="false">ROUND(SUM(J351:J352),2)</f>
        <v>97.54</v>
      </c>
    </row>
    <row r="354" customFormat="false" ht="15" hidden="false" customHeight="false" outlineLevel="0" collapsed="false">
      <c r="B354" s="56" t="s">
        <v>652</v>
      </c>
      <c r="F354" s="57"/>
      <c r="G354" s="58"/>
      <c r="H354" s="59"/>
      <c r="I354" s="59"/>
      <c r="J354" s="30"/>
    </row>
    <row r="355" customFormat="false" ht="15" hidden="false" customHeight="false" outlineLevel="0" collapsed="false">
      <c r="B355" s="1" t="s">
        <v>1204</v>
      </c>
      <c r="F355" s="57" t="s">
        <v>148</v>
      </c>
      <c r="H355" s="59" t="n">
        <v>1</v>
      </c>
      <c r="I355" s="30" t="n">
        <v>44.62</v>
      </c>
      <c r="J355" s="30" t="n">
        <f aca="false">H355*I355</f>
        <v>44.62</v>
      </c>
      <c r="K355" s="1" t="n">
        <v>30</v>
      </c>
    </row>
    <row r="356" customFormat="false" ht="15" hidden="false" customHeight="false" outlineLevel="0" collapsed="false">
      <c r="J356" s="55" t="n">
        <f aca="false">ROUND(SUM(J355:J355),2)</f>
        <v>44.62</v>
      </c>
    </row>
    <row r="357" customFormat="false" ht="15" hidden="false" customHeight="false" outlineLevel="0" collapsed="false">
      <c r="B357" s="56" t="s">
        <v>308</v>
      </c>
    </row>
    <row r="358" customFormat="false" ht="15" hidden="false" customHeight="false" outlineLevel="0" collapsed="false">
      <c r="B358" s="1" t="s">
        <v>309</v>
      </c>
      <c r="F358" s="57" t="s">
        <v>310</v>
      </c>
      <c r="H358" s="59" t="n">
        <v>3</v>
      </c>
      <c r="I358" s="30" t="n">
        <f aca="false">J353</f>
        <v>97.54</v>
      </c>
      <c r="J358" s="30" t="n">
        <f aca="false">H358%*I358</f>
        <v>2.9262</v>
      </c>
      <c r="K358" s="1" t="n">
        <v>37</v>
      </c>
    </row>
    <row r="359" customFormat="false" ht="15" hidden="false" customHeight="false" outlineLevel="0" collapsed="false">
      <c r="B359" s="1" t="s">
        <v>862</v>
      </c>
      <c r="F359" s="57" t="s">
        <v>863</v>
      </c>
      <c r="G359" s="58" t="n">
        <v>1</v>
      </c>
      <c r="H359" s="59" t="n">
        <f aca="false">G359*8/$D$348</f>
        <v>2</v>
      </c>
      <c r="I359" s="71" t="n">
        <v>10.34</v>
      </c>
      <c r="J359" s="30" t="n">
        <f aca="false">H359%*I359</f>
        <v>0.2068</v>
      </c>
      <c r="K359" s="1" t="n">
        <v>39</v>
      </c>
    </row>
    <row r="360" customFormat="false" ht="15" hidden="false" customHeight="false" outlineLevel="0" collapsed="false">
      <c r="A360" s="62"/>
      <c r="B360" s="62"/>
      <c r="C360" s="62"/>
      <c r="D360" s="62"/>
      <c r="E360" s="62"/>
      <c r="F360" s="62"/>
      <c r="G360" s="62"/>
      <c r="H360" s="62"/>
      <c r="I360" s="83"/>
      <c r="J360" s="63" t="n">
        <f aca="false">ROUND(SUM(J358:J359),2)</f>
        <v>3.13</v>
      </c>
    </row>
    <row r="362" customFormat="false" ht="15" hidden="false" customHeight="false" outlineLevel="0" collapsed="false">
      <c r="A362" s="14" t="s">
        <v>276</v>
      </c>
      <c r="B362" s="14" t="str">
        <f aca="false">COMUNICACIONES!A29</f>
        <v>06.02.13</v>
      </c>
      <c r="C362" s="14" t="s">
        <v>1146</v>
      </c>
      <c r="D362" s="14"/>
    </row>
    <row r="363" customFormat="false" ht="15" hidden="false" customHeight="false" outlineLevel="0" collapsed="false">
      <c r="A363" s="14" t="s">
        <v>277</v>
      </c>
      <c r="B363" s="14" t="s">
        <v>325</v>
      </c>
      <c r="C363" s="38" t="s">
        <v>279</v>
      </c>
      <c r="D363" s="54" t="n">
        <v>2</v>
      </c>
      <c r="E363" s="38" t="s">
        <v>280</v>
      </c>
      <c r="F363" s="54" t="n">
        <f aca="false">D363</f>
        <v>2</v>
      </c>
      <c r="G363" s="14" t="s">
        <v>281</v>
      </c>
      <c r="I363" s="38" t="s">
        <v>148</v>
      </c>
      <c r="J363" s="55" t="n">
        <f aca="false">J368+J371+J374</f>
        <v>6296.12</v>
      </c>
    </row>
    <row r="364" customFormat="false" ht="15" hidden="false" customHeight="false" outlineLevel="0" collapsed="false">
      <c r="A364" s="14" t="s">
        <v>282</v>
      </c>
      <c r="B364" s="14" t="s">
        <v>283</v>
      </c>
      <c r="F364" s="38" t="s">
        <v>121</v>
      </c>
      <c r="G364" s="38" t="s">
        <v>284</v>
      </c>
      <c r="H364" s="38" t="s">
        <v>285</v>
      </c>
      <c r="I364" s="38" t="s">
        <v>286</v>
      </c>
      <c r="J364" s="38" t="s">
        <v>287</v>
      </c>
    </row>
    <row r="365" customFormat="false" ht="15" hidden="false" customHeight="false" outlineLevel="0" collapsed="false">
      <c r="B365" s="56" t="s">
        <v>288</v>
      </c>
    </row>
    <row r="366" customFormat="false" ht="15" hidden="false" customHeight="false" outlineLevel="0" collapsed="false">
      <c r="B366" s="1" t="s">
        <v>291</v>
      </c>
      <c r="F366" s="57" t="s">
        <v>290</v>
      </c>
      <c r="G366" s="58" t="n">
        <v>1</v>
      </c>
      <c r="H366" s="59" t="n">
        <f aca="false">G366*8/$D$363</f>
        <v>4</v>
      </c>
      <c r="I366" s="30" t="n">
        <v>22.66</v>
      </c>
      <c r="J366" s="30" t="n">
        <f aca="false">H366*I366</f>
        <v>90.64</v>
      </c>
      <c r="K366" s="1" t="n">
        <v>47</v>
      </c>
    </row>
    <row r="367" customFormat="false" ht="15" hidden="false" customHeight="false" outlineLevel="0" collapsed="false">
      <c r="B367" s="1" t="s">
        <v>1170</v>
      </c>
      <c r="F367" s="57" t="s">
        <v>290</v>
      </c>
      <c r="G367" s="58" t="n">
        <v>1</v>
      </c>
      <c r="H367" s="59" t="n">
        <f aca="false">G367*8/$D$363</f>
        <v>4</v>
      </c>
      <c r="I367" s="1" t="n">
        <v>26.11</v>
      </c>
      <c r="J367" s="30" t="n">
        <f aca="false">H367*I367</f>
        <v>104.44</v>
      </c>
      <c r="K367" s="1" t="n">
        <v>47</v>
      </c>
    </row>
    <row r="368" customFormat="false" ht="15" hidden="false" customHeight="false" outlineLevel="0" collapsed="false">
      <c r="F368" s="57"/>
      <c r="G368" s="58"/>
      <c r="H368" s="59"/>
      <c r="J368" s="55" t="n">
        <f aca="false">ROUND(SUM(J366:J367),2)</f>
        <v>195.08</v>
      </c>
    </row>
    <row r="369" customFormat="false" ht="15" hidden="false" customHeight="false" outlineLevel="0" collapsed="false">
      <c r="B369" s="56" t="s">
        <v>652</v>
      </c>
      <c r="F369" s="57"/>
      <c r="G369" s="58"/>
      <c r="H369" s="59"/>
      <c r="I369" s="59"/>
      <c r="J369" s="30"/>
    </row>
    <row r="370" customFormat="false" ht="15" hidden="false" customHeight="false" outlineLevel="0" collapsed="false">
      <c r="B370" s="1" t="s">
        <v>1205</v>
      </c>
      <c r="F370" s="57" t="s">
        <v>148</v>
      </c>
      <c r="H370" s="59" t="n">
        <v>1</v>
      </c>
      <c r="I370" s="1" t="n">
        <v>6095.19</v>
      </c>
      <c r="J370" s="30" t="n">
        <f aca="false">H370*I370</f>
        <v>6095.19</v>
      </c>
      <c r="K370" s="1" t="n">
        <v>30</v>
      </c>
    </row>
    <row r="371" customFormat="false" ht="15" hidden="false" customHeight="false" outlineLevel="0" collapsed="false">
      <c r="J371" s="55" t="n">
        <f aca="false">ROUND(SUM(J370),2)</f>
        <v>6095.19</v>
      </c>
    </row>
    <row r="372" customFormat="false" ht="15" hidden="false" customHeight="false" outlineLevel="0" collapsed="false">
      <c r="B372" s="56" t="s">
        <v>308</v>
      </c>
    </row>
    <row r="373" customFormat="false" ht="15" hidden="false" customHeight="false" outlineLevel="0" collapsed="false">
      <c r="B373" s="1" t="s">
        <v>309</v>
      </c>
      <c r="F373" s="57" t="s">
        <v>310</v>
      </c>
      <c r="H373" s="59" t="n">
        <v>3</v>
      </c>
      <c r="I373" s="30" t="n">
        <f aca="false">J368</f>
        <v>195.08</v>
      </c>
      <c r="J373" s="30" t="n">
        <f aca="false">H373%*I373</f>
        <v>5.8524</v>
      </c>
      <c r="K373" s="1" t="n">
        <v>37</v>
      </c>
    </row>
    <row r="374" customFormat="false" ht="15" hidden="false" customHeight="false" outlineLevel="0" collapsed="false">
      <c r="A374" s="62"/>
      <c r="B374" s="62"/>
      <c r="C374" s="62"/>
      <c r="D374" s="62"/>
      <c r="E374" s="62"/>
      <c r="F374" s="62"/>
      <c r="G374" s="62"/>
      <c r="H374" s="62"/>
      <c r="I374" s="83"/>
      <c r="J374" s="63" t="n">
        <f aca="false">ROUND(SUM(J373:J373),2)</f>
        <v>5.85</v>
      </c>
    </row>
    <row r="376" customFormat="false" ht="15" hidden="false" customHeight="false" outlineLevel="0" collapsed="false">
      <c r="A376" s="14" t="s">
        <v>276</v>
      </c>
      <c r="B376" s="14" t="str">
        <f aca="false">COMUNICACIONES!A30</f>
        <v>06.02.14</v>
      </c>
      <c r="C376" s="14" t="s">
        <v>1148</v>
      </c>
      <c r="D376" s="14"/>
    </row>
    <row r="377" customFormat="false" ht="15" hidden="false" customHeight="false" outlineLevel="0" collapsed="false">
      <c r="A377" s="14" t="s">
        <v>277</v>
      </c>
      <c r="B377" s="14" t="s">
        <v>325</v>
      </c>
      <c r="C377" s="38" t="s">
        <v>279</v>
      </c>
      <c r="D377" s="54" t="n">
        <v>2</v>
      </c>
      <c r="E377" s="38" t="s">
        <v>280</v>
      </c>
      <c r="F377" s="54" t="n">
        <f aca="false">D377</f>
        <v>2</v>
      </c>
      <c r="G377" s="14" t="s">
        <v>281</v>
      </c>
      <c r="I377" s="38" t="s">
        <v>148</v>
      </c>
      <c r="J377" s="55" t="n">
        <f aca="false">J382+J385+J388</f>
        <v>8654.52</v>
      </c>
    </row>
    <row r="378" customFormat="false" ht="15" hidden="false" customHeight="false" outlineLevel="0" collapsed="false">
      <c r="A378" s="14" t="s">
        <v>282</v>
      </c>
      <c r="B378" s="14" t="s">
        <v>283</v>
      </c>
      <c r="F378" s="38" t="s">
        <v>121</v>
      </c>
      <c r="G378" s="38" t="s">
        <v>284</v>
      </c>
      <c r="H378" s="38" t="s">
        <v>285</v>
      </c>
      <c r="I378" s="38" t="s">
        <v>286</v>
      </c>
      <c r="J378" s="38" t="s">
        <v>287</v>
      </c>
    </row>
    <row r="379" customFormat="false" ht="15" hidden="false" customHeight="false" outlineLevel="0" collapsed="false">
      <c r="B379" s="56" t="s">
        <v>288</v>
      </c>
    </row>
    <row r="380" customFormat="false" ht="15" hidden="false" customHeight="false" outlineLevel="0" collapsed="false">
      <c r="B380" s="1" t="s">
        <v>291</v>
      </c>
      <c r="F380" s="57" t="s">
        <v>290</v>
      </c>
      <c r="G380" s="58" t="n">
        <v>1</v>
      </c>
      <c r="H380" s="59" t="n">
        <f aca="false">G380*8/$D$377</f>
        <v>4</v>
      </c>
      <c r="I380" s="30" t="n">
        <v>22.66</v>
      </c>
      <c r="J380" s="30" t="n">
        <f aca="false">H380*I380</f>
        <v>90.64</v>
      </c>
      <c r="K380" s="1" t="n">
        <v>47</v>
      </c>
    </row>
    <row r="381" customFormat="false" ht="15" hidden="false" customHeight="false" outlineLevel="0" collapsed="false">
      <c r="B381" s="1" t="s">
        <v>1170</v>
      </c>
      <c r="F381" s="57" t="s">
        <v>290</v>
      </c>
      <c r="G381" s="58" t="n">
        <v>1</v>
      </c>
      <c r="H381" s="59" t="n">
        <f aca="false">G381*8/$D$377</f>
        <v>4</v>
      </c>
      <c r="I381" s="1" t="n">
        <v>26.11</v>
      </c>
      <c r="J381" s="30" t="n">
        <f aca="false">H381*I381</f>
        <v>104.44</v>
      </c>
      <c r="K381" s="1" t="n">
        <v>47</v>
      </c>
    </row>
    <row r="382" customFormat="false" ht="15" hidden="false" customHeight="false" outlineLevel="0" collapsed="false">
      <c r="F382" s="57"/>
      <c r="G382" s="58"/>
      <c r="H382" s="59"/>
      <c r="J382" s="55" t="n">
        <f aca="false">ROUND(SUM(J380:J381),2)</f>
        <v>195.08</v>
      </c>
    </row>
    <row r="383" customFormat="false" ht="15" hidden="false" customHeight="false" outlineLevel="0" collapsed="false">
      <c r="B383" s="56" t="s">
        <v>652</v>
      </c>
      <c r="F383" s="57"/>
      <c r="G383" s="58"/>
      <c r="H383" s="59"/>
      <c r="I383" s="59"/>
      <c r="J383" s="30"/>
    </row>
    <row r="384" customFormat="false" ht="15" hidden="false" customHeight="false" outlineLevel="0" collapsed="false">
      <c r="B384" s="1" t="s">
        <v>1206</v>
      </c>
      <c r="F384" s="57" t="s">
        <v>148</v>
      </c>
      <c r="H384" s="59" t="n">
        <v>1</v>
      </c>
      <c r="I384" s="30" t="n">
        <v>8453.59</v>
      </c>
      <c r="J384" s="30" t="n">
        <f aca="false">H384*I384</f>
        <v>8453.59</v>
      </c>
      <c r="K384" s="1" t="n">
        <v>30</v>
      </c>
    </row>
    <row r="385" customFormat="false" ht="15" hidden="false" customHeight="false" outlineLevel="0" collapsed="false">
      <c r="J385" s="55" t="n">
        <f aca="false">ROUND(SUM(J384:J384),2)</f>
        <v>8453.59</v>
      </c>
    </row>
    <row r="386" customFormat="false" ht="15" hidden="false" customHeight="false" outlineLevel="0" collapsed="false">
      <c r="B386" s="56" t="s">
        <v>308</v>
      </c>
    </row>
    <row r="387" customFormat="false" ht="15" hidden="false" customHeight="false" outlineLevel="0" collapsed="false">
      <c r="B387" s="1" t="s">
        <v>309</v>
      </c>
      <c r="F387" s="57" t="s">
        <v>310</v>
      </c>
      <c r="H387" s="59" t="n">
        <v>3</v>
      </c>
      <c r="I387" s="30" t="n">
        <f aca="false">J382</f>
        <v>195.08</v>
      </c>
      <c r="J387" s="30" t="n">
        <f aca="false">H387%*I387</f>
        <v>5.8524</v>
      </c>
      <c r="K387" s="1" t="n">
        <v>37</v>
      </c>
    </row>
    <row r="388" customFormat="false" ht="15" hidden="false" customHeight="false" outlineLevel="0" collapsed="false">
      <c r="A388" s="62"/>
      <c r="B388" s="62"/>
      <c r="C388" s="62"/>
      <c r="D388" s="62"/>
      <c r="E388" s="62"/>
      <c r="F388" s="62"/>
      <c r="G388" s="62"/>
      <c r="H388" s="62"/>
      <c r="I388" s="83"/>
      <c r="J388" s="63" t="n">
        <f aca="false">ROUND(SUM(J387:J387),2)</f>
        <v>5.85</v>
      </c>
    </row>
    <row r="390" customFormat="false" ht="15" hidden="false" customHeight="false" outlineLevel="0" collapsed="false">
      <c r="A390" s="14" t="s">
        <v>276</v>
      </c>
      <c r="B390" s="14" t="str">
        <f aca="false">COMUNICACIONES!A31</f>
        <v>06.02.15</v>
      </c>
      <c r="C390" s="14" t="s">
        <v>1150</v>
      </c>
      <c r="D390" s="14"/>
    </row>
    <row r="391" customFormat="false" ht="15" hidden="false" customHeight="false" outlineLevel="0" collapsed="false">
      <c r="A391" s="14" t="s">
        <v>277</v>
      </c>
      <c r="B391" s="14" t="s">
        <v>325</v>
      </c>
      <c r="C391" s="38" t="s">
        <v>279</v>
      </c>
      <c r="D391" s="54" t="n">
        <v>2</v>
      </c>
      <c r="E391" s="38" t="s">
        <v>280</v>
      </c>
      <c r="F391" s="54" t="n">
        <f aca="false">D391</f>
        <v>2</v>
      </c>
      <c r="G391" s="14" t="s">
        <v>281</v>
      </c>
      <c r="I391" s="38" t="s">
        <v>148</v>
      </c>
      <c r="J391" s="55" t="n">
        <f aca="false">J396+J402+J405</f>
        <v>9533.57</v>
      </c>
    </row>
    <row r="392" customFormat="false" ht="15" hidden="false" customHeight="false" outlineLevel="0" collapsed="false">
      <c r="A392" s="14" t="s">
        <v>282</v>
      </c>
      <c r="B392" s="14" t="s">
        <v>283</v>
      </c>
      <c r="F392" s="38" t="s">
        <v>121</v>
      </c>
      <c r="G392" s="38" t="s">
        <v>284</v>
      </c>
      <c r="H392" s="38" t="s">
        <v>285</v>
      </c>
      <c r="I392" s="38" t="s">
        <v>286</v>
      </c>
      <c r="J392" s="38" t="s">
        <v>287</v>
      </c>
    </row>
    <row r="393" customFormat="false" ht="15" hidden="false" customHeight="false" outlineLevel="0" collapsed="false">
      <c r="B393" s="56" t="s">
        <v>288</v>
      </c>
    </row>
    <row r="394" customFormat="false" ht="15" hidden="false" customHeight="false" outlineLevel="0" collapsed="false">
      <c r="B394" s="1" t="s">
        <v>291</v>
      </c>
      <c r="F394" s="57" t="s">
        <v>290</v>
      </c>
      <c r="G394" s="58" t="n">
        <v>1</v>
      </c>
      <c r="H394" s="59" t="n">
        <f aca="false">G394*8/$D$391</f>
        <v>4</v>
      </c>
      <c r="I394" s="30" t="n">
        <v>22.66</v>
      </c>
      <c r="J394" s="30" t="n">
        <f aca="false">H394*I394</f>
        <v>90.64</v>
      </c>
      <c r="K394" s="1" t="n">
        <v>47</v>
      </c>
    </row>
    <row r="395" customFormat="false" ht="15" hidden="false" customHeight="false" outlineLevel="0" collapsed="false">
      <c r="B395" s="1" t="s">
        <v>1170</v>
      </c>
      <c r="F395" s="57" t="s">
        <v>290</v>
      </c>
      <c r="G395" s="58" t="n">
        <v>1</v>
      </c>
      <c r="H395" s="59" t="n">
        <f aca="false">G395*8/$D$391</f>
        <v>4</v>
      </c>
      <c r="I395" s="1" t="n">
        <v>26.11</v>
      </c>
      <c r="J395" s="30" t="n">
        <f aca="false">H395*I395</f>
        <v>104.44</v>
      </c>
      <c r="K395" s="1" t="n">
        <v>47</v>
      </c>
    </row>
    <row r="396" customFormat="false" ht="15" hidden="false" customHeight="false" outlineLevel="0" collapsed="false">
      <c r="F396" s="57"/>
      <c r="G396" s="58"/>
      <c r="H396" s="59"/>
      <c r="J396" s="55" t="n">
        <f aca="false">ROUND(SUM(J394:J395),2)</f>
        <v>195.08</v>
      </c>
    </row>
    <row r="397" customFormat="false" ht="15" hidden="false" customHeight="false" outlineLevel="0" collapsed="false">
      <c r="B397" s="56" t="s">
        <v>652</v>
      </c>
      <c r="F397" s="57"/>
      <c r="G397" s="58"/>
      <c r="H397" s="59"/>
      <c r="I397" s="59"/>
      <c r="J397" s="30"/>
    </row>
    <row r="398" customFormat="false" ht="15" hidden="false" customHeight="false" outlineLevel="0" collapsed="false">
      <c r="B398" s="1" t="s">
        <v>1207</v>
      </c>
      <c r="F398" s="57" t="s">
        <v>148</v>
      </c>
      <c r="H398" s="59" t="n">
        <v>7</v>
      </c>
      <c r="I398" s="30" t="n">
        <v>213.76</v>
      </c>
      <c r="J398" s="30" t="n">
        <f aca="false">H398*I398</f>
        <v>1496.32</v>
      </c>
      <c r="K398" s="1" t="n">
        <v>30</v>
      </c>
      <c r="L398" s="14"/>
    </row>
    <row r="399" customFormat="false" ht="15" hidden="false" customHeight="false" outlineLevel="0" collapsed="false">
      <c r="B399" s="1" t="s">
        <v>1208</v>
      </c>
      <c r="F399" s="57" t="s">
        <v>148</v>
      </c>
      <c r="H399" s="59" t="n">
        <v>7</v>
      </c>
      <c r="I399" s="30" t="n">
        <v>213.76</v>
      </c>
      <c r="J399" s="30" t="n">
        <f aca="false">H399*I399</f>
        <v>1496.32</v>
      </c>
      <c r="K399" s="1" t="n">
        <v>30</v>
      </c>
      <c r="L399" s="14"/>
    </row>
    <row r="400" customFormat="false" ht="15" hidden="false" customHeight="false" outlineLevel="0" collapsed="false">
      <c r="B400" s="1" t="s">
        <v>1209</v>
      </c>
      <c r="F400" s="57" t="s">
        <v>148</v>
      </c>
      <c r="H400" s="59" t="n">
        <v>11</v>
      </c>
      <c r="I400" s="30" t="n">
        <v>340</v>
      </c>
      <c r="J400" s="30" t="n">
        <f aca="false">H400*I400</f>
        <v>3740</v>
      </c>
      <c r="K400" s="1" t="n">
        <v>30</v>
      </c>
      <c r="L400" s="14"/>
    </row>
    <row r="401" customFormat="false" ht="15" hidden="false" customHeight="false" outlineLevel="0" collapsed="false">
      <c r="B401" s="1" t="s">
        <v>1210</v>
      </c>
      <c r="F401" s="57" t="s">
        <v>362</v>
      </c>
      <c r="H401" s="59" t="n">
        <v>4</v>
      </c>
      <c r="I401" s="30" t="n">
        <v>650</v>
      </c>
      <c r="J401" s="30" t="n">
        <f aca="false">H401*I401</f>
        <v>2600</v>
      </c>
      <c r="K401" s="1" t="n">
        <v>30</v>
      </c>
      <c r="L401" s="14"/>
    </row>
    <row r="402" customFormat="false" ht="15" hidden="false" customHeight="false" outlineLevel="0" collapsed="false">
      <c r="J402" s="55" t="n">
        <f aca="false">ROUND(SUM(J398:J401),2)</f>
        <v>9332.64</v>
      </c>
      <c r="L402" s="14"/>
    </row>
    <row r="403" customFormat="false" ht="15" hidden="false" customHeight="false" outlineLevel="0" collapsed="false">
      <c r="B403" s="56" t="s">
        <v>308</v>
      </c>
    </row>
    <row r="404" customFormat="false" ht="15" hidden="false" customHeight="false" outlineLevel="0" collapsed="false">
      <c r="B404" s="1" t="s">
        <v>309</v>
      </c>
      <c r="F404" s="57" t="s">
        <v>310</v>
      </c>
      <c r="H404" s="59" t="n">
        <v>3</v>
      </c>
      <c r="I404" s="30" t="n">
        <f aca="false">J396</f>
        <v>195.08</v>
      </c>
      <c r="J404" s="30" t="n">
        <f aca="false">H404%*I404</f>
        <v>5.8524</v>
      </c>
      <c r="K404" s="1" t="n">
        <v>37</v>
      </c>
    </row>
    <row r="405" customFormat="false" ht="15" hidden="false" customHeight="false" outlineLevel="0" collapsed="false">
      <c r="A405" s="62"/>
      <c r="B405" s="62"/>
      <c r="C405" s="62"/>
      <c r="D405" s="62"/>
      <c r="E405" s="62"/>
      <c r="F405" s="62"/>
      <c r="G405" s="62"/>
      <c r="H405" s="62"/>
      <c r="I405" s="83"/>
      <c r="J405" s="63" t="n">
        <f aca="false">ROUND(SUM(J404:J404),2)</f>
        <v>5.85</v>
      </c>
    </row>
    <row r="407" customFormat="false" ht="15" hidden="false" customHeight="false" outlineLevel="0" collapsed="false">
      <c r="A407" s="14" t="s">
        <v>276</v>
      </c>
      <c r="B407" s="14" t="str">
        <f aca="false">COMUNICACIONES!A33</f>
        <v>06.03.01</v>
      </c>
      <c r="C407" s="14" t="s">
        <v>1153</v>
      </c>
      <c r="D407" s="14"/>
    </row>
    <row r="408" customFormat="false" ht="15" hidden="false" customHeight="false" outlineLevel="0" collapsed="false">
      <c r="A408" s="14" t="s">
        <v>277</v>
      </c>
      <c r="B408" s="14" t="s">
        <v>325</v>
      </c>
      <c r="C408" s="38" t="s">
        <v>279</v>
      </c>
      <c r="D408" s="54" t="n">
        <v>1</v>
      </c>
      <c r="E408" s="38" t="s">
        <v>280</v>
      </c>
      <c r="F408" s="54" t="n">
        <f aca="false">D408</f>
        <v>1</v>
      </c>
      <c r="G408" s="14" t="s">
        <v>281</v>
      </c>
      <c r="I408" s="38" t="s">
        <v>148</v>
      </c>
      <c r="J408" s="55" t="n">
        <f aca="false">J413+J416+J419</f>
        <v>8346.11</v>
      </c>
    </row>
    <row r="409" customFormat="false" ht="15" hidden="false" customHeight="false" outlineLevel="0" collapsed="false">
      <c r="A409" s="14" t="s">
        <v>282</v>
      </c>
      <c r="B409" s="14" t="s">
        <v>283</v>
      </c>
      <c r="F409" s="38" t="s">
        <v>121</v>
      </c>
      <c r="G409" s="38" t="s">
        <v>284</v>
      </c>
      <c r="H409" s="38" t="s">
        <v>285</v>
      </c>
      <c r="I409" s="38" t="s">
        <v>286</v>
      </c>
      <c r="J409" s="38" t="s">
        <v>287</v>
      </c>
    </row>
    <row r="410" customFormat="false" ht="15" hidden="false" customHeight="false" outlineLevel="0" collapsed="false">
      <c r="B410" s="56" t="s">
        <v>288</v>
      </c>
    </row>
    <row r="411" customFormat="false" ht="15" hidden="false" customHeight="false" outlineLevel="0" collapsed="false">
      <c r="B411" s="1" t="s">
        <v>291</v>
      </c>
      <c r="F411" s="57" t="s">
        <v>290</v>
      </c>
      <c r="G411" s="58" t="n">
        <v>2</v>
      </c>
      <c r="H411" s="59" t="n">
        <f aca="false">G411*8/$D$408</f>
        <v>16</v>
      </c>
      <c r="I411" s="30" t="n">
        <v>22.66</v>
      </c>
      <c r="J411" s="30" t="n">
        <f aca="false">H411*I411</f>
        <v>362.56</v>
      </c>
      <c r="K411" s="1" t="n">
        <v>47</v>
      </c>
    </row>
    <row r="412" customFormat="false" ht="15" hidden="false" customHeight="false" outlineLevel="0" collapsed="false">
      <c r="B412" s="1" t="s">
        <v>1170</v>
      </c>
      <c r="F412" s="57" t="s">
        <v>290</v>
      </c>
      <c r="G412" s="58" t="n">
        <v>2</v>
      </c>
      <c r="H412" s="59" t="n">
        <f aca="false">G412*8/$D$408</f>
        <v>16</v>
      </c>
      <c r="I412" s="1" t="n">
        <v>26.11</v>
      </c>
      <c r="J412" s="30" t="n">
        <f aca="false">H412*I412</f>
        <v>417.76</v>
      </c>
      <c r="K412" s="1" t="n">
        <v>47</v>
      </c>
    </row>
    <row r="413" customFormat="false" ht="15" hidden="false" customHeight="false" outlineLevel="0" collapsed="false">
      <c r="F413" s="57"/>
      <c r="G413" s="58"/>
      <c r="H413" s="59"/>
      <c r="J413" s="55" t="n">
        <f aca="false">ROUND(SUM(J411:J412),2)</f>
        <v>780.32</v>
      </c>
    </row>
    <row r="414" customFormat="false" ht="15" hidden="false" customHeight="false" outlineLevel="0" collapsed="false">
      <c r="B414" s="56" t="s">
        <v>652</v>
      </c>
      <c r="F414" s="57"/>
      <c r="G414" s="58"/>
      <c r="H414" s="59"/>
      <c r="I414" s="59"/>
      <c r="J414" s="30"/>
    </row>
    <row r="415" customFormat="false" ht="15" hidden="false" customHeight="false" outlineLevel="0" collapsed="false">
      <c r="B415" s="1" t="s">
        <v>1211</v>
      </c>
      <c r="F415" s="57" t="s">
        <v>148</v>
      </c>
      <c r="H415" s="59" t="n">
        <v>1</v>
      </c>
      <c r="I415" s="30" t="n">
        <v>7542.38</v>
      </c>
      <c r="J415" s="30" t="n">
        <f aca="false">H415*I415</f>
        <v>7542.38</v>
      </c>
      <c r="K415" s="1" t="n">
        <v>30</v>
      </c>
    </row>
    <row r="416" customFormat="false" ht="15" hidden="false" customHeight="false" outlineLevel="0" collapsed="false">
      <c r="J416" s="55" t="n">
        <f aca="false">ROUND(SUM(J415:J415),2)</f>
        <v>7542.38</v>
      </c>
    </row>
    <row r="417" customFormat="false" ht="15" hidden="false" customHeight="false" outlineLevel="0" collapsed="false">
      <c r="B417" s="56" t="s">
        <v>308</v>
      </c>
    </row>
    <row r="418" customFormat="false" ht="15" hidden="false" customHeight="false" outlineLevel="0" collapsed="false">
      <c r="B418" s="1" t="s">
        <v>309</v>
      </c>
      <c r="F418" s="57" t="s">
        <v>310</v>
      </c>
      <c r="H418" s="59" t="n">
        <v>3</v>
      </c>
      <c r="I418" s="30" t="n">
        <f aca="false">J413</f>
        <v>780.32</v>
      </c>
      <c r="J418" s="30" t="n">
        <f aca="false">H418%*I418</f>
        <v>23.4096</v>
      </c>
      <c r="K418" s="1" t="n">
        <v>37</v>
      </c>
    </row>
    <row r="419" customFormat="false" ht="15" hidden="false" customHeight="false" outlineLevel="0" collapsed="false">
      <c r="A419" s="62"/>
      <c r="B419" s="62"/>
      <c r="C419" s="62"/>
      <c r="D419" s="62"/>
      <c r="E419" s="62"/>
      <c r="F419" s="62"/>
      <c r="G419" s="62"/>
      <c r="H419" s="62"/>
      <c r="I419" s="83"/>
      <c r="J419" s="63" t="n">
        <f aca="false">ROUND(SUM(J418:J418),2)</f>
        <v>23.41</v>
      </c>
    </row>
    <row r="421" customFormat="false" ht="15" hidden="false" customHeight="false" outlineLevel="0" collapsed="false">
      <c r="A421" s="14" t="s">
        <v>276</v>
      </c>
      <c r="B421" s="14" t="str">
        <f aca="false">COMUNICACIONES!A34</f>
        <v>06.03.02</v>
      </c>
      <c r="C421" s="14" t="s">
        <v>1155</v>
      </c>
      <c r="D421" s="14"/>
    </row>
    <row r="422" customFormat="false" ht="15" hidden="false" customHeight="false" outlineLevel="0" collapsed="false">
      <c r="A422" s="14" t="s">
        <v>277</v>
      </c>
      <c r="B422" s="14" t="s">
        <v>325</v>
      </c>
      <c r="C422" s="38" t="s">
        <v>279</v>
      </c>
      <c r="D422" s="54" t="n">
        <v>2</v>
      </c>
      <c r="E422" s="38" t="s">
        <v>280</v>
      </c>
      <c r="F422" s="54" t="n">
        <f aca="false">D422</f>
        <v>2</v>
      </c>
      <c r="G422" s="14" t="s">
        <v>281</v>
      </c>
      <c r="I422" s="38" t="s">
        <v>148</v>
      </c>
      <c r="J422" s="55" t="n">
        <f aca="false">J427+J433+J437</f>
        <v>670.77</v>
      </c>
    </row>
    <row r="423" customFormat="false" ht="15" hidden="false" customHeight="false" outlineLevel="0" collapsed="false">
      <c r="A423" s="14" t="s">
        <v>282</v>
      </c>
      <c r="B423" s="14" t="s">
        <v>283</v>
      </c>
      <c r="F423" s="38" t="s">
        <v>121</v>
      </c>
      <c r="G423" s="38" t="s">
        <v>284</v>
      </c>
      <c r="H423" s="38" t="s">
        <v>285</v>
      </c>
      <c r="I423" s="38" t="s">
        <v>286</v>
      </c>
      <c r="J423" s="38" t="s">
        <v>287</v>
      </c>
    </row>
    <row r="424" customFormat="false" ht="15" hidden="false" customHeight="false" outlineLevel="0" collapsed="false">
      <c r="B424" s="56" t="s">
        <v>288</v>
      </c>
    </row>
    <row r="425" customFormat="false" ht="15" hidden="false" customHeight="false" outlineLevel="0" collapsed="false">
      <c r="B425" s="1" t="s">
        <v>291</v>
      </c>
      <c r="F425" s="57" t="s">
        <v>290</v>
      </c>
      <c r="G425" s="58" t="n">
        <v>1</v>
      </c>
      <c r="H425" s="59" t="n">
        <f aca="false">G425*8/$D$422</f>
        <v>4</v>
      </c>
      <c r="I425" s="30" t="n">
        <v>22.66</v>
      </c>
      <c r="J425" s="30" t="n">
        <f aca="false">H425*I425</f>
        <v>90.64</v>
      </c>
      <c r="K425" s="1" t="n">
        <v>47</v>
      </c>
    </row>
    <row r="426" customFormat="false" ht="15" hidden="false" customHeight="false" outlineLevel="0" collapsed="false">
      <c r="B426" s="1" t="s">
        <v>1170</v>
      </c>
      <c r="F426" s="57" t="s">
        <v>290</v>
      </c>
      <c r="G426" s="58" t="n">
        <v>1</v>
      </c>
      <c r="H426" s="59" t="n">
        <f aca="false">G426*8/$D$422</f>
        <v>4</v>
      </c>
      <c r="I426" s="1" t="n">
        <v>26.11</v>
      </c>
      <c r="J426" s="30" t="n">
        <f aca="false">H426*I426</f>
        <v>104.44</v>
      </c>
      <c r="K426" s="1" t="n">
        <v>47</v>
      </c>
    </row>
    <row r="427" customFormat="false" ht="15" hidden="false" customHeight="false" outlineLevel="0" collapsed="false">
      <c r="F427" s="57"/>
      <c r="G427" s="58"/>
      <c r="H427" s="59"/>
      <c r="J427" s="55" t="n">
        <f aca="false">ROUND(SUM(J425:J426),2)</f>
        <v>195.08</v>
      </c>
    </row>
    <row r="428" customFormat="false" ht="15" hidden="false" customHeight="false" outlineLevel="0" collapsed="false">
      <c r="B428" s="56" t="s">
        <v>652</v>
      </c>
      <c r="F428" s="57"/>
      <c r="G428" s="58"/>
      <c r="H428" s="59"/>
      <c r="I428" s="59"/>
      <c r="J428" s="30"/>
    </row>
    <row r="429" customFormat="false" ht="15" hidden="false" customHeight="false" outlineLevel="0" collapsed="false">
      <c r="B429" s="1" t="s">
        <v>1212</v>
      </c>
      <c r="F429" s="57" t="s">
        <v>148</v>
      </c>
      <c r="H429" s="59" t="n">
        <v>1</v>
      </c>
      <c r="I429" s="30" t="n">
        <v>85</v>
      </c>
      <c r="J429" s="30" t="n">
        <f aca="false">H429*I429</f>
        <v>85</v>
      </c>
      <c r="K429" s="1" t="n">
        <v>30</v>
      </c>
    </row>
    <row r="430" customFormat="false" ht="15" hidden="false" customHeight="false" outlineLevel="0" collapsed="false">
      <c r="B430" s="1" t="s">
        <v>1213</v>
      </c>
      <c r="F430" s="57" t="s">
        <v>148</v>
      </c>
      <c r="H430" s="59" t="n">
        <v>1</v>
      </c>
      <c r="I430" s="30" t="n">
        <v>317.48</v>
      </c>
      <c r="J430" s="30" t="n">
        <f aca="false">H430*I430</f>
        <v>317.48</v>
      </c>
      <c r="K430" s="1" t="n">
        <v>30</v>
      </c>
    </row>
    <row r="431" customFormat="false" ht="15" hidden="false" customHeight="false" outlineLevel="0" collapsed="false">
      <c r="B431" s="1" t="s">
        <v>1214</v>
      </c>
      <c r="F431" s="57" t="s">
        <v>148</v>
      </c>
      <c r="H431" s="59" t="n">
        <v>1</v>
      </c>
      <c r="I431" s="30" t="n">
        <v>3.5</v>
      </c>
      <c r="J431" s="30" t="n">
        <f aca="false">H431*I431</f>
        <v>3.5</v>
      </c>
      <c r="K431" s="1" t="n">
        <v>30</v>
      </c>
    </row>
    <row r="432" customFormat="false" ht="15" hidden="false" customHeight="false" outlineLevel="0" collapsed="false">
      <c r="B432" s="1" t="s">
        <v>1215</v>
      </c>
      <c r="F432" s="57" t="s">
        <v>148</v>
      </c>
      <c r="H432" s="59" t="n">
        <v>1</v>
      </c>
      <c r="I432" s="30" t="n">
        <v>22.5</v>
      </c>
      <c r="J432" s="30" t="n">
        <f aca="false">H432*I432</f>
        <v>22.5</v>
      </c>
      <c r="K432" s="1" t="n">
        <v>30</v>
      </c>
    </row>
    <row r="433" customFormat="false" ht="15" hidden="false" customHeight="false" outlineLevel="0" collapsed="false">
      <c r="J433" s="55" t="n">
        <f aca="false">ROUND(SUM(J429:J432),2)</f>
        <v>428.48</v>
      </c>
    </row>
    <row r="434" customFormat="false" ht="15" hidden="false" customHeight="false" outlineLevel="0" collapsed="false">
      <c r="B434" s="56" t="s">
        <v>308</v>
      </c>
    </row>
    <row r="435" customFormat="false" ht="15" hidden="false" customHeight="false" outlineLevel="0" collapsed="false">
      <c r="B435" s="1" t="s">
        <v>309</v>
      </c>
      <c r="F435" s="57" t="s">
        <v>310</v>
      </c>
      <c r="H435" s="59" t="n">
        <v>3</v>
      </c>
      <c r="I435" s="30" t="n">
        <f aca="false">J427</f>
        <v>195.08</v>
      </c>
      <c r="J435" s="30" t="n">
        <f aca="false">H435%*I435</f>
        <v>5.8524</v>
      </c>
      <c r="K435" s="1" t="n">
        <v>37</v>
      </c>
    </row>
    <row r="436" customFormat="false" ht="15" hidden="false" customHeight="false" outlineLevel="0" collapsed="false">
      <c r="B436" s="1" t="s">
        <v>862</v>
      </c>
      <c r="F436" s="57" t="s">
        <v>863</v>
      </c>
      <c r="G436" s="58" t="n">
        <v>1</v>
      </c>
      <c r="H436" s="59" t="n">
        <f aca="false">G436*8/$D$422</f>
        <v>4</v>
      </c>
      <c r="I436" s="71" t="n">
        <v>10.34</v>
      </c>
      <c r="J436" s="30" t="n">
        <f aca="false">H436*I436</f>
        <v>41.36</v>
      </c>
      <c r="K436" s="1" t="n">
        <v>39</v>
      </c>
    </row>
    <row r="437" customFormat="false" ht="15" hidden="false" customHeight="false" outlineLevel="0" collapsed="false">
      <c r="A437" s="62"/>
      <c r="B437" s="62"/>
      <c r="C437" s="62"/>
      <c r="D437" s="62"/>
      <c r="E437" s="62"/>
      <c r="F437" s="62"/>
      <c r="G437" s="62"/>
      <c r="H437" s="62"/>
      <c r="I437" s="83"/>
      <c r="J437" s="63" t="n">
        <f aca="false">ROUND(SUM(J435:J436),2)</f>
        <v>47.21</v>
      </c>
    </row>
    <row r="439" customFormat="false" ht="15" hidden="false" customHeight="false" outlineLevel="0" collapsed="false">
      <c r="A439" s="14" t="s">
        <v>276</v>
      </c>
      <c r="B439" s="14" t="str">
        <f aca="false">COMUNICACIONES!A35</f>
        <v>06.03.03</v>
      </c>
      <c r="C439" s="14" t="s">
        <v>1157</v>
      </c>
      <c r="D439" s="14"/>
    </row>
    <row r="440" customFormat="false" ht="15" hidden="false" customHeight="false" outlineLevel="0" collapsed="false">
      <c r="A440" s="14" t="s">
        <v>277</v>
      </c>
      <c r="B440" s="14" t="s">
        <v>325</v>
      </c>
      <c r="C440" s="38" t="s">
        <v>279</v>
      </c>
      <c r="D440" s="54" t="n">
        <v>2</v>
      </c>
      <c r="E440" s="38" t="s">
        <v>280</v>
      </c>
      <c r="F440" s="54" t="n">
        <f aca="false">D440</f>
        <v>2</v>
      </c>
      <c r="G440" s="14" t="s">
        <v>281</v>
      </c>
      <c r="I440" s="38" t="s">
        <v>148</v>
      </c>
      <c r="J440" s="55" t="n">
        <f aca="false">J445+J448+J452</f>
        <v>557.91</v>
      </c>
    </row>
    <row r="441" customFormat="false" ht="15" hidden="false" customHeight="false" outlineLevel="0" collapsed="false">
      <c r="A441" s="14" t="s">
        <v>282</v>
      </c>
      <c r="B441" s="14" t="s">
        <v>283</v>
      </c>
      <c r="F441" s="38" t="s">
        <v>121</v>
      </c>
      <c r="G441" s="38" t="s">
        <v>284</v>
      </c>
      <c r="H441" s="38" t="s">
        <v>285</v>
      </c>
      <c r="I441" s="38" t="s">
        <v>286</v>
      </c>
      <c r="J441" s="38" t="s">
        <v>287</v>
      </c>
    </row>
    <row r="442" customFormat="false" ht="15" hidden="false" customHeight="false" outlineLevel="0" collapsed="false">
      <c r="B442" s="56" t="s">
        <v>288</v>
      </c>
    </row>
    <row r="443" customFormat="false" ht="15" hidden="false" customHeight="false" outlineLevel="0" collapsed="false">
      <c r="B443" s="1" t="s">
        <v>291</v>
      </c>
      <c r="F443" s="57" t="s">
        <v>290</v>
      </c>
      <c r="G443" s="58" t="n">
        <v>1</v>
      </c>
      <c r="H443" s="59" t="n">
        <f aca="false">G443*8/$D$440</f>
        <v>4</v>
      </c>
      <c r="I443" s="30" t="n">
        <v>22.66</v>
      </c>
      <c r="J443" s="30" t="n">
        <f aca="false">H443*I443</f>
        <v>90.64</v>
      </c>
      <c r="K443" s="1" t="n">
        <v>47</v>
      </c>
    </row>
    <row r="444" customFormat="false" ht="15" hidden="false" customHeight="false" outlineLevel="0" collapsed="false">
      <c r="B444" s="1" t="s">
        <v>1170</v>
      </c>
      <c r="F444" s="57" t="s">
        <v>290</v>
      </c>
      <c r="G444" s="58" t="n">
        <v>1</v>
      </c>
      <c r="H444" s="59" t="n">
        <f aca="false">G444*8/$D$440</f>
        <v>4</v>
      </c>
      <c r="I444" s="1" t="n">
        <v>26.11</v>
      </c>
      <c r="J444" s="30" t="n">
        <f aca="false">H444*I444</f>
        <v>104.44</v>
      </c>
      <c r="K444" s="1" t="n">
        <v>47</v>
      </c>
    </row>
    <row r="445" customFormat="false" ht="15" hidden="false" customHeight="false" outlineLevel="0" collapsed="false">
      <c r="F445" s="57"/>
      <c r="G445" s="58"/>
      <c r="H445" s="59"/>
      <c r="J445" s="55" t="n">
        <f aca="false">ROUND(SUM(J443:J444),2)</f>
        <v>195.08</v>
      </c>
    </row>
    <row r="446" customFormat="false" ht="15" hidden="false" customHeight="false" outlineLevel="0" collapsed="false">
      <c r="B446" s="56" t="s">
        <v>652</v>
      </c>
      <c r="F446" s="57"/>
      <c r="G446" s="58"/>
      <c r="H446" s="59"/>
      <c r="I446" s="59"/>
      <c r="J446" s="30"/>
    </row>
    <row r="447" customFormat="false" ht="15" hidden="false" customHeight="false" outlineLevel="0" collapsed="false">
      <c r="B447" s="1" t="s">
        <v>1216</v>
      </c>
      <c r="F447" s="57" t="s">
        <v>148</v>
      </c>
      <c r="H447" s="59" t="n">
        <v>1</v>
      </c>
      <c r="I447" s="30" t="n">
        <v>315.62</v>
      </c>
      <c r="J447" s="30" t="n">
        <f aca="false">H447*I447</f>
        <v>315.62</v>
      </c>
      <c r="K447" s="1" t="n">
        <v>30</v>
      </c>
    </row>
    <row r="448" customFormat="false" ht="15" hidden="false" customHeight="false" outlineLevel="0" collapsed="false">
      <c r="J448" s="55" t="n">
        <f aca="false">ROUND(SUM(J447:J447),2)</f>
        <v>315.62</v>
      </c>
    </row>
    <row r="449" customFormat="false" ht="15" hidden="false" customHeight="false" outlineLevel="0" collapsed="false">
      <c r="B449" s="56" t="s">
        <v>308</v>
      </c>
    </row>
    <row r="450" customFormat="false" ht="15" hidden="false" customHeight="false" outlineLevel="0" collapsed="false">
      <c r="B450" s="1" t="s">
        <v>309</v>
      </c>
      <c r="F450" s="57" t="s">
        <v>310</v>
      </c>
      <c r="H450" s="59" t="n">
        <v>3</v>
      </c>
      <c r="I450" s="30" t="n">
        <f aca="false">J445</f>
        <v>195.08</v>
      </c>
      <c r="J450" s="30" t="n">
        <f aca="false">H450%*I450</f>
        <v>5.8524</v>
      </c>
      <c r="K450" s="1" t="n">
        <v>37</v>
      </c>
    </row>
    <row r="451" customFormat="false" ht="15" hidden="false" customHeight="false" outlineLevel="0" collapsed="false">
      <c r="B451" s="1" t="s">
        <v>862</v>
      </c>
      <c r="F451" s="57" t="s">
        <v>863</v>
      </c>
      <c r="G451" s="58" t="n">
        <v>1</v>
      </c>
      <c r="H451" s="59" t="n">
        <f aca="false">G451*8/$D$440</f>
        <v>4</v>
      </c>
      <c r="I451" s="71" t="n">
        <v>10.34</v>
      </c>
      <c r="J451" s="30" t="n">
        <f aca="false">H451*I451</f>
        <v>41.36</v>
      </c>
      <c r="K451" s="1" t="n">
        <v>39</v>
      </c>
    </row>
    <row r="452" customFormat="false" ht="15" hidden="false" customHeight="false" outlineLevel="0" collapsed="false">
      <c r="A452" s="62"/>
      <c r="B452" s="62"/>
      <c r="C452" s="62"/>
      <c r="D452" s="62"/>
      <c r="E452" s="62"/>
      <c r="F452" s="62"/>
      <c r="G452" s="62"/>
      <c r="H452" s="62"/>
      <c r="I452" s="83"/>
      <c r="J452" s="63" t="n">
        <f aca="false">ROUND(SUM(J450:J451),2)</f>
        <v>47.21</v>
      </c>
    </row>
    <row r="454" customFormat="false" ht="15" hidden="false" customHeight="false" outlineLevel="0" collapsed="false">
      <c r="A454" s="14" t="s">
        <v>276</v>
      </c>
      <c r="B454" s="14" t="str">
        <f aca="false">COMUNICACIONES!A37</f>
        <v>06.04.01</v>
      </c>
      <c r="C454" s="14" t="s">
        <v>1160</v>
      </c>
      <c r="D454" s="14"/>
    </row>
    <row r="455" customFormat="false" ht="15" hidden="false" customHeight="false" outlineLevel="0" collapsed="false">
      <c r="A455" s="14" t="s">
        <v>277</v>
      </c>
      <c r="B455" s="14" t="s">
        <v>325</v>
      </c>
      <c r="C455" s="38" t="s">
        <v>279</v>
      </c>
      <c r="D455" s="54" t="n">
        <v>2</v>
      </c>
      <c r="E455" s="38" t="s">
        <v>280</v>
      </c>
      <c r="F455" s="54" t="n">
        <f aca="false">D455</f>
        <v>2</v>
      </c>
      <c r="G455" s="14" t="s">
        <v>281</v>
      </c>
      <c r="I455" s="38" t="s">
        <v>148</v>
      </c>
      <c r="J455" s="55" t="n">
        <f aca="false">J460+J463+J466</f>
        <v>526.63</v>
      </c>
    </row>
    <row r="456" customFormat="false" ht="15" hidden="false" customHeight="false" outlineLevel="0" collapsed="false">
      <c r="A456" s="14" t="s">
        <v>282</v>
      </c>
      <c r="B456" s="14" t="s">
        <v>283</v>
      </c>
      <c r="F456" s="38" t="s">
        <v>121</v>
      </c>
      <c r="G456" s="38" t="s">
        <v>284</v>
      </c>
      <c r="H456" s="38" t="s">
        <v>285</v>
      </c>
      <c r="I456" s="38" t="s">
        <v>286</v>
      </c>
      <c r="J456" s="38" t="s">
        <v>287</v>
      </c>
    </row>
    <row r="457" customFormat="false" ht="15" hidden="false" customHeight="false" outlineLevel="0" collapsed="false">
      <c r="B457" s="56" t="s">
        <v>288</v>
      </c>
    </row>
    <row r="458" customFormat="false" ht="15" hidden="false" customHeight="false" outlineLevel="0" collapsed="false">
      <c r="B458" s="1" t="s">
        <v>291</v>
      </c>
      <c r="F458" s="57" t="s">
        <v>290</v>
      </c>
      <c r="G458" s="58" t="n">
        <v>1</v>
      </c>
      <c r="H458" s="59" t="n">
        <f aca="false">G458*8/$D$455</f>
        <v>4</v>
      </c>
      <c r="I458" s="30" t="n">
        <v>22.66</v>
      </c>
      <c r="J458" s="30" t="n">
        <f aca="false">H458*I458</f>
        <v>90.64</v>
      </c>
      <c r="K458" s="1" t="n">
        <v>47</v>
      </c>
      <c r="M458" s="14"/>
    </row>
    <row r="459" customFormat="false" ht="15" hidden="false" customHeight="false" outlineLevel="0" collapsed="false">
      <c r="B459" s="1" t="s">
        <v>1170</v>
      </c>
      <c r="F459" s="57" t="s">
        <v>290</v>
      </c>
      <c r="G459" s="58" t="n">
        <v>1</v>
      </c>
      <c r="H459" s="59" t="n">
        <f aca="false">G459*8/$D$455</f>
        <v>4</v>
      </c>
      <c r="I459" s="1" t="n">
        <v>26.11</v>
      </c>
      <c r="J459" s="30" t="n">
        <f aca="false">H459*I459</f>
        <v>104.44</v>
      </c>
      <c r="K459" s="1" t="n">
        <v>47</v>
      </c>
      <c r="M459" s="14"/>
    </row>
    <row r="460" customFormat="false" ht="15" hidden="false" customHeight="false" outlineLevel="0" collapsed="false">
      <c r="F460" s="57"/>
      <c r="G460" s="58"/>
      <c r="H460" s="59"/>
      <c r="J460" s="55" t="n">
        <f aca="false">ROUND(SUM(J458:J459),2)</f>
        <v>195.08</v>
      </c>
      <c r="L460" s="14"/>
      <c r="M460" s="14"/>
    </row>
    <row r="461" customFormat="false" ht="15" hidden="false" customHeight="false" outlineLevel="0" collapsed="false">
      <c r="B461" s="56" t="s">
        <v>652</v>
      </c>
      <c r="F461" s="57"/>
      <c r="G461" s="58"/>
      <c r="H461" s="59"/>
      <c r="I461" s="59"/>
      <c r="J461" s="30"/>
      <c r="M461" s="14"/>
    </row>
    <row r="462" customFormat="false" ht="15" hidden="false" customHeight="false" outlineLevel="0" collapsed="false">
      <c r="B462" s="1" t="s">
        <v>1217</v>
      </c>
      <c r="F462" s="57" t="s">
        <v>148</v>
      </c>
      <c r="H462" s="59" t="n">
        <v>1</v>
      </c>
      <c r="I462" s="30" t="n">
        <v>325.7</v>
      </c>
      <c r="J462" s="30" t="n">
        <f aca="false">H462*I462</f>
        <v>325.7</v>
      </c>
      <c r="K462" s="1" t="n">
        <v>30</v>
      </c>
      <c r="M462" s="14"/>
    </row>
    <row r="463" customFormat="false" ht="15" hidden="false" customHeight="false" outlineLevel="0" collapsed="false">
      <c r="J463" s="55" t="n">
        <f aca="false">ROUND(SUM(J462:J462),2)</f>
        <v>325.7</v>
      </c>
    </row>
    <row r="464" customFormat="false" ht="15" hidden="false" customHeight="false" outlineLevel="0" collapsed="false">
      <c r="B464" s="56" t="s">
        <v>308</v>
      </c>
    </row>
    <row r="465" customFormat="false" ht="15" hidden="false" customHeight="false" outlineLevel="0" collapsed="false">
      <c r="B465" s="1" t="s">
        <v>309</v>
      </c>
      <c r="F465" s="57" t="s">
        <v>310</v>
      </c>
      <c r="H465" s="59" t="n">
        <v>3</v>
      </c>
      <c r="I465" s="30" t="n">
        <f aca="false">J460</f>
        <v>195.08</v>
      </c>
      <c r="J465" s="30" t="n">
        <f aca="false">H465%*I465</f>
        <v>5.8524</v>
      </c>
      <c r="K465" s="1" t="n">
        <v>37</v>
      </c>
    </row>
    <row r="466" customFormat="false" ht="15" hidden="false" customHeight="false" outlineLevel="0" collapsed="false">
      <c r="A466" s="62"/>
      <c r="B466" s="62"/>
      <c r="C466" s="62"/>
      <c r="D466" s="62"/>
      <c r="E466" s="62"/>
      <c r="F466" s="62"/>
      <c r="G466" s="62"/>
      <c r="H466" s="62"/>
      <c r="I466" s="83"/>
      <c r="J466" s="63" t="n">
        <f aca="false">ROUND(SUM(J465:J465),2)</f>
        <v>5.85</v>
      </c>
    </row>
    <row r="468" customFormat="false" ht="15" hidden="false" customHeight="false" outlineLevel="0" collapsed="false">
      <c r="A468" s="14" t="s">
        <v>276</v>
      </c>
      <c r="B468" s="14" t="str">
        <f aca="false">COMUNICACIONES!A38</f>
        <v>06.04.02</v>
      </c>
      <c r="C468" s="14" t="s">
        <v>1162</v>
      </c>
      <c r="D468" s="14"/>
    </row>
    <row r="469" customFormat="false" ht="15" hidden="false" customHeight="false" outlineLevel="0" collapsed="false">
      <c r="A469" s="14" t="s">
        <v>277</v>
      </c>
      <c r="B469" s="14" t="s">
        <v>325</v>
      </c>
      <c r="C469" s="38" t="s">
        <v>279</v>
      </c>
      <c r="D469" s="54" t="n">
        <v>2</v>
      </c>
      <c r="E469" s="38" t="s">
        <v>280</v>
      </c>
      <c r="F469" s="54" t="n">
        <f aca="false">D469</f>
        <v>2</v>
      </c>
      <c r="G469" s="14" t="s">
        <v>281</v>
      </c>
      <c r="I469" s="38" t="s">
        <v>148</v>
      </c>
      <c r="J469" s="55" t="n">
        <f aca="false">J474+J477+J481</f>
        <v>404.74</v>
      </c>
    </row>
    <row r="470" customFormat="false" ht="15" hidden="false" customHeight="false" outlineLevel="0" collapsed="false">
      <c r="A470" s="14" t="s">
        <v>282</v>
      </c>
      <c r="B470" s="14" t="s">
        <v>283</v>
      </c>
      <c r="F470" s="38" t="s">
        <v>121</v>
      </c>
      <c r="G470" s="38" t="s">
        <v>284</v>
      </c>
      <c r="H470" s="38" t="s">
        <v>285</v>
      </c>
      <c r="I470" s="38" t="s">
        <v>286</v>
      </c>
      <c r="J470" s="38" t="s">
        <v>287</v>
      </c>
    </row>
    <row r="471" customFormat="false" ht="15" hidden="false" customHeight="false" outlineLevel="0" collapsed="false">
      <c r="B471" s="56" t="s">
        <v>288</v>
      </c>
    </row>
    <row r="472" customFormat="false" ht="15" hidden="false" customHeight="false" outlineLevel="0" collapsed="false">
      <c r="B472" s="1" t="s">
        <v>291</v>
      </c>
      <c r="F472" s="57" t="s">
        <v>290</v>
      </c>
      <c r="G472" s="58" t="n">
        <v>1</v>
      </c>
      <c r="H472" s="59" t="n">
        <f aca="false">G472*8/$D$469</f>
        <v>4</v>
      </c>
      <c r="I472" s="30" t="n">
        <v>22.66</v>
      </c>
      <c r="J472" s="30" t="n">
        <f aca="false">H472*I472</f>
        <v>90.64</v>
      </c>
      <c r="K472" s="1" t="n">
        <v>47</v>
      </c>
    </row>
    <row r="473" customFormat="false" ht="15" hidden="false" customHeight="false" outlineLevel="0" collapsed="false">
      <c r="B473" s="1" t="s">
        <v>1170</v>
      </c>
      <c r="F473" s="57" t="s">
        <v>290</v>
      </c>
      <c r="G473" s="58" t="n">
        <v>1</v>
      </c>
      <c r="H473" s="59" t="n">
        <f aca="false">G473*8/$D$469</f>
        <v>4</v>
      </c>
      <c r="I473" s="1" t="n">
        <v>26.11</v>
      </c>
      <c r="J473" s="30" t="n">
        <f aca="false">H473*I473</f>
        <v>104.44</v>
      </c>
      <c r="K473" s="1" t="n">
        <v>47</v>
      </c>
    </row>
    <row r="474" customFormat="false" ht="15" hidden="false" customHeight="false" outlineLevel="0" collapsed="false">
      <c r="F474" s="57"/>
      <c r="G474" s="58"/>
      <c r="H474" s="59"/>
      <c r="J474" s="55" t="n">
        <f aca="false">ROUND(SUM(J472:J473),2)</f>
        <v>195.08</v>
      </c>
    </row>
    <row r="475" customFormat="false" ht="15" hidden="false" customHeight="false" outlineLevel="0" collapsed="false">
      <c r="B475" s="56" t="s">
        <v>652</v>
      </c>
      <c r="F475" s="57"/>
      <c r="G475" s="58"/>
      <c r="H475" s="59"/>
      <c r="I475" s="59"/>
      <c r="J475" s="30"/>
    </row>
    <row r="476" customFormat="false" ht="15" hidden="false" customHeight="false" outlineLevel="0" collapsed="false">
      <c r="B476" s="1" t="s">
        <v>1162</v>
      </c>
      <c r="F476" s="57" t="s">
        <v>148</v>
      </c>
      <c r="H476" s="59" t="n">
        <v>1</v>
      </c>
      <c r="I476" s="30" t="n">
        <v>162.45</v>
      </c>
      <c r="J476" s="30" t="n">
        <f aca="false">H476*I476</f>
        <v>162.45</v>
      </c>
      <c r="K476" s="1" t="n">
        <v>30</v>
      </c>
    </row>
    <row r="477" customFormat="false" ht="15" hidden="false" customHeight="false" outlineLevel="0" collapsed="false">
      <c r="J477" s="55" t="n">
        <f aca="false">ROUND(SUM(J476:J476),2)</f>
        <v>162.45</v>
      </c>
    </row>
    <row r="478" customFormat="false" ht="15" hidden="false" customHeight="false" outlineLevel="0" collapsed="false">
      <c r="B478" s="56" t="s">
        <v>308</v>
      </c>
    </row>
    <row r="479" customFormat="false" ht="15" hidden="false" customHeight="false" outlineLevel="0" collapsed="false">
      <c r="B479" s="1" t="s">
        <v>309</v>
      </c>
      <c r="F479" s="57" t="s">
        <v>310</v>
      </c>
      <c r="H479" s="59" t="n">
        <v>3</v>
      </c>
      <c r="I479" s="30" t="n">
        <f aca="false">J474</f>
        <v>195.08</v>
      </c>
      <c r="J479" s="30" t="n">
        <f aca="false">H479%*I479</f>
        <v>5.8524</v>
      </c>
      <c r="K479" s="1" t="n">
        <v>37</v>
      </c>
    </row>
    <row r="480" customFormat="false" ht="15" hidden="false" customHeight="false" outlineLevel="0" collapsed="false">
      <c r="B480" s="1" t="s">
        <v>862</v>
      </c>
      <c r="F480" s="57" t="s">
        <v>863</v>
      </c>
      <c r="G480" s="58" t="n">
        <v>1</v>
      </c>
      <c r="H480" s="59" t="n">
        <f aca="false">G480*8/$D$469</f>
        <v>4</v>
      </c>
      <c r="I480" s="71" t="n">
        <v>10.34</v>
      </c>
      <c r="J480" s="30" t="n">
        <f aca="false">H480*I480</f>
        <v>41.36</v>
      </c>
      <c r="K480" s="1" t="n">
        <v>39</v>
      </c>
    </row>
    <row r="481" customFormat="false" ht="15" hidden="false" customHeight="false" outlineLevel="0" collapsed="false">
      <c r="A481" s="62"/>
      <c r="B481" s="62"/>
      <c r="C481" s="62"/>
      <c r="D481" s="62"/>
      <c r="E481" s="62"/>
      <c r="F481" s="62"/>
      <c r="G481" s="62"/>
      <c r="H481" s="62"/>
      <c r="I481" s="83"/>
      <c r="J481" s="63" t="n">
        <f aca="false">ROUND(SUM(J479:J480),2)</f>
        <v>47.21</v>
      </c>
    </row>
    <row r="483" customFormat="false" ht="15" hidden="false" customHeight="false" outlineLevel="0" collapsed="false">
      <c r="A483" s="14" t="s">
        <v>276</v>
      </c>
      <c r="B483" s="14" t="str">
        <f aca="false">COMUNICACIONES!A40</f>
        <v>06.05.01</v>
      </c>
      <c r="C483" s="14" t="s">
        <v>1165</v>
      </c>
      <c r="D483" s="14"/>
    </row>
    <row r="484" customFormat="false" ht="15" hidden="false" customHeight="false" outlineLevel="0" collapsed="false">
      <c r="A484" s="14" t="s">
        <v>277</v>
      </c>
      <c r="B484" s="14" t="s">
        <v>325</v>
      </c>
      <c r="C484" s="38" t="s">
        <v>279</v>
      </c>
      <c r="D484" s="54" t="n">
        <v>1</v>
      </c>
      <c r="E484" s="38" t="s">
        <v>280</v>
      </c>
      <c r="F484" s="54" t="n">
        <f aca="false">D484</f>
        <v>1</v>
      </c>
      <c r="G484" s="14" t="s">
        <v>281</v>
      </c>
      <c r="I484" s="38" t="s">
        <v>148</v>
      </c>
      <c r="J484" s="55" t="n">
        <f aca="false">J488+J491+J494</f>
        <v>949.43</v>
      </c>
    </row>
    <row r="485" customFormat="false" ht="15" hidden="false" customHeight="false" outlineLevel="0" collapsed="false">
      <c r="A485" s="14" t="s">
        <v>282</v>
      </c>
      <c r="B485" s="14" t="s">
        <v>283</v>
      </c>
      <c r="F485" s="38" t="s">
        <v>121</v>
      </c>
      <c r="G485" s="38" t="s">
        <v>284</v>
      </c>
      <c r="H485" s="38" t="s">
        <v>285</v>
      </c>
      <c r="I485" s="38" t="s">
        <v>286</v>
      </c>
      <c r="J485" s="38" t="s">
        <v>287</v>
      </c>
    </row>
    <row r="486" customFormat="false" ht="15" hidden="false" customHeight="false" outlineLevel="0" collapsed="false">
      <c r="B486" s="56" t="s">
        <v>288</v>
      </c>
    </row>
    <row r="487" customFormat="false" ht="15" hidden="false" customHeight="false" outlineLevel="0" collapsed="false">
      <c r="B487" s="1" t="s">
        <v>675</v>
      </c>
      <c r="F487" s="57" t="s">
        <v>290</v>
      </c>
      <c r="G487" s="58" t="n">
        <v>1</v>
      </c>
      <c r="H487" s="59" t="n">
        <f aca="false">G487*8/$D$484</f>
        <v>8</v>
      </c>
      <c r="I487" s="1" t="n">
        <v>22.66</v>
      </c>
      <c r="J487" s="30" t="n">
        <f aca="false">H487*I487</f>
        <v>181.28</v>
      </c>
      <c r="K487" s="1" t="n">
        <v>47</v>
      </c>
    </row>
    <row r="488" customFormat="false" ht="15" hidden="false" customHeight="false" outlineLevel="0" collapsed="false">
      <c r="F488" s="57"/>
      <c r="G488" s="58"/>
      <c r="H488" s="59"/>
      <c r="J488" s="55" t="n">
        <f aca="false">ROUND(SUM(J487:J487),2)</f>
        <v>181.28</v>
      </c>
    </row>
    <row r="489" customFormat="false" ht="15" hidden="false" customHeight="false" outlineLevel="0" collapsed="false">
      <c r="B489" s="56" t="s">
        <v>652</v>
      </c>
      <c r="F489" s="57"/>
      <c r="G489" s="58"/>
      <c r="H489" s="59"/>
      <c r="I489" s="59"/>
      <c r="J489" s="30"/>
    </row>
    <row r="490" customFormat="false" ht="15" hidden="false" customHeight="false" outlineLevel="0" collapsed="false">
      <c r="B490" s="1" t="s">
        <v>1218</v>
      </c>
      <c r="F490" s="57" t="s">
        <v>148</v>
      </c>
      <c r="H490" s="59" t="n">
        <v>1</v>
      </c>
      <c r="I490" s="30" t="n">
        <v>762.71</v>
      </c>
      <c r="J490" s="30" t="n">
        <f aca="false">H490*I490</f>
        <v>762.71</v>
      </c>
      <c r="K490" s="1" t="n">
        <v>30</v>
      </c>
    </row>
    <row r="491" customFormat="false" ht="15" hidden="false" customHeight="false" outlineLevel="0" collapsed="false">
      <c r="J491" s="55" t="n">
        <f aca="false">ROUND(SUM(J490:J490),2)</f>
        <v>762.71</v>
      </c>
    </row>
    <row r="492" customFormat="false" ht="15" hidden="false" customHeight="false" outlineLevel="0" collapsed="false">
      <c r="B492" s="56" t="s">
        <v>308</v>
      </c>
    </row>
    <row r="493" customFormat="false" ht="15" hidden="false" customHeight="false" outlineLevel="0" collapsed="false">
      <c r="B493" s="1" t="s">
        <v>309</v>
      </c>
      <c r="F493" s="57" t="s">
        <v>310</v>
      </c>
      <c r="H493" s="59" t="n">
        <v>3</v>
      </c>
      <c r="I493" s="30" t="n">
        <f aca="false">J488</f>
        <v>181.28</v>
      </c>
      <c r="J493" s="30" t="n">
        <f aca="false">H493%*I493</f>
        <v>5.4384</v>
      </c>
      <c r="K493" s="1" t="n">
        <v>37</v>
      </c>
    </row>
    <row r="494" customFormat="false" ht="15" hidden="false" customHeight="false" outlineLevel="0" collapsed="false">
      <c r="A494" s="62"/>
      <c r="B494" s="62"/>
      <c r="C494" s="62"/>
      <c r="D494" s="62"/>
      <c r="E494" s="62"/>
      <c r="F494" s="62"/>
      <c r="G494" s="62"/>
      <c r="H494" s="62"/>
      <c r="I494" s="83"/>
      <c r="J494" s="63" t="n">
        <f aca="false">ROUND(SUM(J493),2)</f>
        <v>5.44</v>
      </c>
    </row>
    <row r="496" customFormat="false" ht="15" hidden="false" customHeight="false" outlineLevel="0" collapsed="false">
      <c r="A496" s="14" t="s">
        <v>276</v>
      </c>
      <c r="B496" s="14" t="str">
        <f aca="false">COMUNICACIONES!A41</f>
        <v>06.05.02</v>
      </c>
      <c r="C496" s="14" t="s">
        <v>1167</v>
      </c>
      <c r="D496" s="14"/>
    </row>
    <row r="497" customFormat="false" ht="15" hidden="false" customHeight="false" outlineLevel="0" collapsed="false">
      <c r="A497" s="14" t="s">
        <v>277</v>
      </c>
      <c r="B497" s="14" t="s">
        <v>325</v>
      </c>
      <c r="C497" s="38" t="s">
        <v>279</v>
      </c>
      <c r="D497" s="54" t="n">
        <v>8</v>
      </c>
      <c r="E497" s="38" t="s">
        <v>280</v>
      </c>
      <c r="F497" s="54" t="n">
        <f aca="false">D497</f>
        <v>8</v>
      </c>
      <c r="G497" s="14" t="s">
        <v>281</v>
      </c>
      <c r="I497" s="38" t="s">
        <v>148</v>
      </c>
      <c r="J497" s="55" t="n">
        <f aca="false">J503+J506+J510</f>
        <v>106.38</v>
      </c>
    </row>
    <row r="498" customFormat="false" ht="15" hidden="false" customHeight="false" outlineLevel="0" collapsed="false">
      <c r="A498" s="14" t="s">
        <v>282</v>
      </c>
      <c r="B498" s="14" t="s">
        <v>283</v>
      </c>
      <c r="F498" s="38" t="s">
        <v>121</v>
      </c>
      <c r="G498" s="38" t="s">
        <v>284</v>
      </c>
      <c r="H498" s="38" t="s">
        <v>285</v>
      </c>
      <c r="I498" s="38" t="s">
        <v>286</v>
      </c>
      <c r="J498" s="38" t="s">
        <v>287</v>
      </c>
    </row>
    <row r="499" customFormat="false" ht="15" hidden="false" customHeight="false" outlineLevel="0" collapsed="false">
      <c r="B499" s="56" t="s">
        <v>288</v>
      </c>
    </row>
    <row r="500" customFormat="false" ht="15" hidden="false" customHeight="false" outlineLevel="0" collapsed="false">
      <c r="B500" s="1" t="s">
        <v>649</v>
      </c>
      <c r="F500" s="57" t="s">
        <v>290</v>
      </c>
      <c r="G500" s="58" t="n">
        <v>0.1</v>
      </c>
      <c r="H500" s="59" t="n">
        <f aca="false">G500*8/$D$497</f>
        <v>0.1</v>
      </c>
      <c r="I500" s="1" t="n">
        <v>34.73</v>
      </c>
      <c r="J500" s="30" t="n">
        <f aca="false">H500*I500</f>
        <v>3.473</v>
      </c>
      <c r="K500" s="1" t="n">
        <v>47</v>
      </c>
      <c r="L500" s="14"/>
    </row>
    <row r="501" customFormat="false" ht="15" hidden="false" customHeight="false" outlineLevel="0" collapsed="false">
      <c r="B501" s="1" t="s">
        <v>289</v>
      </c>
      <c r="F501" s="57" t="s">
        <v>290</v>
      </c>
      <c r="G501" s="58" t="n">
        <v>1</v>
      </c>
      <c r="H501" s="59" t="n">
        <f aca="false">G501*8/$D$497</f>
        <v>1</v>
      </c>
      <c r="I501" s="1" t="n">
        <v>28.94</v>
      </c>
      <c r="J501" s="30" t="n">
        <f aca="false">H501*I501</f>
        <v>28.94</v>
      </c>
      <c r="K501" s="1" t="n">
        <v>47</v>
      </c>
      <c r="L501" s="56"/>
    </row>
    <row r="502" customFormat="false" ht="15" hidden="false" customHeight="false" outlineLevel="0" collapsed="false">
      <c r="B502" s="1" t="s">
        <v>292</v>
      </c>
      <c r="F502" s="57" t="s">
        <v>290</v>
      </c>
      <c r="G502" s="58" t="n">
        <v>1</v>
      </c>
      <c r="H502" s="59" t="n">
        <f aca="false">G502*8/$D$497</f>
        <v>1</v>
      </c>
      <c r="I502" s="1" t="n">
        <v>20.51</v>
      </c>
      <c r="J502" s="30" t="n">
        <f aca="false">H502*I502</f>
        <v>20.51</v>
      </c>
      <c r="K502" s="1" t="n">
        <v>47</v>
      </c>
    </row>
    <row r="503" customFormat="false" ht="15" hidden="false" customHeight="false" outlineLevel="0" collapsed="false">
      <c r="F503" s="57"/>
      <c r="G503" s="58"/>
      <c r="H503" s="59"/>
      <c r="J503" s="55" t="n">
        <f aca="false">ROUND(SUM(J500:J502),2)</f>
        <v>52.92</v>
      </c>
    </row>
    <row r="504" customFormat="false" ht="15" hidden="false" customHeight="false" outlineLevel="0" collapsed="false">
      <c r="B504" s="56" t="s">
        <v>652</v>
      </c>
      <c r="F504" s="57"/>
      <c r="G504" s="58"/>
      <c r="H504" s="59"/>
      <c r="I504" s="59"/>
      <c r="J504" s="30"/>
    </row>
    <row r="505" customFormat="false" ht="15" hidden="false" customHeight="false" outlineLevel="0" collapsed="false">
      <c r="B505" s="1" t="s">
        <v>1219</v>
      </c>
      <c r="F505" s="57" t="s">
        <v>148</v>
      </c>
      <c r="H505" s="59" t="n">
        <v>1</v>
      </c>
      <c r="I505" s="30" t="n">
        <v>41.53</v>
      </c>
      <c r="J505" s="30" t="n">
        <f aca="false">H505*I505</f>
        <v>41.53</v>
      </c>
      <c r="K505" s="1" t="n">
        <v>30</v>
      </c>
    </row>
    <row r="506" customFormat="false" ht="15" hidden="false" customHeight="false" outlineLevel="0" collapsed="false">
      <c r="J506" s="55" t="n">
        <f aca="false">ROUND(SUM(J505:J505),2)</f>
        <v>41.53</v>
      </c>
    </row>
    <row r="507" customFormat="false" ht="15" hidden="false" customHeight="false" outlineLevel="0" collapsed="false">
      <c r="B507" s="56" t="s">
        <v>308</v>
      </c>
      <c r="L507" s="56"/>
    </row>
    <row r="508" customFormat="false" ht="15" hidden="false" customHeight="false" outlineLevel="0" collapsed="false">
      <c r="B508" s="1" t="s">
        <v>309</v>
      </c>
      <c r="F508" s="57" t="s">
        <v>310</v>
      </c>
      <c r="H508" s="59" t="n">
        <v>3</v>
      </c>
      <c r="I508" s="30" t="n">
        <f aca="false">J503</f>
        <v>52.92</v>
      </c>
      <c r="J508" s="30" t="n">
        <f aca="false">H508%*I508</f>
        <v>1.5876</v>
      </c>
      <c r="K508" s="1" t="n">
        <v>37</v>
      </c>
    </row>
    <row r="509" customFormat="false" ht="15" hidden="false" customHeight="false" outlineLevel="0" collapsed="false">
      <c r="B509" s="1" t="s">
        <v>862</v>
      </c>
      <c r="F509" s="57" t="s">
        <v>863</v>
      </c>
      <c r="G509" s="58" t="n">
        <v>1</v>
      </c>
      <c r="H509" s="59" t="n">
        <f aca="false">G509*8/$D$497</f>
        <v>1</v>
      </c>
      <c r="I509" s="71" t="n">
        <v>10.34</v>
      </c>
      <c r="J509" s="30" t="n">
        <f aca="false">H509*I509</f>
        <v>10.34</v>
      </c>
      <c r="K509" s="1" t="n">
        <v>39</v>
      </c>
    </row>
    <row r="510" customFormat="false" ht="15" hidden="false" customHeight="false" outlineLevel="0" collapsed="false">
      <c r="A510" s="62"/>
      <c r="B510" s="62"/>
      <c r="C510" s="62"/>
      <c r="D510" s="62"/>
      <c r="E510" s="62"/>
      <c r="F510" s="62"/>
      <c r="G510" s="62"/>
      <c r="H510" s="62"/>
      <c r="I510" s="83"/>
      <c r="J510" s="63" t="n">
        <f aca="false">ROUND(SUM(J508:J509),2)</f>
        <v>11.93</v>
      </c>
      <c r="L510" s="56"/>
    </row>
    <row r="512" customFormat="false" ht="15" hidden="false" customHeight="false" outlineLevel="0" collapsed="false">
      <c r="A512" s="14" t="s">
        <v>276</v>
      </c>
      <c r="B512" s="14" t="str">
        <f aca="false">COMUNICACIONES!A42</f>
        <v>06.05.03</v>
      </c>
      <c r="C512" s="14" t="s">
        <v>1169</v>
      </c>
      <c r="D512" s="14"/>
    </row>
    <row r="513" customFormat="false" ht="15" hidden="false" customHeight="false" outlineLevel="0" collapsed="false">
      <c r="A513" s="14" t="s">
        <v>277</v>
      </c>
      <c r="B513" s="14" t="s">
        <v>325</v>
      </c>
      <c r="C513" s="38" t="s">
        <v>279</v>
      </c>
      <c r="D513" s="54" t="n">
        <v>8</v>
      </c>
      <c r="E513" s="38" t="s">
        <v>280</v>
      </c>
      <c r="F513" s="54" t="n">
        <f aca="false">D513</f>
        <v>8</v>
      </c>
      <c r="G513" s="14" t="s">
        <v>281</v>
      </c>
      <c r="I513" s="38" t="s">
        <v>148</v>
      </c>
      <c r="J513" s="55" t="n">
        <f aca="false">J519+J524+J527</f>
        <v>64.33</v>
      </c>
    </row>
    <row r="514" customFormat="false" ht="15" hidden="false" customHeight="false" outlineLevel="0" collapsed="false">
      <c r="A514" s="14" t="s">
        <v>282</v>
      </c>
      <c r="B514" s="14" t="s">
        <v>283</v>
      </c>
      <c r="F514" s="38" t="s">
        <v>121</v>
      </c>
      <c r="G514" s="38" t="s">
        <v>284</v>
      </c>
      <c r="H514" s="38" t="s">
        <v>285</v>
      </c>
      <c r="I514" s="38" t="s">
        <v>286</v>
      </c>
      <c r="J514" s="38" t="s">
        <v>287</v>
      </c>
    </row>
    <row r="515" customFormat="false" ht="15" hidden="false" customHeight="false" outlineLevel="0" collapsed="false">
      <c r="B515" s="56" t="s">
        <v>288</v>
      </c>
    </row>
    <row r="516" customFormat="false" ht="15" hidden="false" customHeight="false" outlineLevel="0" collapsed="false">
      <c r="B516" s="1" t="s">
        <v>649</v>
      </c>
      <c r="F516" s="57" t="s">
        <v>290</v>
      </c>
      <c r="G516" s="58" t="n">
        <v>0.1</v>
      </c>
      <c r="H516" s="59" t="n">
        <f aca="false">G516*8/$D$513</f>
        <v>0.1</v>
      </c>
      <c r="I516" s="1" t="n">
        <v>34.73</v>
      </c>
      <c r="J516" s="30" t="n">
        <f aca="false">H516*I516</f>
        <v>3.473</v>
      </c>
      <c r="K516" s="1" t="n">
        <v>47</v>
      </c>
    </row>
    <row r="517" customFormat="false" ht="15" hidden="false" customHeight="false" outlineLevel="0" collapsed="false">
      <c r="B517" s="1" t="s">
        <v>289</v>
      </c>
      <c r="F517" s="57" t="s">
        <v>290</v>
      </c>
      <c r="G517" s="58" t="n">
        <v>1</v>
      </c>
      <c r="H517" s="59" t="n">
        <f aca="false">G517*8/$D$513</f>
        <v>1</v>
      </c>
      <c r="I517" s="1" t="n">
        <v>28.94</v>
      </c>
      <c r="J517" s="30" t="n">
        <f aca="false">H517*I517</f>
        <v>28.94</v>
      </c>
      <c r="K517" s="1" t="n">
        <v>47</v>
      </c>
    </row>
    <row r="518" customFormat="false" ht="15" hidden="false" customHeight="false" outlineLevel="0" collapsed="false">
      <c r="B518" s="1" t="s">
        <v>292</v>
      </c>
      <c r="F518" s="57" t="s">
        <v>290</v>
      </c>
      <c r="G518" s="58" t="n">
        <v>1</v>
      </c>
      <c r="H518" s="59" t="n">
        <f aca="false">G518*8/$D$513</f>
        <v>1</v>
      </c>
      <c r="I518" s="1" t="n">
        <v>20.51</v>
      </c>
      <c r="J518" s="30" t="n">
        <f aca="false">H518*I518</f>
        <v>20.51</v>
      </c>
      <c r="K518" s="1" t="n">
        <v>47</v>
      </c>
    </row>
    <row r="519" customFormat="false" ht="15" hidden="false" customHeight="false" outlineLevel="0" collapsed="false">
      <c r="F519" s="57"/>
      <c r="G519" s="58"/>
      <c r="H519" s="59"/>
      <c r="J519" s="55" t="n">
        <f aca="false">ROUND(SUM(J516:J518),2)</f>
        <v>52.92</v>
      </c>
    </row>
    <row r="520" customFormat="false" ht="15" hidden="false" customHeight="false" outlineLevel="0" collapsed="false">
      <c r="B520" s="56" t="s">
        <v>652</v>
      </c>
      <c r="F520" s="57"/>
      <c r="G520" s="58"/>
      <c r="H520" s="59"/>
      <c r="I520" s="59"/>
      <c r="J520" s="30"/>
    </row>
    <row r="521" customFormat="false" ht="15" hidden="false" customHeight="false" outlineLevel="0" collapsed="false">
      <c r="B521" s="1" t="s">
        <v>1187</v>
      </c>
      <c r="F521" s="57" t="s">
        <v>148</v>
      </c>
      <c r="H521" s="59" t="n">
        <v>2</v>
      </c>
      <c r="I521" s="30" t="n">
        <v>2.54</v>
      </c>
      <c r="J521" s="30" t="n">
        <f aca="false">H521*I521</f>
        <v>5.08</v>
      </c>
      <c r="K521" s="1" t="n">
        <v>72</v>
      </c>
    </row>
    <row r="522" customFormat="false" ht="15" hidden="false" customHeight="false" outlineLevel="0" collapsed="false">
      <c r="B522" s="1" t="s">
        <v>1220</v>
      </c>
      <c r="F522" s="57" t="s">
        <v>148</v>
      </c>
      <c r="H522" s="59" t="n">
        <v>1</v>
      </c>
      <c r="I522" s="30" t="n">
        <v>3.81</v>
      </c>
      <c r="J522" s="30" t="n">
        <f aca="false">H522*I522</f>
        <v>3.81</v>
      </c>
      <c r="K522" s="1" t="n">
        <v>12</v>
      </c>
    </row>
    <row r="523" customFormat="false" ht="15" hidden="false" customHeight="false" outlineLevel="0" collapsed="false">
      <c r="B523" s="1" t="s">
        <v>1174</v>
      </c>
      <c r="F523" s="57" t="s">
        <v>148</v>
      </c>
      <c r="H523" s="59" t="n">
        <v>1</v>
      </c>
      <c r="I523" s="30" t="n">
        <v>0.93</v>
      </c>
      <c r="J523" s="30" t="n">
        <f aca="false">H523*I523</f>
        <v>0.93</v>
      </c>
      <c r="K523" s="1" t="n">
        <v>72</v>
      </c>
      <c r="L523" s="14"/>
      <c r="M523" s="14"/>
    </row>
    <row r="524" customFormat="false" ht="15" hidden="false" customHeight="false" outlineLevel="0" collapsed="false">
      <c r="J524" s="55" t="n">
        <f aca="false">ROUND(SUM(J521:J523),2)</f>
        <v>9.82</v>
      </c>
      <c r="M524" s="14"/>
    </row>
    <row r="525" customFormat="false" ht="15" hidden="false" customHeight="false" outlineLevel="0" collapsed="false">
      <c r="B525" s="56" t="s">
        <v>308</v>
      </c>
    </row>
    <row r="526" customFormat="false" ht="15" hidden="false" customHeight="false" outlineLevel="0" collapsed="false">
      <c r="B526" s="1" t="s">
        <v>309</v>
      </c>
      <c r="F526" s="57" t="s">
        <v>310</v>
      </c>
      <c r="H526" s="59" t="n">
        <v>3</v>
      </c>
      <c r="I526" s="30" t="n">
        <f aca="false">J519</f>
        <v>52.92</v>
      </c>
      <c r="J526" s="30" t="n">
        <f aca="false">H526%*I526</f>
        <v>1.5876</v>
      </c>
      <c r="K526" s="1" t="n">
        <v>37</v>
      </c>
      <c r="L526" s="14"/>
      <c r="N526" s="30"/>
    </row>
    <row r="527" customFormat="false" ht="15" hidden="false" customHeight="false" outlineLevel="0" collapsed="false">
      <c r="A527" s="62"/>
      <c r="B527" s="62"/>
      <c r="C527" s="62"/>
      <c r="D527" s="62"/>
      <c r="E527" s="62"/>
      <c r="F527" s="62"/>
      <c r="G527" s="62"/>
      <c r="H527" s="62"/>
      <c r="I527" s="83"/>
      <c r="J527" s="63" t="n">
        <f aca="false">ROUND(SUM(J526),2)</f>
        <v>1.59</v>
      </c>
      <c r="L527" s="14"/>
      <c r="N527" s="30"/>
    </row>
    <row r="528" customFormat="false" ht="15" hidden="false" customHeight="false" outlineLevel="0" collapsed="false">
      <c r="L528" s="14"/>
      <c r="N528" s="30"/>
    </row>
    <row r="529" customFormat="false" ht="15" hidden="false" customHeight="false" outlineLevel="0" collapsed="false">
      <c r="L529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I1161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H79" activeCellId="0" sqref="H79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9.3"/>
    <col collapsed="false" customWidth="true" hidden="false" outlineLevel="0" max="9" min="9" style="1" width="11.15"/>
    <col collapsed="false" customWidth="true" hidden="false" outlineLevel="0" max="10" min="10" style="1" width="11.28"/>
    <col collapsed="false" customWidth="true" hidden="false" outlineLevel="0" max="11" min="11" style="1" width="13"/>
    <col collapsed="false" customWidth="true" hidden="false" outlineLevel="0" max="12" min="12" style="1" width="9.3"/>
    <col collapsed="false" customWidth="true" hidden="false" outlineLevel="0" max="14" min="14" style="1" width="10.57"/>
    <col collapsed="false" customWidth="true" hidden="false" outlineLevel="0" max="20" min="20" style="1" width="9.3"/>
    <col collapsed="false" customWidth="true" hidden="false" outlineLevel="0" max="25" min="25" style="1" width="10.43"/>
    <col collapsed="false" customWidth="true" hidden="false" outlineLevel="0" max="26" min="26" style="1" width="11"/>
    <col collapsed="false" customWidth="true" hidden="false" outlineLevel="0" max="34" min="34" style="1" width="9.86"/>
  </cols>
  <sheetData>
    <row r="2" customFormat="false" ht="15" hidden="false" customHeight="false" outlineLevel="0" collapsed="false">
      <c r="M2" s="159" t="s">
        <v>1221</v>
      </c>
      <c r="N2" s="159" t="n">
        <f aca="false">'Datos iniciales '!C3</f>
        <v>1000</v>
      </c>
    </row>
    <row r="3" customFormat="false" ht="15" hidden="false" customHeight="false" outlineLevel="0" collapsed="false">
      <c r="E3" s="38" t="s">
        <v>1222</v>
      </c>
      <c r="F3" s="38" t="s">
        <v>1223</v>
      </c>
      <c r="G3" s="38" t="s">
        <v>121</v>
      </c>
      <c r="H3" s="38" t="s">
        <v>122</v>
      </c>
      <c r="I3" s="38" t="s">
        <v>123</v>
      </c>
      <c r="J3" s="38" t="s">
        <v>452</v>
      </c>
      <c r="K3" s="38" t="s">
        <v>453</v>
      </c>
      <c r="M3" s="159" t="s">
        <v>1224</v>
      </c>
      <c r="N3" s="159" t="n">
        <f aca="false">'Datos iniciales '!B3</f>
        <v>150</v>
      </c>
    </row>
    <row r="4" customFormat="false" ht="15" hidden="false" customHeight="false" outlineLevel="0" collapsed="false">
      <c r="G4" s="160"/>
      <c r="H4" s="76"/>
      <c r="I4" s="30"/>
      <c r="K4" s="9"/>
      <c r="M4" s="159" t="s">
        <v>1225</v>
      </c>
      <c r="N4" s="159" t="n">
        <f aca="false">'Datos iniciales '!D3</f>
        <v>12</v>
      </c>
      <c r="O4" s="1" t="s">
        <v>1226</v>
      </c>
    </row>
    <row r="5" customFormat="false" ht="15" hidden="false" customHeight="false" outlineLevel="0" collapsed="false">
      <c r="K5" s="9"/>
      <c r="M5" s="159"/>
      <c r="N5" s="159"/>
    </row>
    <row r="6" customFormat="false" ht="15" hidden="false" customHeight="false" outlineLevel="0" collapsed="false">
      <c r="A6" s="15" t="s">
        <v>126</v>
      </c>
      <c r="B6" s="15"/>
      <c r="C6" s="15"/>
      <c r="D6" s="15"/>
      <c r="E6" s="15"/>
      <c r="Q6" s="14" t="s">
        <v>276</v>
      </c>
      <c r="R6" s="14"/>
      <c r="S6" s="14" t="s">
        <v>131</v>
      </c>
      <c r="T6" s="14"/>
      <c r="U6" s="14"/>
      <c r="V6" s="14"/>
      <c r="W6" s="14"/>
      <c r="X6" s="14"/>
      <c r="Y6" s="14"/>
    </row>
    <row r="7" customFormat="false" ht="15" hidden="false" customHeight="false" outlineLevel="0" collapsed="false">
      <c r="A7" s="41" t="s">
        <v>127</v>
      </c>
      <c r="B7" s="41"/>
      <c r="H7" s="41"/>
      <c r="I7" s="41"/>
      <c r="J7" s="161"/>
      <c r="K7" s="9" t="n">
        <f aca="false">SUM(J9:J112)</f>
        <v>211078.930482853</v>
      </c>
      <c r="Q7" s="14" t="s">
        <v>277</v>
      </c>
      <c r="R7" s="14" t="s">
        <v>278</v>
      </c>
      <c r="S7" s="38" t="s">
        <v>279</v>
      </c>
      <c r="T7" s="54" t="n">
        <v>25</v>
      </c>
      <c r="U7" s="38" t="s">
        <v>280</v>
      </c>
      <c r="V7" s="54" t="n">
        <f aca="false">T7</f>
        <v>25</v>
      </c>
      <c r="W7" s="14" t="s">
        <v>281</v>
      </c>
      <c r="Y7" s="38" t="s">
        <v>148</v>
      </c>
      <c r="Z7" s="55" t="n">
        <f aca="false">Z14+Z26+Z29</f>
        <v>158.90001</v>
      </c>
    </row>
    <row r="8" customFormat="false" ht="15" hidden="false" customHeight="false" outlineLevel="0" collapsed="false">
      <c r="A8" s="44" t="s">
        <v>129</v>
      </c>
      <c r="B8" s="44"/>
      <c r="I8" s="44"/>
      <c r="J8" s="162"/>
      <c r="K8" s="9"/>
      <c r="Q8" s="14" t="s">
        <v>282</v>
      </c>
      <c r="R8" s="14" t="s">
        <v>283</v>
      </c>
      <c r="V8" s="38" t="s">
        <v>121</v>
      </c>
      <c r="W8" s="38" t="s">
        <v>284</v>
      </c>
      <c r="X8" s="38" t="s">
        <v>285</v>
      </c>
      <c r="Y8" s="38" t="s">
        <v>286</v>
      </c>
      <c r="Z8" s="38" t="s">
        <v>287</v>
      </c>
    </row>
    <row r="9" customFormat="false" ht="15" hidden="false" customHeight="false" outlineLevel="0" collapsed="false">
      <c r="A9" s="1" t="s">
        <v>131</v>
      </c>
      <c r="G9" s="1" t="s">
        <v>1227</v>
      </c>
      <c r="H9" s="1" t="n">
        <v>50</v>
      </c>
      <c r="I9" s="30" t="n">
        <f aca="false">Z7</f>
        <v>158.90001</v>
      </c>
      <c r="J9" s="9" t="n">
        <f aca="false">H9*I9</f>
        <v>7945.0005</v>
      </c>
      <c r="K9" s="9"/>
      <c r="R9" s="56" t="s">
        <v>288</v>
      </c>
    </row>
    <row r="10" customFormat="false" ht="15" hidden="false" customHeight="false" outlineLevel="0" collapsed="false">
      <c r="A10" s="1" t="s">
        <v>134</v>
      </c>
      <c r="G10" s="1" t="s">
        <v>1227</v>
      </c>
      <c r="H10" s="1" t="n">
        <f aca="false">ROUND(0.01*N3,0)</f>
        <v>2</v>
      </c>
      <c r="I10" s="30" t="n">
        <f aca="false">Z32</f>
        <v>144.64563</v>
      </c>
      <c r="J10" s="9" t="n">
        <f aca="false">H10*I10</f>
        <v>289.29126</v>
      </c>
      <c r="V10" s="57"/>
      <c r="W10" s="58"/>
      <c r="X10" s="59"/>
      <c r="Y10" s="30"/>
      <c r="Z10" s="30"/>
    </row>
    <row r="11" customFormat="false" ht="15" hidden="false" customHeight="false" outlineLevel="0" collapsed="false">
      <c r="A11" s="1" t="s">
        <v>136</v>
      </c>
      <c r="G11" s="1" t="s">
        <v>1227</v>
      </c>
      <c r="H11" s="1" t="n">
        <v>8</v>
      </c>
      <c r="I11" s="30" t="n">
        <f aca="false">Z56</f>
        <v>148.03953</v>
      </c>
      <c r="J11" s="9" t="n">
        <f aca="false">H11*I11</f>
        <v>1184.31624</v>
      </c>
      <c r="R11" s="1" t="s">
        <v>289</v>
      </c>
      <c r="V11" s="57" t="s">
        <v>290</v>
      </c>
      <c r="W11" s="58" t="n">
        <v>1</v>
      </c>
      <c r="X11" s="59" t="n">
        <f aca="false">W11*8/$T$7</f>
        <v>0.32</v>
      </c>
      <c r="Y11" s="30" t="n">
        <v>28.94</v>
      </c>
      <c r="Z11" s="30" t="n">
        <f aca="false">X11*Y11</f>
        <v>9.2608</v>
      </c>
    </row>
    <row r="12" customFormat="false" ht="15" hidden="false" customHeight="false" outlineLevel="0" collapsed="false">
      <c r="A12" s="1" t="s">
        <v>138</v>
      </c>
      <c r="G12" s="1" t="s">
        <v>1227</v>
      </c>
      <c r="H12" s="1" t="n">
        <v>50</v>
      </c>
      <c r="I12" s="30" t="n">
        <f aca="false">Z80</f>
        <v>152.56473</v>
      </c>
      <c r="J12" s="9" t="n">
        <f aca="false">H12*I12</f>
        <v>7628.2365</v>
      </c>
      <c r="R12" s="1" t="s">
        <v>291</v>
      </c>
      <c r="V12" s="57" t="s">
        <v>290</v>
      </c>
      <c r="W12" s="58" t="n">
        <v>1</v>
      </c>
      <c r="X12" s="59" t="n">
        <f aca="false">W12*8/$T$7</f>
        <v>0.32</v>
      </c>
      <c r="Y12" s="30" t="n">
        <v>22.66</v>
      </c>
      <c r="Z12" s="30" t="n">
        <f aca="false">X12*Y12</f>
        <v>7.2512</v>
      </c>
    </row>
    <row r="13" customFormat="false" ht="15" hidden="false" customHeight="false" outlineLevel="0" collapsed="false">
      <c r="A13" s="1" t="s">
        <v>140</v>
      </c>
      <c r="G13" s="1" t="s">
        <v>1227</v>
      </c>
      <c r="H13" s="1" t="n">
        <v>25</v>
      </c>
      <c r="I13" s="9" t="n">
        <f aca="false">Z104</f>
        <v>206.192765</v>
      </c>
      <c r="J13" s="9" t="n">
        <f aca="false">H13*I13</f>
        <v>5154.819125</v>
      </c>
      <c r="R13" s="1" t="s">
        <v>292</v>
      </c>
      <c r="V13" s="57" t="s">
        <v>290</v>
      </c>
      <c r="W13" s="58" t="n">
        <v>3</v>
      </c>
      <c r="X13" s="59" t="n">
        <f aca="false">W13*8/$T$7</f>
        <v>0.96</v>
      </c>
      <c r="Y13" s="30" t="n">
        <v>20.51</v>
      </c>
      <c r="Z13" s="30" t="n">
        <f aca="false">X13*Y13</f>
        <v>19.6896</v>
      </c>
    </row>
    <row r="14" customFormat="false" ht="15" hidden="false" customHeight="false" outlineLevel="0" collapsed="false">
      <c r="A14" s="1" t="s">
        <v>142</v>
      </c>
      <c r="G14" s="1" t="s">
        <v>143</v>
      </c>
      <c r="H14" s="58" t="n">
        <f aca="false">ROUND(4*(N2)^0.5,2)</f>
        <v>126.49</v>
      </c>
      <c r="I14" s="30" t="n">
        <f aca="false">Z128</f>
        <v>43.81136</v>
      </c>
      <c r="J14" s="9" t="n">
        <f aca="false">H14*I14</f>
        <v>5541.6989264</v>
      </c>
      <c r="Z14" s="55" t="n">
        <f aca="false">SUM(Z10:Z13)</f>
        <v>36.2016</v>
      </c>
    </row>
    <row r="15" customFormat="false" ht="15" hidden="false" customHeight="false" outlineLevel="0" collapsed="false">
      <c r="A15" s="1" t="s">
        <v>145</v>
      </c>
      <c r="G15" s="1" t="s">
        <v>1227</v>
      </c>
      <c r="H15" s="1" t="n">
        <v>16</v>
      </c>
      <c r="I15" s="30" t="n">
        <f aca="false">Z144</f>
        <v>343.16159</v>
      </c>
      <c r="J15" s="9" t="n">
        <f aca="false">H15*I15</f>
        <v>5490.58544</v>
      </c>
      <c r="R15" s="56" t="s">
        <v>293</v>
      </c>
    </row>
    <row r="16" customFormat="false" ht="15" hidden="false" customHeight="false" outlineLevel="0" collapsed="false">
      <c r="A16" s="1" t="s">
        <v>147</v>
      </c>
      <c r="G16" s="1" t="s">
        <v>148</v>
      </c>
      <c r="H16" s="1" t="n">
        <v>2</v>
      </c>
      <c r="I16" s="30" t="n">
        <f aca="false">Z173</f>
        <v>1453.77752</v>
      </c>
      <c r="J16" s="9" t="n">
        <f aca="false">H16*I16</f>
        <v>2907.55504</v>
      </c>
      <c r="R16" s="1" t="s">
        <v>294</v>
      </c>
      <c r="V16" s="57" t="s">
        <v>295</v>
      </c>
      <c r="W16" s="58"/>
      <c r="X16" s="59" t="n">
        <v>1.25</v>
      </c>
      <c r="Y16" s="30" t="n">
        <v>2.64</v>
      </c>
      <c r="Z16" s="30" t="n">
        <f aca="false">X16*Y16</f>
        <v>3.3</v>
      </c>
    </row>
    <row r="17" customFormat="false" ht="15" hidden="false" customHeight="false" outlineLevel="0" collapsed="false">
      <c r="A17" s="44" t="s">
        <v>150</v>
      </c>
      <c r="G17" s="44"/>
      <c r="H17" s="44"/>
      <c r="I17" s="44"/>
      <c r="J17" s="162"/>
      <c r="K17" s="9"/>
      <c r="R17" s="1" t="s">
        <v>296</v>
      </c>
      <c r="V17" s="57" t="s">
        <v>297</v>
      </c>
      <c r="W17" s="58"/>
      <c r="X17" s="59" t="n">
        <v>1.8</v>
      </c>
      <c r="Y17" s="1" t="n">
        <v>14.15</v>
      </c>
      <c r="Z17" s="30" t="n">
        <f aca="false">X17*Y17</f>
        <v>25.47</v>
      </c>
    </row>
    <row r="18" customFormat="false" ht="15" hidden="false" customHeight="false" outlineLevel="0" collapsed="false">
      <c r="A18" s="1" t="s">
        <v>152</v>
      </c>
      <c r="G18" s="1" t="s">
        <v>153</v>
      </c>
      <c r="H18" s="1" t="n">
        <v>1</v>
      </c>
      <c r="I18" s="30" t="n">
        <v>251.61</v>
      </c>
      <c r="J18" s="9" t="n">
        <f aca="false">PRODUCT(H18*I18)</f>
        <v>251.61</v>
      </c>
      <c r="R18" s="1" t="s">
        <v>298</v>
      </c>
      <c r="V18" s="57" t="s">
        <v>148</v>
      </c>
      <c r="W18" s="58"/>
      <c r="X18" s="59" t="n">
        <v>0.2</v>
      </c>
      <c r="Y18" s="1" t="n">
        <v>55</v>
      </c>
      <c r="Z18" s="30" t="n">
        <f aca="false">X18*Y18</f>
        <v>11</v>
      </c>
    </row>
    <row r="19" customFormat="false" ht="15" hidden="false" customHeight="false" outlineLevel="0" collapsed="false">
      <c r="A19" s="1" t="s">
        <v>155</v>
      </c>
      <c r="G19" s="1" t="s">
        <v>156</v>
      </c>
      <c r="H19" s="1" t="n">
        <f aca="false">N4</f>
        <v>12</v>
      </c>
      <c r="I19" s="30" t="n">
        <v>185.89</v>
      </c>
      <c r="J19" s="9" t="n">
        <f aca="false">PRODUCT(H19*I19)</f>
        <v>2230.68</v>
      </c>
      <c r="L19" s="14"/>
      <c r="R19" s="1" t="s">
        <v>299</v>
      </c>
      <c r="V19" s="57" t="s">
        <v>295</v>
      </c>
      <c r="X19" s="59" t="n">
        <v>0.06</v>
      </c>
      <c r="Y19" s="1" t="n">
        <v>10.93</v>
      </c>
      <c r="Z19" s="30" t="n">
        <f aca="false">X19*Y19</f>
        <v>0.6558</v>
      </c>
    </row>
    <row r="20" customFormat="false" ht="15" hidden="false" customHeight="false" outlineLevel="0" collapsed="false">
      <c r="A20" s="1" t="s">
        <v>158</v>
      </c>
      <c r="G20" s="1" t="s">
        <v>153</v>
      </c>
      <c r="H20" s="1" t="n">
        <v>1</v>
      </c>
      <c r="I20" s="30" t="n">
        <v>976.39</v>
      </c>
      <c r="J20" s="9" t="n">
        <f aca="false">PRODUCT(H20*I20)</f>
        <v>976.39</v>
      </c>
      <c r="L20" s="14"/>
      <c r="R20" s="1" t="s">
        <v>300</v>
      </c>
      <c r="V20" s="57" t="s">
        <v>295</v>
      </c>
      <c r="X20" s="59" t="n">
        <v>0.071</v>
      </c>
      <c r="Y20" s="30" t="n">
        <v>5.51</v>
      </c>
      <c r="Z20" s="30" t="n">
        <f aca="false">X20*Y20</f>
        <v>0.39121</v>
      </c>
    </row>
    <row r="21" customFormat="false" ht="15" hidden="false" customHeight="false" outlineLevel="0" collapsed="false">
      <c r="A21" s="1" t="s">
        <v>160</v>
      </c>
      <c r="G21" s="1" t="s">
        <v>156</v>
      </c>
      <c r="H21" s="1" t="n">
        <f aca="false">N4</f>
        <v>12</v>
      </c>
      <c r="I21" s="30" t="n">
        <v>185.89</v>
      </c>
      <c r="J21" s="9" t="n">
        <f aca="false">PRODUCT(H21*I21)</f>
        <v>2230.68</v>
      </c>
      <c r="L21" s="14"/>
      <c r="R21" s="1" t="s">
        <v>311</v>
      </c>
      <c r="V21" s="57" t="s">
        <v>202</v>
      </c>
      <c r="X21" s="59" t="n">
        <v>0.19</v>
      </c>
      <c r="Y21" s="30" t="n">
        <v>70.92</v>
      </c>
      <c r="Z21" s="30" t="n">
        <f aca="false">X21*Y21</f>
        <v>13.4748</v>
      </c>
    </row>
    <row r="22" customFormat="false" ht="15" hidden="false" customHeight="false" outlineLevel="0" collapsed="false">
      <c r="I22" s="30"/>
      <c r="J22" s="9"/>
      <c r="L22" s="14"/>
      <c r="R22" s="1" t="s">
        <v>302</v>
      </c>
      <c r="V22" s="57" t="s">
        <v>297</v>
      </c>
      <c r="X22" s="59" t="n">
        <v>0.53</v>
      </c>
      <c r="Y22" s="1" t="n">
        <v>27.88</v>
      </c>
      <c r="Z22" s="30" t="n">
        <f aca="false">X22*Y22</f>
        <v>14.7764</v>
      </c>
    </row>
    <row r="23" customFormat="false" ht="15" hidden="false" customHeight="false" outlineLevel="0" collapsed="false">
      <c r="I23" s="30"/>
      <c r="J23" s="9"/>
      <c r="L23" s="14"/>
      <c r="R23" s="1" t="s">
        <v>303</v>
      </c>
      <c r="V23" s="57" t="s">
        <v>304</v>
      </c>
      <c r="X23" s="59" t="n">
        <v>0.2374</v>
      </c>
      <c r="Y23" s="1" t="n">
        <v>32.2</v>
      </c>
      <c r="Z23" s="30" t="n">
        <f aca="false">X23*Y23</f>
        <v>7.64428</v>
      </c>
    </row>
    <row r="24" customFormat="false" ht="15" hidden="false" customHeight="false" outlineLevel="0" collapsed="false">
      <c r="H24" s="14"/>
      <c r="I24" s="30"/>
      <c r="J24" s="9"/>
      <c r="L24" s="14"/>
      <c r="R24" s="1" t="s">
        <v>305</v>
      </c>
      <c r="V24" s="57" t="s">
        <v>306</v>
      </c>
      <c r="X24" s="59" t="n">
        <v>1.092</v>
      </c>
      <c r="Y24" s="30" t="n">
        <v>24.52</v>
      </c>
      <c r="Z24" s="30" t="n">
        <f aca="false">X24*Y24</f>
        <v>26.77584</v>
      </c>
    </row>
    <row r="25" customFormat="false" ht="15" hidden="false" customHeight="false" outlineLevel="0" collapsed="false">
      <c r="A25" s="41" t="s">
        <v>161</v>
      </c>
      <c r="G25" s="41"/>
      <c r="H25" s="41"/>
      <c r="I25" s="41"/>
      <c r="J25" s="161"/>
      <c r="R25" s="1" t="s">
        <v>307</v>
      </c>
      <c r="V25" s="57" t="s">
        <v>304</v>
      </c>
      <c r="X25" s="59" t="n">
        <v>3</v>
      </c>
      <c r="Y25" s="30" t="n">
        <v>5.8</v>
      </c>
      <c r="Z25" s="30" t="n">
        <f aca="false">X25*Y25</f>
        <v>17.4</v>
      </c>
    </row>
    <row r="26" customFormat="false" ht="15" hidden="false" customHeight="false" outlineLevel="0" collapsed="false">
      <c r="A26" s="44" t="s">
        <v>163</v>
      </c>
      <c r="G26" s="44"/>
      <c r="H26" s="44"/>
      <c r="I26" s="44"/>
      <c r="J26" s="162"/>
      <c r="V26" s="57"/>
      <c r="X26" s="59"/>
      <c r="Y26" s="30"/>
      <c r="Z26" s="55" t="n">
        <f aca="false">SUM(Z16:Z25)</f>
        <v>120.88833</v>
      </c>
    </row>
    <row r="27" customFormat="false" ht="15" hidden="false" customHeight="false" outlineLevel="0" collapsed="false">
      <c r="A27" s="1" t="s">
        <v>1228</v>
      </c>
      <c r="G27" s="1" t="s">
        <v>1227</v>
      </c>
      <c r="H27" s="9" t="n">
        <f aca="false">N2</f>
        <v>1000</v>
      </c>
      <c r="I27" s="30" t="n">
        <f aca="false">Z255</f>
        <v>1.14856</v>
      </c>
      <c r="J27" s="9" t="n">
        <f aca="false">H27*I27</f>
        <v>1148.56</v>
      </c>
      <c r="R27" s="56" t="s">
        <v>308</v>
      </c>
    </row>
    <row r="28" customFormat="false" ht="15" hidden="false" customHeight="false" outlineLevel="0" collapsed="false">
      <c r="A28" s="1" t="s">
        <v>167</v>
      </c>
      <c r="G28" s="1" t="s">
        <v>1227</v>
      </c>
      <c r="H28" s="9" t="n">
        <f aca="false">N2</f>
        <v>1000</v>
      </c>
      <c r="I28" s="30" t="n">
        <f aca="false">Z265</f>
        <v>1.35947555555556</v>
      </c>
      <c r="J28" s="9" t="n">
        <f aca="false">H28*I28</f>
        <v>1359.47555555556</v>
      </c>
      <c r="R28" s="1" t="s">
        <v>309</v>
      </c>
      <c r="V28" s="57" t="s">
        <v>310</v>
      </c>
      <c r="X28" s="59" t="n">
        <v>5</v>
      </c>
      <c r="Y28" s="30" t="n">
        <f aca="false">Z14</f>
        <v>36.2016</v>
      </c>
      <c r="Z28" s="30" t="n">
        <f aca="false">X28%*Y28</f>
        <v>1.81008</v>
      </c>
    </row>
    <row r="29" customFormat="false" ht="15" hidden="false" customHeight="false" outlineLevel="0" collapsed="false">
      <c r="A29" s="44" t="s">
        <v>169</v>
      </c>
      <c r="G29" s="44"/>
      <c r="H29" s="44"/>
      <c r="I29" s="44"/>
      <c r="J29" s="162"/>
      <c r="L29" s="14"/>
      <c r="Z29" s="55" t="n">
        <f aca="false">SUM(Z28)</f>
        <v>1.81008</v>
      </c>
    </row>
    <row r="30" customFormat="false" ht="15" hidden="false" customHeight="false" outlineLevel="0" collapsed="false">
      <c r="A30" s="1" t="s">
        <v>171</v>
      </c>
      <c r="G30" s="1" t="s">
        <v>153</v>
      </c>
      <c r="H30" s="1" t="n">
        <v>1</v>
      </c>
      <c r="I30" s="65" t="n">
        <f aca="false">0.05%*'Datos iniciales '!F91</f>
        <v>588.310768291427</v>
      </c>
      <c r="J30" s="9" t="n">
        <f aca="false">H30*I30</f>
        <v>588.310768291427</v>
      </c>
      <c r="L30" s="122"/>
      <c r="Q30" s="60"/>
      <c r="R30" s="60"/>
      <c r="S30" s="60"/>
      <c r="T30" s="60"/>
      <c r="U30" s="60"/>
      <c r="V30" s="60"/>
      <c r="W30" s="60"/>
      <c r="X30" s="61"/>
      <c r="Y30" s="61"/>
      <c r="Z30" s="60"/>
    </row>
    <row r="31" customFormat="false" ht="15" hidden="false" customHeight="false" outlineLevel="0" collapsed="false">
      <c r="A31" s="1" t="s">
        <v>173</v>
      </c>
      <c r="G31" s="1" t="s">
        <v>153</v>
      </c>
      <c r="H31" s="1" t="n">
        <v>1</v>
      </c>
      <c r="I31" s="65" t="n">
        <f aca="false">0.2%*'Datos iniciales '!F91</f>
        <v>2353.24307316571</v>
      </c>
      <c r="J31" s="9" t="n">
        <f aca="false">H31*I31</f>
        <v>2353.24307316571</v>
      </c>
      <c r="Q31" s="14" t="s">
        <v>276</v>
      </c>
      <c r="R31" s="14"/>
      <c r="S31" s="14" t="s">
        <v>134</v>
      </c>
      <c r="T31" s="14"/>
      <c r="U31" s="14"/>
      <c r="V31" s="14"/>
      <c r="W31" s="14"/>
      <c r="X31" s="14"/>
      <c r="Y31" s="14"/>
    </row>
    <row r="32" customFormat="false" ht="15" hidden="false" customHeight="false" outlineLevel="0" collapsed="false">
      <c r="A32" s="44" t="s">
        <v>175</v>
      </c>
      <c r="G32" s="44"/>
      <c r="H32" s="44"/>
      <c r="I32" s="44"/>
      <c r="J32" s="162"/>
      <c r="Q32" s="14" t="s">
        <v>277</v>
      </c>
      <c r="R32" s="14" t="s">
        <v>278</v>
      </c>
      <c r="S32" s="38" t="s">
        <v>279</v>
      </c>
      <c r="T32" s="54" t="n">
        <v>40</v>
      </c>
      <c r="U32" s="38" t="s">
        <v>280</v>
      </c>
      <c r="V32" s="54" t="n">
        <f aca="false">T32</f>
        <v>40</v>
      </c>
      <c r="W32" s="14" t="s">
        <v>281</v>
      </c>
      <c r="Y32" s="38" t="s">
        <v>148</v>
      </c>
      <c r="Z32" s="55" t="n">
        <f aca="false">Z38+Z50+Z53</f>
        <v>144.64563</v>
      </c>
    </row>
    <row r="33" customFormat="false" ht="15" hidden="false" customHeight="false" outlineLevel="0" collapsed="false">
      <c r="A33" s="1" t="s">
        <v>177</v>
      </c>
      <c r="G33" s="1" t="s">
        <v>1227</v>
      </c>
      <c r="H33" s="9" t="n">
        <f aca="false">N2</f>
        <v>1000</v>
      </c>
      <c r="I33" s="30" t="n">
        <f aca="false">Z290</f>
        <v>3.97626</v>
      </c>
      <c r="J33" s="9" t="n">
        <f aca="false">H33*I33</f>
        <v>3976.26</v>
      </c>
      <c r="K33" s="9"/>
      <c r="L33" s="14"/>
      <c r="Q33" s="14" t="s">
        <v>282</v>
      </c>
      <c r="R33" s="14" t="s">
        <v>283</v>
      </c>
      <c r="V33" s="38" t="s">
        <v>121</v>
      </c>
      <c r="W33" s="38" t="s">
        <v>284</v>
      </c>
      <c r="X33" s="38" t="s">
        <v>285</v>
      </c>
      <c r="Y33" s="38" t="s">
        <v>286</v>
      </c>
      <c r="Z33" s="38" t="s">
        <v>287</v>
      </c>
    </row>
    <row r="34" customFormat="false" ht="15" hidden="false" customHeight="false" outlineLevel="0" collapsed="false">
      <c r="A34" s="1" t="s">
        <v>1229</v>
      </c>
      <c r="G34" s="1" t="s">
        <v>1227</v>
      </c>
      <c r="H34" s="9" t="n">
        <f aca="false">N2</f>
        <v>1000</v>
      </c>
      <c r="I34" s="30" t="n">
        <f aca="false">Z310</f>
        <v>4.26553</v>
      </c>
      <c r="J34" s="9" t="n">
        <f aca="false">H34*I34</f>
        <v>4265.53</v>
      </c>
      <c r="L34" s="14"/>
      <c r="R34" s="56" t="s">
        <v>288</v>
      </c>
    </row>
    <row r="35" customFormat="false" ht="15" hidden="false" customHeight="false" outlineLevel="0" collapsed="false">
      <c r="A35" s="41" t="s">
        <v>180</v>
      </c>
      <c r="G35" s="41"/>
      <c r="H35" s="41"/>
      <c r="I35" s="41"/>
      <c r="J35" s="163"/>
      <c r="R35" s="1" t="s">
        <v>289</v>
      </c>
      <c r="V35" s="57" t="s">
        <v>290</v>
      </c>
      <c r="W35" s="58" t="n">
        <v>1</v>
      </c>
      <c r="X35" s="59" t="n">
        <f aca="false">W35*8/$T$32</f>
        <v>0.2</v>
      </c>
      <c r="Y35" s="30" t="n">
        <v>28.94</v>
      </c>
      <c r="Z35" s="30" t="n">
        <f aca="false">X35*Y35</f>
        <v>5.788</v>
      </c>
    </row>
    <row r="36" customFormat="false" ht="15" hidden="false" customHeight="false" outlineLevel="0" collapsed="false">
      <c r="A36" s="44" t="s">
        <v>182</v>
      </c>
      <c r="G36" s="44"/>
      <c r="H36" s="44"/>
      <c r="I36" s="44"/>
      <c r="J36" s="164"/>
      <c r="R36" s="1" t="s">
        <v>291</v>
      </c>
      <c r="V36" s="57" t="s">
        <v>290</v>
      </c>
      <c r="W36" s="58" t="n">
        <v>1</v>
      </c>
      <c r="X36" s="59" t="n">
        <f aca="false">W36*8/$T$32</f>
        <v>0.2</v>
      </c>
      <c r="Y36" s="30" t="n">
        <v>22.66</v>
      </c>
      <c r="Z36" s="30" t="n">
        <f aca="false">X36*Y36</f>
        <v>4.532</v>
      </c>
    </row>
    <row r="37" customFormat="false" ht="15" hidden="false" customHeight="false" outlineLevel="0" collapsed="false">
      <c r="A37" s="1" t="s">
        <v>1230</v>
      </c>
      <c r="G37" s="1" t="s">
        <v>153</v>
      </c>
      <c r="H37" s="1" t="n">
        <v>1</v>
      </c>
      <c r="I37" s="30" t="n">
        <f aca="false">Z352</f>
        <v>41043.35</v>
      </c>
      <c r="J37" s="165" t="n">
        <f aca="false">H37*I37</f>
        <v>41043.35</v>
      </c>
      <c r="R37" s="1" t="s">
        <v>292</v>
      </c>
      <c r="V37" s="57" t="s">
        <v>290</v>
      </c>
      <c r="W37" s="58" t="n">
        <v>3</v>
      </c>
      <c r="X37" s="59" t="n">
        <f aca="false">W37*8/$T$32</f>
        <v>0.6</v>
      </c>
      <c r="Y37" s="30" t="n">
        <v>20.51</v>
      </c>
      <c r="Z37" s="30" t="n">
        <f aca="false">X37*Y37</f>
        <v>12.306</v>
      </c>
    </row>
    <row r="38" customFormat="false" ht="15" hidden="false" customHeight="false" outlineLevel="0" collapsed="false">
      <c r="A38" s="1" t="s">
        <v>1231</v>
      </c>
      <c r="G38" s="1" t="s">
        <v>153</v>
      </c>
      <c r="H38" s="1" t="n">
        <v>1</v>
      </c>
      <c r="I38" s="30" t="n">
        <f aca="false">Z355</f>
        <v>3824.87</v>
      </c>
      <c r="J38" s="165" t="n">
        <f aca="false">H38*I38</f>
        <v>3824.87</v>
      </c>
      <c r="Z38" s="55" t="n">
        <f aca="false">SUM(Z35:Z37)</f>
        <v>22.626</v>
      </c>
    </row>
    <row r="39" customFormat="false" ht="15" hidden="false" customHeight="false" outlineLevel="0" collapsed="false">
      <c r="A39" s="1" t="s">
        <v>1232</v>
      </c>
      <c r="G39" s="1" t="s">
        <v>153</v>
      </c>
      <c r="H39" s="1" t="n">
        <v>1</v>
      </c>
      <c r="I39" s="30" t="n">
        <f aca="false">Z378</f>
        <v>6076.5</v>
      </c>
      <c r="J39" s="165" t="n">
        <f aca="false">H39*I39</f>
        <v>6076.5</v>
      </c>
      <c r="R39" s="56" t="s">
        <v>293</v>
      </c>
    </row>
    <row r="40" customFormat="false" ht="15" hidden="false" customHeight="false" outlineLevel="0" collapsed="false">
      <c r="A40" s="1" t="s">
        <v>1233</v>
      </c>
      <c r="G40" s="1" t="s">
        <v>153</v>
      </c>
      <c r="H40" s="1" t="n">
        <v>1</v>
      </c>
      <c r="I40" s="30" t="n">
        <f aca="false">Z387</f>
        <v>18386.64</v>
      </c>
      <c r="J40" s="165" t="n">
        <f aca="false">H40*I40</f>
        <v>18386.64</v>
      </c>
      <c r="R40" s="1" t="s">
        <v>294</v>
      </c>
      <c r="V40" s="57" t="s">
        <v>295</v>
      </c>
      <c r="W40" s="58"/>
      <c r="X40" s="59" t="n">
        <v>1.25</v>
      </c>
      <c r="Y40" s="30" t="n">
        <v>2.64</v>
      </c>
      <c r="Z40" s="30" t="n">
        <f aca="false">X40*Y40</f>
        <v>3.3</v>
      </c>
    </row>
    <row r="41" customFormat="false" ht="15" hidden="false" customHeight="false" outlineLevel="0" collapsed="false">
      <c r="A41" s="1" t="s">
        <v>1234</v>
      </c>
      <c r="G41" s="1" t="s">
        <v>153</v>
      </c>
      <c r="H41" s="1" t="n">
        <v>1</v>
      </c>
      <c r="I41" s="9" t="n">
        <f aca="false">Z390</f>
        <v>1478.8</v>
      </c>
      <c r="J41" s="165" t="n">
        <f aca="false">H41*I41</f>
        <v>1478.8</v>
      </c>
      <c r="L41" s="9"/>
      <c r="R41" s="1" t="s">
        <v>296</v>
      </c>
      <c r="V41" s="57" t="s">
        <v>297</v>
      </c>
      <c r="W41" s="58"/>
      <c r="X41" s="59" t="n">
        <v>1.8</v>
      </c>
      <c r="Y41" s="1" t="n">
        <v>14.15</v>
      </c>
      <c r="Z41" s="30" t="n">
        <f aca="false">X41*Y41</f>
        <v>25.47</v>
      </c>
    </row>
    <row r="42" customFormat="false" ht="15" hidden="false" customHeight="false" outlineLevel="0" collapsed="false">
      <c r="A42" s="1" t="s">
        <v>1235</v>
      </c>
      <c r="G42" s="1" t="s">
        <v>148</v>
      </c>
      <c r="H42" s="1" t="n">
        <v>1</v>
      </c>
      <c r="I42" s="30" t="n">
        <f aca="false">Z402</f>
        <v>8515.8</v>
      </c>
      <c r="J42" s="165" t="n">
        <f aca="false">H42*I42</f>
        <v>8515.8</v>
      </c>
      <c r="R42" s="1" t="s">
        <v>298</v>
      </c>
      <c r="V42" s="57" t="s">
        <v>148</v>
      </c>
      <c r="W42" s="58"/>
      <c r="X42" s="59" t="n">
        <v>0.2</v>
      </c>
      <c r="Y42" s="1" t="n">
        <v>55</v>
      </c>
      <c r="Z42" s="30" t="n">
        <f aca="false">X42*Y42</f>
        <v>11</v>
      </c>
    </row>
    <row r="43" customFormat="false" ht="15" hidden="false" customHeight="false" outlineLevel="0" collapsed="false">
      <c r="A43" s="1" t="s">
        <v>1236</v>
      </c>
      <c r="G43" s="1" t="s">
        <v>148</v>
      </c>
      <c r="H43" s="1" t="n">
        <v>1</v>
      </c>
      <c r="I43" s="30" t="n">
        <f aca="false">Z410</f>
        <v>29152.28</v>
      </c>
      <c r="J43" s="165" t="n">
        <f aca="false">H43*I43</f>
        <v>29152.28</v>
      </c>
      <c r="R43" s="1" t="s">
        <v>299</v>
      </c>
      <c r="V43" s="57" t="s">
        <v>295</v>
      </c>
      <c r="X43" s="59" t="n">
        <v>0.06</v>
      </c>
      <c r="Y43" s="1" t="n">
        <v>10.93</v>
      </c>
      <c r="Z43" s="30" t="n">
        <f aca="false">X43*Y43</f>
        <v>0.6558</v>
      </c>
    </row>
    <row r="44" customFormat="false" ht="15" hidden="false" customHeight="false" outlineLevel="0" collapsed="false">
      <c r="A44" s="41" t="s">
        <v>197</v>
      </c>
      <c r="G44" s="41"/>
      <c r="H44" s="41"/>
      <c r="I44" s="41"/>
      <c r="J44" s="163"/>
      <c r="R44" s="1" t="s">
        <v>300</v>
      </c>
      <c r="V44" s="57" t="s">
        <v>295</v>
      </c>
      <c r="X44" s="59" t="n">
        <v>0.071</v>
      </c>
      <c r="Y44" s="30" t="n">
        <v>5.51</v>
      </c>
      <c r="Z44" s="30" t="n">
        <f aca="false">X44*Y44</f>
        <v>0.39121</v>
      </c>
    </row>
    <row r="45" customFormat="false" ht="15" hidden="false" customHeight="false" outlineLevel="0" collapsed="false">
      <c r="A45" s="44" t="s">
        <v>199</v>
      </c>
      <c r="G45" s="44"/>
      <c r="H45" s="44"/>
      <c r="I45" s="44"/>
      <c r="J45" s="164"/>
      <c r="K45" s="166"/>
      <c r="R45" s="1" t="s">
        <v>311</v>
      </c>
      <c r="V45" s="57" t="s">
        <v>202</v>
      </c>
      <c r="X45" s="59" t="n">
        <v>0.19</v>
      </c>
      <c r="Y45" s="30" t="n">
        <v>70.92</v>
      </c>
      <c r="Z45" s="30" t="n">
        <f aca="false">X45*Y45</f>
        <v>13.4748</v>
      </c>
    </row>
    <row r="46" customFormat="false" ht="15" hidden="false" customHeight="false" outlineLevel="0" collapsed="false">
      <c r="A46" s="1" t="s">
        <v>1237</v>
      </c>
      <c r="G46" s="1" t="s">
        <v>427</v>
      </c>
      <c r="H46" s="1" t="n">
        <v>609.6</v>
      </c>
      <c r="I46" s="9" t="n">
        <f aca="false">Z418</f>
        <v>32.55584</v>
      </c>
      <c r="J46" s="165" t="n">
        <f aca="false">H46*I46</f>
        <v>19846.040064</v>
      </c>
      <c r="R46" s="1" t="s">
        <v>302</v>
      </c>
      <c r="V46" s="57" t="s">
        <v>297</v>
      </c>
      <c r="X46" s="59" t="n">
        <v>0.53</v>
      </c>
      <c r="Y46" s="1" t="n">
        <v>27.88</v>
      </c>
      <c r="Z46" s="30" t="n">
        <f aca="false">X46*Y46</f>
        <v>14.7764</v>
      </c>
    </row>
    <row r="47" customFormat="false" ht="15" hidden="false" customHeight="false" outlineLevel="0" collapsed="false">
      <c r="A47" s="1" t="s">
        <v>1238</v>
      </c>
      <c r="G47" s="1" t="s">
        <v>148</v>
      </c>
      <c r="H47" s="1" t="n">
        <v>16</v>
      </c>
      <c r="I47" s="9" t="n">
        <f aca="false">Z431</f>
        <v>115.47972</v>
      </c>
      <c r="J47" s="165" t="n">
        <f aca="false">H47*I47</f>
        <v>1847.67552</v>
      </c>
      <c r="R47" s="1" t="s">
        <v>303</v>
      </c>
      <c r="V47" s="57" t="s">
        <v>304</v>
      </c>
      <c r="X47" s="59" t="n">
        <v>0.2374</v>
      </c>
      <c r="Y47" s="1" t="n">
        <v>32.2</v>
      </c>
      <c r="Z47" s="30" t="n">
        <f aca="false">X47*Y47</f>
        <v>7.64428</v>
      </c>
    </row>
    <row r="48" customFormat="false" ht="15" hidden="false" customHeight="false" outlineLevel="0" collapsed="false">
      <c r="A48" s="44" t="s">
        <v>206</v>
      </c>
      <c r="G48" s="44"/>
      <c r="H48" s="44"/>
      <c r="I48" s="44"/>
      <c r="J48" s="164"/>
      <c r="R48" s="1" t="s">
        <v>305</v>
      </c>
      <c r="V48" s="57" t="s">
        <v>306</v>
      </c>
      <c r="X48" s="59" t="n">
        <v>1.092</v>
      </c>
      <c r="Y48" s="30" t="n">
        <v>24.52</v>
      </c>
      <c r="Z48" s="30" t="n">
        <f aca="false">X48*Y48</f>
        <v>26.77584</v>
      </c>
    </row>
    <row r="49" customFormat="false" ht="15" hidden="false" customHeight="false" outlineLevel="0" collapsed="false">
      <c r="A49" s="1" t="s">
        <v>1239</v>
      </c>
      <c r="G49" s="1" t="s">
        <v>153</v>
      </c>
      <c r="H49" s="1" t="n">
        <v>12</v>
      </c>
      <c r="I49" s="9" t="n">
        <f aca="false">Z454</f>
        <v>135.964</v>
      </c>
      <c r="J49" s="165" t="n">
        <f aca="false">H49*I49</f>
        <v>1631.568</v>
      </c>
      <c r="R49" s="1" t="s">
        <v>307</v>
      </c>
      <c r="V49" s="57" t="s">
        <v>304</v>
      </c>
      <c r="X49" s="59" t="n">
        <v>3</v>
      </c>
      <c r="Y49" s="30" t="n">
        <v>5.8</v>
      </c>
      <c r="Z49" s="30" t="n">
        <f aca="false">X49*Y49</f>
        <v>17.4</v>
      </c>
    </row>
    <row r="50" customFormat="false" ht="15" hidden="false" customHeight="false" outlineLevel="0" collapsed="false">
      <c r="A50" s="44" t="s">
        <v>210</v>
      </c>
      <c r="G50" s="44"/>
      <c r="H50" s="44"/>
      <c r="I50" s="44"/>
      <c r="J50" s="164"/>
      <c r="V50" s="57"/>
      <c r="X50" s="59"/>
      <c r="Y50" s="30"/>
      <c r="Z50" s="55" t="n">
        <f aca="false">SUM(Z40:Z49)</f>
        <v>120.88833</v>
      </c>
    </row>
    <row r="51" customFormat="false" ht="15" hidden="false" customHeight="false" outlineLevel="0" collapsed="false">
      <c r="A51" s="1" t="s">
        <v>1240</v>
      </c>
      <c r="G51" s="1" t="s">
        <v>213</v>
      </c>
      <c r="H51" s="1" t="n">
        <v>6</v>
      </c>
      <c r="I51" s="9" t="n">
        <f aca="false">Z457</f>
        <v>1915.25</v>
      </c>
      <c r="J51" s="165" t="n">
        <f aca="false">H51*I51</f>
        <v>11491.5</v>
      </c>
      <c r="L51" s="9"/>
      <c r="R51" s="56" t="s">
        <v>308</v>
      </c>
    </row>
    <row r="52" customFormat="false" ht="15" hidden="false" customHeight="false" outlineLevel="0" collapsed="false">
      <c r="A52" s="44" t="s">
        <v>215</v>
      </c>
      <c r="G52" s="44"/>
      <c r="H52" s="44"/>
      <c r="I52" s="44"/>
      <c r="J52" s="164"/>
      <c r="R52" s="1" t="s">
        <v>309</v>
      </c>
      <c r="V52" s="57" t="s">
        <v>310</v>
      </c>
      <c r="X52" s="59" t="n">
        <v>5</v>
      </c>
      <c r="Y52" s="30" t="n">
        <f aca="false">Z38</f>
        <v>22.626</v>
      </c>
      <c r="Z52" s="30" t="n">
        <f aca="false">X52%*Y52</f>
        <v>1.1313</v>
      </c>
    </row>
    <row r="53" customFormat="false" ht="15" hidden="false" customHeight="false" outlineLevel="0" collapsed="false">
      <c r="A53" s="167" t="s">
        <v>217</v>
      </c>
      <c r="G53" s="167"/>
      <c r="H53" s="167"/>
      <c r="I53" s="167"/>
      <c r="J53" s="168"/>
      <c r="Q53" s="62"/>
      <c r="R53" s="62"/>
      <c r="S53" s="62"/>
      <c r="T53" s="62"/>
      <c r="U53" s="62"/>
      <c r="V53" s="62"/>
      <c r="W53" s="62"/>
      <c r="X53" s="62"/>
      <c r="Y53" s="62"/>
      <c r="Z53" s="63" t="n">
        <f aca="false">SUM(Z52)</f>
        <v>1.1313</v>
      </c>
    </row>
    <row r="54" customFormat="false" ht="15" hidden="false" customHeight="false" outlineLevel="0" collapsed="false">
      <c r="A54" s="1" t="s">
        <v>1241</v>
      </c>
      <c r="G54" s="1" t="s">
        <v>148</v>
      </c>
      <c r="H54" s="1" t="n">
        <v>3</v>
      </c>
      <c r="I54" s="9" t="n">
        <f aca="false">Z464</f>
        <v>167.0412</v>
      </c>
      <c r="J54" s="165" t="n">
        <f aca="false">H54*I54</f>
        <v>501.1236</v>
      </c>
    </row>
    <row r="55" customFormat="false" ht="15" hidden="false" customHeight="false" outlineLevel="0" collapsed="false">
      <c r="A55" s="1" t="s">
        <v>1242</v>
      </c>
      <c r="G55" s="1" t="s">
        <v>427</v>
      </c>
      <c r="H55" s="1" t="n">
        <f aca="false">0.75*$N$4</f>
        <v>9</v>
      </c>
      <c r="I55" s="9" t="n">
        <f aca="false">Z477</f>
        <v>163.192133333333</v>
      </c>
      <c r="J55" s="165" t="n">
        <f aca="false">H55*I55</f>
        <v>1468.7292</v>
      </c>
      <c r="Q55" s="14" t="s">
        <v>276</v>
      </c>
      <c r="R55" s="14"/>
      <c r="S55" s="14" t="s">
        <v>136</v>
      </c>
      <c r="T55" s="14"/>
      <c r="U55" s="14"/>
      <c r="V55" s="14"/>
      <c r="W55" s="14"/>
      <c r="X55" s="14"/>
      <c r="Y55" s="14"/>
    </row>
    <row r="56" customFormat="false" ht="15" hidden="false" customHeight="false" outlineLevel="0" collapsed="false">
      <c r="A56" s="1" t="s">
        <v>1243</v>
      </c>
      <c r="G56" s="1" t="s">
        <v>427</v>
      </c>
      <c r="H56" s="1" t="n">
        <f aca="false">0.75*$N$4</f>
        <v>9</v>
      </c>
      <c r="I56" s="9" t="n">
        <f aca="false">Z495</f>
        <v>406.78</v>
      </c>
      <c r="J56" s="165" t="n">
        <f aca="false">H56*I56</f>
        <v>3661.02</v>
      </c>
      <c r="Q56" s="14" t="s">
        <v>277</v>
      </c>
      <c r="R56" s="14" t="s">
        <v>278</v>
      </c>
      <c r="S56" s="38" t="s">
        <v>279</v>
      </c>
      <c r="T56" s="54" t="n">
        <v>35</v>
      </c>
      <c r="U56" s="38" t="s">
        <v>280</v>
      </c>
      <c r="V56" s="54" t="n">
        <f aca="false">T56</f>
        <v>35</v>
      </c>
      <c r="W56" s="14" t="s">
        <v>281</v>
      </c>
      <c r="Y56" s="38" t="s">
        <v>148</v>
      </c>
      <c r="Z56" s="55" t="n">
        <f aca="false">Z62+Z74+Z77</f>
        <v>148.03953</v>
      </c>
    </row>
    <row r="57" customFormat="false" ht="15" hidden="false" customHeight="false" outlineLevel="0" collapsed="false">
      <c r="A57" s="167" t="s">
        <v>225</v>
      </c>
      <c r="G57" s="167"/>
      <c r="H57" s="167"/>
      <c r="I57" s="167"/>
      <c r="J57" s="168"/>
      <c r="Q57" s="14" t="s">
        <v>282</v>
      </c>
      <c r="R57" s="14" t="s">
        <v>283</v>
      </c>
      <c r="V57" s="38" t="s">
        <v>121</v>
      </c>
      <c r="W57" s="38" t="s">
        <v>284</v>
      </c>
      <c r="X57" s="38" t="s">
        <v>285</v>
      </c>
      <c r="Y57" s="38" t="s">
        <v>286</v>
      </c>
      <c r="Z57" s="38" t="s">
        <v>287</v>
      </c>
    </row>
    <row r="58" customFormat="false" ht="15" hidden="false" customHeight="false" outlineLevel="0" collapsed="false">
      <c r="A58" s="1" t="s">
        <v>1244</v>
      </c>
      <c r="G58" s="1" t="s">
        <v>1227</v>
      </c>
      <c r="H58" s="1" t="n">
        <f aca="false">ROUND(0.001*N2,2)</f>
        <v>1</v>
      </c>
      <c r="I58" s="9" t="n">
        <f aca="false">Z506</f>
        <v>80.19009</v>
      </c>
      <c r="J58" s="165" t="n">
        <f aca="false">H58*I58</f>
        <v>80.19009</v>
      </c>
      <c r="R58" s="56" t="s">
        <v>288</v>
      </c>
    </row>
    <row r="59" customFormat="false" ht="15" hidden="false" customHeight="false" outlineLevel="0" collapsed="false">
      <c r="A59" s="1" t="s">
        <v>1241</v>
      </c>
      <c r="G59" s="1" t="s">
        <v>148</v>
      </c>
      <c r="H59" s="1" t="n">
        <v>15</v>
      </c>
      <c r="I59" s="9" t="n">
        <f aca="false">Z526</f>
        <v>148.272048780488</v>
      </c>
      <c r="J59" s="165" t="n">
        <f aca="false">H59*I59</f>
        <v>2224.08073170732</v>
      </c>
      <c r="R59" s="1" t="s">
        <v>289</v>
      </c>
      <c r="V59" s="57" t="s">
        <v>290</v>
      </c>
      <c r="W59" s="58" t="n">
        <v>1</v>
      </c>
      <c r="X59" s="59" t="n">
        <f aca="false">W59*8/$T$56</f>
        <v>0.228571428571429</v>
      </c>
      <c r="Y59" s="30" t="n">
        <v>28.94</v>
      </c>
      <c r="Z59" s="30" t="n">
        <f aca="false">X59*Y59</f>
        <v>6.61485714285714</v>
      </c>
    </row>
    <row r="60" customFormat="false" ht="15" hidden="false" customHeight="false" outlineLevel="0" collapsed="false">
      <c r="A60" s="1" t="s">
        <v>1245</v>
      </c>
      <c r="G60" s="1" t="s">
        <v>427</v>
      </c>
      <c r="H60" s="1" t="n">
        <f aca="false">ROUND(2*$N$4,2)</f>
        <v>24</v>
      </c>
      <c r="I60" s="9" t="n">
        <f aca="false">Z539</f>
        <v>43.2081333333333</v>
      </c>
      <c r="J60" s="165" t="n">
        <f aca="false">H60*I60</f>
        <v>1036.9952</v>
      </c>
      <c r="R60" s="1" t="s">
        <v>291</v>
      </c>
      <c r="V60" s="57" t="s">
        <v>290</v>
      </c>
      <c r="W60" s="58" t="n">
        <v>1</v>
      </c>
      <c r="X60" s="59" t="n">
        <f aca="false">W60*8/$T$56</f>
        <v>0.228571428571429</v>
      </c>
      <c r="Y60" s="30" t="n">
        <v>22.66</v>
      </c>
      <c r="Z60" s="30" t="n">
        <f aca="false">X60*Y60</f>
        <v>5.17942857142857</v>
      </c>
    </row>
    <row r="61" customFormat="false" ht="15" hidden="false" customHeight="false" outlineLevel="0" collapsed="false">
      <c r="A61" s="1" t="s">
        <v>1246</v>
      </c>
      <c r="G61" s="1" t="s">
        <v>427</v>
      </c>
      <c r="H61" s="1" t="n">
        <f aca="false">ROUND(3*$N$4,2)</f>
        <v>36</v>
      </c>
      <c r="I61" s="9" t="n">
        <f aca="false">Z557</f>
        <v>13.786064</v>
      </c>
      <c r="J61" s="165" t="n">
        <f aca="false">H61*I61</f>
        <v>496.298304</v>
      </c>
      <c r="R61" s="1" t="s">
        <v>292</v>
      </c>
      <c r="V61" s="57" t="s">
        <v>290</v>
      </c>
      <c r="W61" s="58" t="n">
        <v>3</v>
      </c>
      <c r="X61" s="59" t="n">
        <f aca="false">W61*8/$T$56</f>
        <v>0.685714285714286</v>
      </c>
      <c r="Y61" s="30" t="n">
        <v>20.51</v>
      </c>
      <c r="Z61" s="30" t="n">
        <f aca="false">X61*Y61</f>
        <v>14.064</v>
      </c>
    </row>
    <row r="62" customFormat="false" ht="15" hidden="false" customHeight="false" outlineLevel="0" collapsed="false">
      <c r="A62" s="167" t="s">
        <v>235</v>
      </c>
      <c r="G62" s="167"/>
      <c r="H62" s="167"/>
      <c r="I62" s="167"/>
      <c r="J62" s="168"/>
      <c r="Z62" s="55" t="n">
        <f aca="false">SUM(Z59:Z61)</f>
        <v>25.8582857142857</v>
      </c>
    </row>
    <row r="63" customFormat="false" ht="15" hidden="false" customHeight="false" outlineLevel="0" collapsed="false">
      <c r="A63" s="1" t="s">
        <v>1247</v>
      </c>
      <c r="G63" s="1" t="s">
        <v>156</v>
      </c>
      <c r="H63" s="1" t="n">
        <f aca="false">N4</f>
        <v>12</v>
      </c>
      <c r="I63" s="30" t="n">
        <f aca="false">Z572</f>
        <v>68.271</v>
      </c>
      <c r="J63" s="165" t="n">
        <f aca="false">H63*I63</f>
        <v>819.252</v>
      </c>
      <c r="R63" s="56" t="s">
        <v>293</v>
      </c>
    </row>
    <row r="64" customFormat="false" ht="15" hidden="false" customHeight="false" outlineLevel="0" collapsed="false">
      <c r="A64" s="1" t="s">
        <v>1246</v>
      </c>
      <c r="G64" s="1" t="s">
        <v>427</v>
      </c>
      <c r="H64" s="1" t="n">
        <f aca="false">ROUND(0.8*$N$4,2)</f>
        <v>9.6</v>
      </c>
      <c r="I64" s="30" t="n">
        <f aca="false">Z586</f>
        <v>13.786064</v>
      </c>
      <c r="J64" s="165" t="n">
        <f aca="false">H64*I64</f>
        <v>132.3462144</v>
      </c>
      <c r="R64" s="1" t="s">
        <v>294</v>
      </c>
      <c r="V64" s="57" t="s">
        <v>295</v>
      </c>
      <c r="W64" s="58"/>
      <c r="X64" s="59" t="n">
        <v>1.25</v>
      </c>
      <c r="Y64" s="30" t="n">
        <v>2.64</v>
      </c>
      <c r="Z64" s="30" t="n">
        <f aca="false">X64*Y64</f>
        <v>3.3</v>
      </c>
    </row>
    <row r="65" customFormat="false" ht="15" hidden="false" customHeight="false" outlineLevel="0" collapsed="false">
      <c r="A65" s="44" t="s">
        <v>241</v>
      </c>
      <c r="G65" s="44"/>
      <c r="H65" s="44"/>
      <c r="I65" s="44"/>
      <c r="J65" s="164"/>
      <c r="R65" s="1" t="s">
        <v>296</v>
      </c>
      <c r="V65" s="57" t="s">
        <v>297</v>
      </c>
      <c r="W65" s="58"/>
      <c r="X65" s="59" t="n">
        <v>1.8</v>
      </c>
      <c r="Y65" s="1" t="n">
        <v>14.15</v>
      </c>
      <c r="Z65" s="30" t="n">
        <f aca="false">X65*Y65</f>
        <v>25.47</v>
      </c>
    </row>
    <row r="66" customFormat="false" ht="15" hidden="false" customHeight="false" outlineLevel="0" collapsed="false">
      <c r="A66" s="1" t="s">
        <v>1248</v>
      </c>
      <c r="G66" s="1" t="s">
        <v>148</v>
      </c>
      <c r="H66" s="1" t="n">
        <v>1</v>
      </c>
      <c r="I66" s="30" t="n">
        <f aca="false">Z601</f>
        <v>402.0068</v>
      </c>
      <c r="J66" s="165" t="n">
        <f aca="false">H66*I66</f>
        <v>402.0068</v>
      </c>
      <c r="R66" s="1" t="s">
        <v>298</v>
      </c>
      <c r="V66" s="57" t="s">
        <v>148</v>
      </c>
      <c r="W66" s="58"/>
      <c r="X66" s="59" t="n">
        <v>0.2</v>
      </c>
      <c r="Y66" s="1" t="n">
        <v>55</v>
      </c>
      <c r="Z66" s="30" t="n">
        <f aca="false">X66*Y66</f>
        <v>11</v>
      </c>
    </row>
    <row r="67" customFormat="false" ht="15" hidden="false" customHeight="false" outlineLevel="0" collapsed="false">
      <c r="A67" s="44" t="s">
        <v>245</v>
      </c>
      <c r="G67" s="44"/>
      <c r="H67" s="44"/>
      <c r="I67" s="44"/>
      <c r="J67" s="165"/>
      <c r="R67" s="1" t="s">
        <v>299</v>
      </c>
      <c r="V67" s="57" t="s">
        <v>295</v>
      </c>
      <c r="X67" s="59" t="n">
        <v>0.06</v>
      </c>
      <c r="Y67" s="1" t="n">
        <v>10.93</v>
      </c>
      <c r="Z67" s="30" t="n">
        <f aca="false">X67*Y67</f>
        <v>0.6558</v>
      </c>
    </row>
    <row r="68" customFormat="false" ht="15" hidden="false" customHeight="false" outlineLevel="0" collapsed="false">
      <c r="A68" s="1" t="s">
        <v>1249</v>
      </c>
      <c r="G68" s="1" t="s">
        <v>1227</v>
      </c>
      <c r="H68" s="30" t="n">
        <f aca="false">ROUND(0.02*$N$2,2)</f>
        <v>20</v>
      </c>
      <c r="I68" s="30" t="n">
        <f aca="false">Z617</f>
        <v>6.94930666666667</v>
      </c>
      <c r="J68" s="165" t="n">
        <f aca="false">H68*I68</f>
        <v>138.986133333333</v>
      </c>
      <c r="R68" s="1" t="s">
        <v>300</v>
      </c>
      <c r="V68" s="57" t="s">
        <v>295</v>
      </c>
      <c r="X68" s="59" t="n">
        <v>0.071</v>
      </c>
      <c r="Y68" s="30" t="n">
        <v>5.51</v>
      </c>
      <c r="Z68" s="30" t="n">
        <f aca="false">X68*Y68</f>
        <v>0.39121</v>
      </c>
    </row>
    <row r="69" customFormat="false" ht="15" hidden="false" customHeight="false" outlineLevel="0" collapsed="false">
      <c r="A69" s="1" t="s">
        <v>1250</v>
      </c>
      <c r="G69" s="1" t="s">
        <v>427</v>
      </c>
      <c r="H69" s="30" t="n">
        <f aca="false">ROUND(0.0015*$N$2,2)</f>
        <v>1.5</v>
      </c>
      <c r="I69" s="30" t="n">
        <f aca="false">Z629</f>
        <v>24.086838</v>
      </c>
      <c r="J69" s="165" t="n">
        <f aca="false">H69*I69</f>
        <v>36.130257</v>
      </c>
      <c r="R69" s="1" t="s">
        <v>311</v>
      </c>
      <c r="V69" s="57" t="s">
        <v>202</v>
      </c>
      <c r="X69" s="59" t="n">
        <v>0.19</v>
      </c>
      <c r="Y69" s="30" t="n">
        <v>70.92</v>
      </c>
      <c r="Z69" s="30" t="n">
        <f aca="false">X69*Y69</f>
        <v>13.4748</v>
      </c>
    </row>
    <row r="70" customFormat="false" ht="15" hidden="false" customHeight="false" outlineLevel="0" collapsed="false">
      <c r="A70" s="1" t="s">
        <v>1251</v>
      </c>
      <c r="G70" s="1" t="s">
        <v>1227</v>
      </c>
      <c r="H70" s="30" t="n">
        <f aca="false">ROUND(0.003*$N$2,2)</f>
        <v>3</v>
      </c>
      <c r="I70" s="30" t="n">
        <f aca="false">Z645</f>
        <v>7.69136</v>
      </c>
      <c r="J70" s="165" t="n">
        <f aca="false">H70*I70</f>
        <v>23.07408</v>
      </c>
      <c r="R70" s="1" t="s">
        <v>302</v>
      </c>
      <c r="V70" s="57" t="s">
        <v>297</v>
      </c>
      <c r="X70" s="59" t="n">
        <v>0.53</v>
      </c>
      <c r="Y70" s="1" t="n">
        <v>27.88</v>
      </c>
      <c r="Z70" s="30" t="n">
        <f aca="false">X70*Y70</f>
        <v>14.7764</v>
      </c>
    </row>
    <row r="71" customFormat="false" ht="15" hidden="false" customHeight="false" outlineLevel="0" collapsed="false">
      <c r="A71" s="1" t="s">
        <v>1252</v>
      </c>
      <c r="G71" s="1" t="s">
        <v>1227</v>
      </c>
      <c r="H71" s="30" t="n">
        <f aca="false">ROUND(0.004*$N$2,2)</f>
        <v>4</v>
      </c>
      <c r="I71" s="30" t="n">
        <f aca="false">Z659</f>
        <v>8.03264</v>
      </c>
      <c r="J71" s="165" t="n">
        <f aca="false">H71*I71</f>
        <v>32.13056</v>
      </c>
      <c r="R71" s="1" t="s">
        <v>303</v>
      </c>
      <c r="V71" s="57" t="s">
        <v>304</v>
      </c>
      <c r="X71" s="59" t="n">
        <v>0.2374</v>
      </c>
      <c r="Y71" s="1" t="n">
        <v>32.2</v>
      </c>
      <c r="Z71" s="30" t="n">
        <f aca="false">X71*Y71</f>
        <v>7.64428</v>
      </c>
    </row>
    <row r="72" customFormat="false" ht="15" hidden="false" customHeight="false" outlineLevel="0" collapsed="false">
      <c r="A72" s="41" t="s">
        <v>254</v>
      </c>
      <c r="G72" s="41"/>
      <c r="H72" s="41"/>
      <c r="I72" s="41"/>
      <c r="J72" s="163"/>
      <c r="R72" s="1" t="s">
        <v>305</v>
      </c>
      <c r="V72" s="57" t="s">
        <v>306</v>
      </c>
      <c r="X72" s="59" t="n">
        <v>1.092</v>
      </c>
      <c r="Y72" s="30" t="n">
        <v>24.52</v>
      </c>
      <c r="Z72" s="30" t="n">
        <f aca="false">X72*Y72</f>
        <v>26.77584</v>
      </c>
    </row>
    <row r="73" customFormat="false" ht="15" hidden="false" customHeight="false" outlineLevel="0" collapsed="false">
      <c r="A73" s="1" t="s">
        <v>256</v>
      </c>
      <c r="I73" s="59"/>
      <c r="J73" s="165"/>
      <c r="R73" s="1" t="s">
        <v>307</v>
      </c>
      <c r="V73" s="57" t="s">
        <v>304</v>
      </c>
      <c r="X73" s="59" t="n">
        <v>3</v>
      </c>
      <c r="Y73" s="30" t="n">
        <v>5.8</v>
      </c>
      <c r="Z73" s="30" t="n">
        <f aca="false">X73*Y73</f>
        <v>17.4</v>
      </c>
    </row>
    <row r="74" customFormat="false" ht="15" hidden="false" customHeight="false" outlineLevel="0" collapsed="false">
      <c r="A74" s="1" t="s">
        <v>258</v>
      </c>
      <c r="G74" s="1" t="s">
        <v>1227</v>
      </c>
      <c r="H74" s="1" t="n">
        <f aca="false">ROUND(0.034*$N$3,2)</f>
        <v>5.1</v>
      </c>
      <c r="I74" s="59" t="n">
        <v>16.07</v>
      </c>
      <c r="J74" s="165" t="n">
        <f aca="false">H74*I74</f>
        <v>81.957</v>
      </c>
      <c r="L74" s="14"/>
      <c r="V74" s="57"/>
      <c r="X74" s="59"/>
      <c r="Y74" s="30"/>
      <c r="Z74" s="55" t="n">
        <f aca="false">SUM(Z64:Z73)</f>
        <v>120.88833</v>
      </c>
    </row>
    <row r="75" customFormat="false" ht="15" hidden="false" customHeight="false" outlineLevel="0" collapsed="false">
      <c r="A75" s="1" t="s">
        <v>260</v>
      </c>
      <c r="G75" s="1" t="s">
        <v>1227</v>
      </c>
      <c r="H75" s="1" t="n">
        <f aca="false">ROUND(0.052*$N$3,2)</f>
        <v>7.8</v>
      </c>
      <c r="I75" s="59" t="n">
        <v>20.09</v>
      </c>
      <c r="J75" s="165" t="n">
        <f aca="false">H75*I75</f>
        <v>156.702</v>
      </c>
      <c r="L75" s="14"/>
      <c r="R75" s="56" t="s">
        <v>308</v>
      </c>
    </row>
    <row r="76" customFormat="false" ht="15" hidden="false" customHeight="false" outlineLevel="0" collapsed="false">
      <c r="A76" s="1" t="s">
        <v>262</v>
      </c>
      <c r="G76" s="1" t="s">
        <v>1227</v>
      </c>
      <c r="H76" s="1" t="n">
        <f aca="false">ROUND(0.047*$N$3,2)</f>
        <v>7.05</v>
      </c>
      <c r="I76" s="59" t="n">
        <v>20.09</v>
      </c>
      <c r="J76" s="165" t="n">
        <f aca="false">H76*I76</f>
        <v>141.6345</v>
      </c>
      <c r="L76" s="14"/>
      <c r="R76" s="1" t="s">
        <v>309</v>
      </c>
      <c r="V76" s="57" t="s">
        <v>310</v>
      </c>
      <c r="X76" s="59" t="n">
        <v>5</v>
      </c>
      <c r="Y76" s="30" t="n">
        <f aca="false">Z62</f>
        <v>25.8582857142857</v>
      </c>
      <c r="Z76" s="30" t="n">
        <f aca="false">X76%*Y76</f>
        <v>1.29291428571429</v>
      </c>
    </row>
    <row r="77" customFormat="false" ht="15" hidden="false" customHeight="false" outlineLevel="0" collapsed="false">
      <c r="A77" s="1" t="s">
        <v>264</v>
      </c>
      <c r="G77" s="1" t="s">
        <v>1227</v>
      </c>
      <c r="H77" s="1" t="n">
        <f aca="false">ROUND(0.001*$N$3,2)</f>
        <v>0.15</v>
      </c>
      <c r="I77" s="59" t="n">
        <v>20.09</v>
      </c>
      <c r="J77" s="165" t="n">
        <f aca="false">H77*I77</f>
        <v>3.0135</v>
      </c>
      <c r="L77" s="14"/>
      <c r="Q77" s="62"/>
      <c r="R77" s="62"/>
      <c r="S77" s="62"/>
      <c r="T77" s="62"/>
      <c r="U77" s="62"/>
      <c r="V77" s="62"/>
      <c r="W77" s="62"/>
      <c r="X77" s="62"/>
      <c r="Y77" s="62"/>
      <c r="Z77" s="63" t="n">
        <f aca="false">SUM(Z76)</f>
        <v>1.29291428571429</v>
      </c>
    </row>
    <row r="78" customFormat="false" ht="15" hidden="false" customHeight="false" outlineLevel="0" collapsed="false">
      <c r="A78" s="1" t="s">
        <v>266</v>
      </c>
      <c r="G78" s="1" t="s">
        <v>1227</v>
      </c>
      <c r="H78" s="1" t="n">
        <f aca="false">ROUND(0.0023*$N$3,2)</f>
        <v>0.35</v>
      </c>
      <c r="I78" s="59" t="n">
        <v>20.09</v>
      </c>
      <c r="J78" s="165" t="n">
        <f aca="false">H78*I78</f>
        <v>7.0315</v>
      </c>
      <c r="L78" s="14"/>
      <c r="Z78" s="55"/>
    </row>
    <row r="79" customFormat="false" ht="15" hidden="false" customHeight="false" outlineLevel="0" collapsed="false">
      <c r="A79" s="1" t="s">
        <v>268</v>
      </c>
      <c r="G79" s="1" t="s">
        <v>1227</v>
      </c>
      <c r="H79" s="1" t="n">
        <f aca="false">ROUND(0.0038*$N$3,2)</f>
        <v>0.57</v>
      </c>
      <c r="I79" s="59" t="n">
        <v>20.09</v>
      </c>
      <c r="J79" s="165" t="n">
        <f aca="false">H79*I79</f>
        <v>11.4513</v>
      </c>
      <c r="L79" s="14"/>
      <c r="Q79" s="14" t="s">
        <v>276</v>
      </c>
      <c r="R79" s="14"/>
      <c r="S79" s="14" t="s">
        <v>138</v>
      </c>
      <c r="T79" s="14"/>
      <c r="U79" s="14"/>
      <c r="V79" s="14"/>
      <c r="W79" s="14"/>
      <c r="X79" s="14"/>
      <c r="Y79" s="14"/>
    </row>
    <row r="80" customFormat="false" ht="15" hidden="false" customHeight="false" outlineLevel="0" collapsed="false">
      <c r="A80" s="1" t="s">
        <v>270</v>
      </c>
      <c r="G80" s="1" t="s">
        <v>1227</v>
      </c>
      <c r="H80" s="1" t="n">
        <f aca="false">ROUND(0.037*$N$3,2)</f>
        <v>5.55</v>
      </c>
      <c r="I80" s="59" t="n">
        <v>20.09</v>
      </c>
      <c r="J80" s="165" t="n">
        <f aca="false">H80*I80</f>
        <v>111.4995</v>
      </c>
      <c r="L80" s="14"/>
      <c r="Q80" s="14" t="s">
        <v>277</v>
      </c>
      <c r="R80" s="14" t="s">
        <v>278</v>
      </c>
      <c r="S80" s="38" t="s">
        <v>279</v>
      </c>
      <c r="T80" s="54" t="n">
        <v>30</v>
      </c>
      <c r="U80" s="38" t="s">
        <v>280</v>
      </c>
      <c r="V80" s="54" t="n">
        <f aca="false">T80</f>
        <v>30</v>
      </c>
      <c r="W80" s="14" t="s">
        <v>281</v>
      </c>
      <c r="Y80" s="38" t="s">
        <v>148</v>
      </c>
      <c r="Z80" s="55" t="n">
        <f aca="false">Z86+Z98+Z101</f>
        <v>152.56473</v>
      </c>
    </row>
    <row r="81" customFormat="false" ht="15" hidden="false" customHeight="false" outlineLevel="0" collapsed="false">
      <c r="A81" s="1" t="s">
        <v>254</v>
      </c>
      <c r="I81" s="59"/>
      <c r="J81" s="165"/>
      <c r="L81" s="14"/>
      <c r="Q81" s="14" t="s">
        <v>282</v>
      </c>
      <c r="R81" s="14" t="s">
        <v>283</v>
      </c>
      <c r="V81" s="38" t="s">
        <v>121</v>
      </c>
      <c r="W81" s="38" t="s">
        <v>284</v>
      </c>
      <c r="X81" s="38" t="s">
        <v>285</v>
      </c>
      <c r="Y81" s="38" t="s">
        <v>286</v>
      </c>
      <c r="Z81" s="38" t="s">
        <v>287</v>
      </c>
    </row>
    <row r="82" customFormat="false" ht="15" hidden="false" customHeight="false" outlineLevel="0" collapsed="false">
      <c r="A82" s="1" t="s">
        <v>273</v>
      </c>
      <c r="G82" s="1" t="s">
        <v>1227</v>
      </c>
      <c r="H82" s="1" t="n">
        <f aca="false">ROUND(0.053*$N$3,2)</f>
        <v>7.95</v>
      </c>
      <c r="I82" s="59" t="n">
        <v>54.2</v>
      </c>
      <c r="J82" s="165" t="n">
        <f aca="false">H82*I82</f>
        <v>430.89</v>
      </c>
      <c r="L82" s="14"/>
      <c r="R82" s="56" t="s">
        <v>288</v>
      </c>
    </row>
    <row r="83" customFormat="false" ht="15" hidden="false" customHeight="false" outlineLevel="0" collapsed="false">
      <c r="A83" s="1" t="s">
        <v>275</v>
      </c>
      <c r="G83" s="1" t="s">
        <v>427</v>
      </c>
      <c r="H83" s="1" t="n">
        <f aca="false">ROUND(0.044*$N$3,2)</f>
        <v>6.6</v>
      </c>
      <c r="I83" s="59" t="n">
        <v>40.17</v>
      </c>
      <c r="J83" s="165" t="n">
        <f aca="false">H83*I83</f>
        <v>265.122</v>
      </c>
      <c r="L83" s="14"/>
      <c r="R83" s="1" t="s">
        <v>289</v>
      </c>
      <c r="V83" s="57" t="s">
        <v>290</v>
      </c>
      <c r="W83" s="58" t="n">
        <v>1</v>
      </c>
      <c r="X83" s="59" t="n">
        <f aca="false">W83*8/$T$80</f>
        <v>0.266666666666667</v>
      </c>
      <c r="Y83" s="30" t="n">
        <v>28.94</v>
      </c>
      <c r="Z83" s="30" t="n">
        <f aca="false">X83*Y83</f>
        <v>7.71733333333333</v>
      </c>
    </row>
    <row r="84" customFormat="false" ht="15" hidden="false" customHeight="false" outlineLevel="0" collapsed="false">
      <c r="F84" s="59"/>
      <c r="H84" s="30"/>
      <c r="I84" s="30"/>
      <c r="J84" s="165"/>
      <c r="L84" s="14"/>
      <c r="R84" s="1" t="s">
        <v>291</v>
      </c>
      <c r="V84" s="57" t="s">
        <v>290</v>
      </c>
      <c r="W84" s="58" t="n">
        <v>1</v>
      </c>
      <c r="X84" s="59" t="n">
        <f aca="false">W84*8/$T$80</f>
        <v>0.266666666666667</v>
      </c>
      <c r="Y84" s="30" t="n">
        <v>22.66</v>
      </c>
      <c r="Z84" s="30" t="n">
        <f aca="false">X84*Y84</f>
        <v>6.04266666666667</v>
      </c>
    </row>
    <row r="85" customFormat="false" ht="15" hidden="false" customHeight="false" outlineLevel="0" collapsed="false">
      <c r="F85" s="59"/>
      <c r="H85" s="30"/>
      <c r="I85" s="30"/>
      <c r="J85" s="165"/>
      <c r="L85" s="14"/>
      <c r="R85" s="1" t="s">
        <v>292</v>
      </c>
      <c r="V85" s="57" t="s">
        <v>290</v>
      </c>
      <c r="W85" s="58" t="n">
        <v>3</v>
      </c>
      <c r="X85" s="59" t="n">
        <f aca="false">W85*8/$T$80</f>
        <v>0.8</v>
      </c>
      <c r="Y85" s="30" t="n">
        <v>20.51</v>
      </c>
      <c r="Z85" s="30" t="n">
        <f aca="false">X85*Y85</f>
        <v>16.408</v>
      </c>
    </row>
    <row r="86" customFormat="false" ht="15" hidden="false" customHeight="false" outlineLevel="0" collapsed="false">
      <c r="F86" s="59"/>
      <c r="H86" s="30"/>
      <c r="I86" s="30"/>
      <c r="J86" s="165"/>
      <c r="L86" s="14"/>
      <c r="Z86" s="55" t="n">
        <f aca="false">SUM(Z83:Z85)</f>
        <v>30.168</v>
      </c>
    </row>
    <row r="87" customFormat="false" ht="15" hidden="false" customHeight="false" outlineLevel="0" collapsed="false">
      <c r="F87" s="59"/>
      <c r="H87" s="30"/>
      <c r="I87" s="30"/>
      <c r="J87" s="165"/>
      <c r="L87" s="14"/>
      <c r="R87" s="56" t="s">
        <v>293</v>
      </c>
    </row>
    <row r="88" customFormat="false" ht="15" hidden="false" customHeight="false" outlineLevel="0" collapsed="false">
      <c r="F88" s="59"/>
      <c r="H88" s="30"/>
      <c r="I88" s="30"/>
      <c r="J88" s="165"/>
      <c r="L88" s="14"/>
      <c r="R88" s="1" t="s">
        <v>294</v>
      </c>
      <c r="V88" s="57" t="s">
        <v>295</v>
      </c>
      <c r="W88" s="58"/>
      <c r="X88" s="59" t="n">
        <v>1.25</v>
      </c>
      <c r="Y88" s="30" t="n">
        <v>2.64</v>
      </c>
      <c r="Z88" s="30" t="n">
        <f aca="false">X88*Y88</f>
        <v>3.3</v>
      </c>
    </row>
    <row r="89" customFormat="false" ht="15" hidden="false" customHeight="false" outlineLevel="0" collapsed="false">
      <c r="F89" s="59"/>
      <c r="H89" s="30"/>
      <c r="I89" s="30"/>
      <c r="J89" s="165"/>
      <c r="L89" s="14"/>
      <c r="R89" s="1" t="s">
        <v>296</v>
      </c>
      <c r="V89" s="57" t="s">
        <v>297</v>
      </c>
      <c r="W89" s="58"/>
      <c r="X89" s="59" t="n">
        <v>1.8</v>
      </c>
      <c r="Y89" s="1" t="n">
        <v>14.15</v>
      </c>
      <c r="Z89" s="30" t="n">
        <f aca="false">X89*Y89</f>
        <v>25.47</v>
      </c>
    </row>
    <row r="90" customFormat="false" ht="15" hidden="false" customHeight="false" outlineLevel="0" collapsed="false">
      <c r="F90" s="59"/>
      <c r="H90" s="30"/>
      <c r="I90" s="30"/>
      <c r="J90" s="165"/>
      <c r="L90" s="14"/>
      <c r="R90" s="1" t="s">
        <v>298</v>
      </c>
      <c r="V90" s="57" t="s">
        <v>148</v>
      </c>
      <c r="W90" s="58"/>
      <c r="X90" s="59" t="n">
        <v>0.2</v>
      </c>
      <c r="Y90" s="1" t="n">
        <v>55</v>
      </c>
      <c r="Z90" s="30" t="n">
        <f aca="false">X90*Y90</f>
        <v>11</v>
      </c>
    </row>
    <row r="91" customFormat="false" ht="15" hidden="false" customHeight="false" outlineLevel="0" collapsed="false">
      <c r="F91" s="59"/>
      <c r="H91" s="30"/>
      <c r="I91" s="30"/>
      <c r="J91" s="165"/>
      <c r="L91" s="14"/>
      <c r="R91" s="1" t="s">
        <v>299</v>
      </c>
      <c r="V91" s="57" t="s">
        <v>295</v>
      </c>
      <c r="X91" s="59" t="n">
        <v>0.06</v>
      </c>
      <c r="Y91" s="1" t="n">
        <v>10.93</v>
      </c>
      <c r="Z91" s="30" t="n">
        <f aca="false">X91*Y91</f>
        <v>0.6558</v>
      </c>
    </row>
    <row r="92" customFormat="false" ht="15" hidden="false" customHeight="false" outlineLevel="0" collapsed="false">
      <c r="F92" s="59"/>
      <c r="H92" s="30"/>
      <c r="I92" s="30"/>
      <c r="J92" s="165"/>
      <c r="L92" s="14"/>
      <c r="R92" s="1" t="s">
        <v>300</v>
      </c>
      <c r="V92" s="57" t="s">
        <v>295</v>
      </c>
      <c r="X92" s="59" t="n">
        <v>0.071</v>
      </c>
      <c r="Y92" s="30" t="n">
        <v>5.51</v>
      </c>
      <c r="Z92" s="30" t="n">
        <f aca="false">X92*Y92</f>
        <v>0.39121</v>
      </c>
    </row>
    <row r="93" customFormat="false" ht="15" hidden="false" customHeight="false" outlineLevel="0" collapsed="false">
      <c r="F93" s="59"/>
      <c r="H93" s="30"/>
      <c r="I93" s="30"/>
      <c r="J93" s="165"/>
      <c r="L93" s="14"/>
      <c r="R93" s="1" t="s">
        <v>311</v>
      </c>
      <c r="V93" s="57" t="s">
        <v>202</v>
      </c>
      <c r="X93" s="59" t="n">
        <v>0.19</v>
      </c>
      <c r="Y93" s="30" t="n">
        <v>70.92</v>
      </c>
      <c r="Z93" s="30" t="n">
        <f aca="false">X93*Y93</f>
        <v>13.4748</v>
      </c>
    </row>
    <row r="94" customFormat="false" ht="15" hidden="false" customHeight="false" outlineLevel="0" collapsed="false">
      <c r="F94" s="59"/>
      <c r="H94" s="30"/>
      <c r="I94" s="30"/>
      <c r="J94" s="165"/>
      <c r="L94" s="14"/>
      <c r="R94" s="1" t="s">
        <v>302</v>
      </c>
      <c r="V94" s="57" t="s">
        <v>297</v>
      </c>
      <c r="X94" s="59" t="n">
        <v>0.53</v>
      </c>
      <c r="Y94" s="1" t="n">
        <v>27.88</v>
      </c>
      <c r="Z94" s="30" t="n">
        <f aca="false">X94*Y94</f>
        <v>14.7764</v>
      </c>
    </row>
    <row r="95" customFormat="false" ht="15" hidden="false" customHeight="false" outlineLevel="0" collapsed="false">
      <c r="A95" s="44"/>
      <c r="F95" s="59"/>
      <c r="G95" s="44"/>
      <c r="H95" s="169"/>
      <c r="I95" s="44"/>
      <c r="J95" s="164"/>
      <c r="R95" s="1" t="s">
        <v>303</v>
      </c>
      <c r="V95" s="57" t="s">
        <v>304</v>
      </c>
      <c r="X95" s="59" t="n">
        <v>0.2374</v>
      </c>
      <c r="Y95" s="1" t="n">
        <v>32.2</v>
      </c>
      <c r="Z95" s="30" t="n">
        <f aca="false">X95*Y95</f>
        <v>7.64428</v>
      </c>
    </row>
    <row r="96" customFormat="false" ht="15" hidden="false" customHeight="false" outlineLevel="0" collapsed="false">
      <c r="F96" s="59"/>
      <c r="H96" s="30"/>
      <c r="I96" s="30"/>
      <c r="J96" s="165"/>
      <c r="R96" s="1" t="s">
        <v>305</v>
      </c>
      <c r="V96" s="57" t="s">
        <v>306</v>
      </c>
      <c r="X96" s="59" t="n">
        <v>1.092</v>
      </c>
      <c r="Y96" s="30" t="n">
        <v>24.52</v>
      </c>
      <c r="Z96" s="30" t="n">
        <f aca="false">X96*Y96</f>
        <v>26.77584</v>
      </c>
    </row>
    <row r="97" customFormat="false" ht="15" hidden="false" customHeight="false" outlineLevel="0" collapsed="false">
      <c r="F97" s="59"/>
      <c r="H97" s="30"/>
      <c r="I97" s="30"/>
      <c r="J97" s="165"/>
      <c r="R97" s="1" t="s">
        <v>307</v>
      </c>
      <c r="V97" s="57" t="s">
        <v>304</v>
      </c>
      <c r="X97" s="59" t="n">
        <v>3</v>
      </c>
      <c r="Y97" s="30" t="n">
        <v>5.8</v>
      </c>
      <c r="Z97" s="30" t="n">
        <f aca="false">X97*Y97</f>
        <v>17.4</v>
      </c>
    </row>
    <row r="98" customFormat="false" ht="15" hidden="false" customHeight="false" outlineLevel="0" collapsed="false">
      <c r="F98" s="59"/>
      <c r="H98" s="30"/>
      <c r="I98" s="30"/>
      <c r="J98" s="165"/>
      <c r="M98" s="14"/>
      <c r="V98" s="57"/>
      <c r="X98" s="59"/>
      <c r="Y98" s="30"/>
      <c r="Z98" s="55" t="n">
        <f aca="false">SUM(Z88:Z97)</f>
        <v>120.88833</v>
      </c>
    </row>
    <row r="99" customFormat="false" ht="15" hidden="false" customHeight="false" outlineLevel="0" collapsed="false">
      <c r="F99" s="59"/>
      <c r="H99" s="30"/>
      <c r="I99" s="30"/>
      <c r="J99" s="165"/>
      <c r="M99" s="14"/>
      <c r="R99" s="56" t="s">
        <v>308</v>
      </c>
    </row>
    <row r="100" customFormat="false" ht="15" hidden="false" customHeight="false" outlineLevel="0" collapsed="false">
      <c r="F100" s="59"/>
      <c r="H100" s="30"/>
      <c r="I100" s="30"/>
      <c r="J100" s="165"/>
      <c r="M100" s="14"/>
      <c r="R100" s="1" t="s">
        <v>309</v>
      </c>
      <c r="V100" s="57" t="s">
        <v>310</v>
      </c>
      <c r="X100" s="59" t="n">
        <v>5</v>
      </c>
      <c r="Y100" s="30" t="n">
        <f aca="false">Z86</f>
        <v>30.168</v>
      </c>
      <c r="Z100" s="30" t="n">
        <f aca="false">X100%*Y100</f>
        <v>1.5084</v>
      </c>
    </row>
    <row r="101" customFormat="false" ht="15" hidden="false" customHeight="false" outlineLevel="0" collapsed="false">
      <c r="F101" s="59"/>
      <c r="H101" s="30"/>
      <c r="I101" s="30"/>
      <c r="J101" s="165"/>
      <c r="M101" s="14"/>
      <c r="Q101" s="62"/>
      <c r="R101" s="62"/>
      <c r="S101" s="62"/>
      <c r="T101" s="62"/>
      <c r="U101" s="62"/>
      <c r="V101" s="62"/>
      <c r="W101" s="62"/>
      <c r="X101" s="62"/>
      <c r="Y101" s="62"/>
      <c r="Z101" s="63" t="n">
        <f aca="false">SUM(Z100)</f>
        <v>1.5084</v>
      </c>
    </row>
    <row r="102" customFormat="false" ht="15" hidden="false" customHeight="false" outlineLevel="0" collapsed="false">
      <c r="F102" s="59"/>
      <c r="H102" s="30"/>
      <c r="I102" s="30"/>
      <c r="J102" s="165"/>
      <c r="M102" s="14"/>
    </row>
    <row r="103" customFormat="false" ht="15" hidden="false" customHeight="false" outlineLevel="0" collapsed="false">
      <c r="F103" s="59"/>
      <c r="H103" s="30"/>
      <c r="I103" s="30"/>
      <c r="J103" s="165"/>
      <c r="M103" s="14"/>
      <c r="Q103" s="14" t="s">
        <v>276</v>
      </c>
      <c r="R103" s="14"/>
      <c r="S103" s="14" t="s">
        <v>140</v>
      </c>
      <c r="T103" s="14"/>
      <c r="U103" s="14"/>
      <c r="V103" s="14"/>
      <c r="W103" s="14"/>
      <c r="X103" s="14"/>
      <c r="Y103" s="14"/>
    </row>
    <row r="104" customFormat="false" ht="15" hidden="false" customHeight="false" outlineLevel="0" collapsed="false">
      <c r="F104" s="59"/>
      <c r="H104" s="30"/>
      <c r="I104" s="30"/>
      <c r="J104" s="165"/>
      <c r="M104" s="14"/>
      <c r="Q104" s="14" t="s">
        <v>277</v>
      </c>
      <c r="R104" s="14" t="s">
        <v>278</v>
      </c>
      <c r="S104" s="38" t="s">
        <v>279</v>
      </c>
      <c r="T104" s="54" t="n">
        <v>32</v>
      </c>
      <c r="U104" s="38" t="s">
        <v>280</v>
      </c>
      <c r="V104" s="54" t="n">
        <f aca="false">T104</f>
        <v>32</v>
      </c>
      <c r="W104" s="14" t="s">
        <v>281</v>
      </c>
      <c r="Y104" s="38" t="s">
        <v>148</v>
      </c>
      <c r="Z104" s="55" t="n">
        <f aca="false">Z110+Z122+Z125</f>
        <v>206.192765</v>
      </c>
    </row>
    <row r="105" customFormat="false" ht="15" hidden="false" customHeight="false" outlineLevel="0" collapsed="false">
      <c r="F105" s="59"/>
      <c r="H105" s="30"/>
      <c r="I105" s="30"/>
      <c r="J105" s="165"/>
      <c r="M105" s="14"/>
      <c r="N105" s="30"/>
      <c r="Q105" s="14" t="s">
        <v>282</v>
      </c>
      <c r="R105" s="14" t="s">
        <v>283</v>
      </c>
      <c r="V105" s="38" t="s">
        <v>121</v>
      </c>
      <c r="W105" s="38" t="s">
        <v>284</v>
      </c>
      <c r="X105" s="38" t="s">
        <v>285</v>
      </c>
      <c r="Y105" s="38" t="s">
        <v>286</v>
      </c>
      <c r="Z105" s="38" t="s">
        <v>287</v>
      </c>
    </row>
    <row r="106" customFormat="false" ht="15" hidden="false" customHeight="false" outlineLevel="0" collapsed="false">
      <c r="F106" s="59"/>
      <c r="H106" s="30"/>
      <c r="I106" s="30"/>
      <c r="J106" s="165"/>
      <c r="M106" s="14"/>
      <c r="R106" s="56" t="s">
        <v>288</v>
      </c>
    </row>
    <row r="107" customFormat="false" ht="15" hidden="false" customHeight="false" outlineLevel="0" collapsed="false">
      <c r="F107" s="59"/>
      <c r="H107" s="30"/>
      <c r="I107" s="30"/>
      <c r="J107" s="165"/>
      <c r="M107" s="14"/>
      <c r="R107" s="1" t="s">
        <v>289</v>
      </c>
      <c r="V107" s="57" t="s">
        <v>290</v>
      </c>
      <c r="W107" s="58" t="n">
        <v>1</v>
      </c>
      <c r="X107" s="59" t="n">
        <f aca="false">W107*8/$T$104</f>
        <v>0.25</v>
      </c>
      <c r="Y107" s="30" t="n">
        <v>28.94</v>
      </c>
      <c r="Z107" s="30" t="n">
        <f aca="false">X107*Y107</f>
        <v>7.235</v>
      </c>
    </row>
    <row r="108" customFormat="false" ht="15" hidden="false" customHeight="false" outlineLevel="0" collapsed="false">
      <c r="F108" s="59"/>
      <c r="H108" s="30"/>
      <c r="I108" s="30"/>
      <c r="J108" s="165"/>
      <c r="M108" s="14"/>
      <c r="R108" s="1" t="s">
        <v>291</v>
      </c>
      <c r="V108" s="57" t="s">
        <v>290</v>
      </c>
      <c r="W108" s="58" t="n">
        <v>1</v>
      </c>
      <c r="X108" s="59" t="n">
        <f aca="false">W108*8/$T$104</f>
        <v>0.25</v>
      </c>
      <c r="Y108" s="30" t="n">
        <v>22.66</v>
      </c>
      <c r="Z108" s="30" t="n">
        <f aca="false">X108*Y108</f>
        <v>5.665</v>
      </c>
    </row>
    <row r="109" customFormat="false" ht="15" hidden="false" customHeight="false" outlineLevel="0" collapsed="false">
      <c r="F109" s="59"/>
      <c r="H109" s="30"/>
      <c r="I109" s="30"/>
      <c r="J109" s="165"/>
      <c r="M109" s="14"/>
      <c r="R109" s="1" t="s">
        <v>292</v>
      </c>
      <c r="V109" s="57" t="s">
        <v>290</v>
      </c>
      <c r="W109" s="58" t="n">
        <v>3</v>
      </c>
      <c r="X109" s="59" t="n">
        <f aca="false">W109*8/$T$104</f>
        <v>0.75</v>
      </c>
      <c r="Y109" s="30" t="n">
        <v>20.51</v>
      </c>
      <c r="Z109" s="30" t="n">
        <f aca="false">X109*Y109</f>
        <v>15.3825</v>
      </c>
    </row>
    <row r="110" customFormat="false" ht="15" hidden="false" customHeight="false" outlineLevel="0" collapsed="false">
      <c r="F110" s="59"/>
      <c r="H110" s="30"/>
      <c r="I110" s="30"/>
      <c r="J110" s="165"/>
      <c r="M110" s="14"/>
      <c r="Z110" s="55" t="n">
        <f aca="false">SUM(Z107:Z109)</f>
        <v>28.2825</v>
      </c>
    </row>
    <row r="111" customFormat="false" ht="15" hidden="false" customHeight="false" outlineLevel="0" collapsed="false">
      <c r="F111" s="59"/>
      <c r="I111" s="30"/>
      <c r="J111" s="165"/>
      <c r="M111" s="14"/>
      <c r="R111" s="56" t="s">
        <v>293</v>
      </c>
    </row>
    <row r="112" customFormat="false" ht="15" hidden="false" customHeight="false" outlineLevel="0" collapsed="false">
      <c r="M112" s="14"/>
      <c r="R112" s="1" t="s">
        <v>294</v>
      </c>
      <c r="V112" s="57" t="s">
        <v>295</v>
      </c>
      <c r="W112" s="58"/>
      <c r="X112" s="59" t="n">
        <v>1.25</v>
      </c>
      <c r="Y112" s="30" t="n">
        <v>2.64</v>
      </c>
      <c r="Z112" s="30" t="n">
        <f aca="false">X112*Y112</f>
        <v>3.3</v>
      </c>
    </row>
    <row r="113" customFormat="false" ht="15" hidden="false" customHeight="false" outlineLevel="0" collapsed="false">
      <c r="R113" s="1" t="s">
        <v>296</v>
      </c>
      <c r="V113" s="57" t="s">
        <v>297</v>
      </c>
      <c r="W113" s="58"/>
      <c r="X113" s="59" t="n">
        <v>1.8</v>
      </c>
      <c r="Y113" s="1" t="n">
        <v>14.15</v>
      </c>
      <c r="Z113" s="30" t="n">
        <f aca="false">X113*Y113</f>
        <v>25.47</v>
      </c>
    </row>
    <row r="114" customFormat="false" ht="15" hidden="false" customHeight="false" outlineLevel="0" collapsed="false">
      <c r="R114" s="1" t="s">
        <v>298</v>
      </c>
      <c r="V114" s="57" t="s">
        <v>148</v>
      </c>
      <c r="W114" s="58"/>
      <c r="X114" s="59" t="n">
        <v>0.2</v>
      </c>
      <c r="Y114" s="1" t="n">
        <v>55</v>
      </c>
      <c r="Z114" s="30" t="n">
        <f aca="false">X114*Y114</f>
        <v>11</v>
      </c>
    </row>
    <row r="115" customFormat="false" ht="15" hidden="false" customHeight="false" outlineLevel="0" collapsed="false">
      <c r="R115" s="1" t="s">
        <v>299</v>
      </c>
      <c r="V115" s="57" t="s">
        <v>295</v>
      </c>
      <c r="X115" s="59" t="n">
        <v>0.12</v>
      </c>
      <c r="Y115" s="1" t="n">
        <v>10.93</v>
      </c>
      <c r="Z115" s="30" t="n">
        <f aca="false">X115*Y115</f>
        <v>1.3116</v>
      </c>
    </row>
    <row r="116" customFormat="false" ht="15" hidden="false" customHeight="false" outlineLevel="0" collapsed="false">
      <c r="R116" s="1" t="s">
        <v>300</v>
      </c>
      <c r="V116" s="57" t="s">
        <v>295</v>
      </c>
      <c r="X116" s="59" t="n">
        <v>0.05</v>
      </c>
      <c r="Y116" s="30" t="n">
        <v>5.51</v>
      </c>
      <c r="Z116" s="30" t="n">
        <f aca="false">X116*Y116</f>
        <v>0.2755</v>
      </c>
    </row>
    <row r="117" customFormat="false" ht="15" hidden="false" customHeight="false" outlineLevel="0" collapsed="false">
      <c r="R117" s="1" t="s">
        <v>312</v>
      </c>
      <c r="V117" s="57" t="s">
        <v>148</v>
      </c>
      <c r="X117" s="1" t="n">
        <v>0.04</v>
      </c>
      <c r="Y117" s="1" t="n">
        <v>1567.8</v>
      </c>
      <c r="Z117" s="30" t="n">
        <f aca="false">X117*Y117</f>
        <v>62.712</v>
      </c>
    </row>
    <row r="118" customFormat="false" ht="15" hidden="false" customHeight="false" outlineLevel="0" collapsed="false">
      <c r="R118" s="1" t="s">
        <v>311</v>
      </c>
      <c r="V118" s="57" t="s">
        <v>202</v>
      </c>
      <c r="X118" s="59" t="n">
        <v>0.19</v>
      </c>
      <c r="Y118" s="30" t="n">
        <v>70.92</v>
      </c>
      <c r="Z118" s="30" t="n">
        <f aca="false">X118*Y118</f>
        <v>13.4748</v>
      </c>
      <c r="AC118" s="59"/>
    </row>
    <row r="119" customFormat="false" ht="15" hidden="false" customHeight="false" outlineLevel="0" collapsed="false">
      <c r="R119" s="1" t="s">
        <v>302</v>
      </c>
      <c r="V119" s="57" t="s">
        <v>297</v>
      </c>
      <c r="X119" s="59" t="n">
        <v>0.53</v>
      </c>
      <c r="Y119" s="1" t="n">
        <v>27.88</v>
      </c>
      <c r="Z119" s="30" t="n">
        <f aca="false">X119*Y119</f>
        <v>14.7764</v>
      </c>
    </row>
    <row r="120" customFormat="false" ht="15" hidden="false" customHeight="false" outlineLevel="0" collapsed="false">
      <c r="R120" s="1" t="s">
        <v>305</v>
      </c>
      <c r="V120" s="57" t="s">
        <v>306</v>
      </c>
      <c r="X120" s="59" t="n">
        <v>1.092</v>
      </c>
      <c r="Y120" s="30" t="n">
        <v>24.52</v>
      </c>
      <c r="Z120" s="30" t="n">
        <f aca="false">X120*Y120</f>
        <v>26.77584</v>
      </c>
    </row>
    <row r="121" customFormat="false" ht="15" hidden="false" customHeight="false" outlineLevel="0" collapsed="false">
      <c r="R121" s="1" t="s">
        <v>307</v>
      </c>
      <c r="V121" s="57" t="s">
        <v>304</v>
      </c>
      <c r="X121" s="59" t="n">
        <v>3</v>
      </c>
      <c r="Y121" s="30" t="n">
        <v>5.8</v>
      </c>
      <c r="Z121" s="30" t="n">
        <f aca="false">X121*Y121</f>
        <v>17.4</v>
      </c>
    </row>
    <row r="122" customFormat="false" ht="15" hidden="false" customHeight="false" outlineLevel="0" collapsed="false">
      <c r="V122" s="57"/>
      <c r="X122" s="59"/>
      <c r="Y122" s="30"/>
      <c r="Z122" s="55" t="n">
        <f aca="false">SUM(Z112:Z121)</f>
        <v>176.49614</v>
      </c>
    </row>
    <row r="123" customFormat="false" ht="15" hidden="false" customHeight="false" outlineLevel="0" collapsed="false">
      <c r="R123" s="56" t="s">
        <v>308</v>
      </c>
    </row>
    <row r="124" customFormat="false" ht="15" hidden="false" customHeight="false" outlineLevel="0" collapsed="false">
      <c r="R124" s="1" t="s">
        <v>309</v>
      </c>
      <c r="V124" s="57" t="s">
        <v>310</v>
      </c>
      <c r="X124" s="59" t="n">
        <v>5</v>
      </c>
      <c r="Y124" s="30" t="n">
        <f aca="false">Z110</f>
        <v>28.2825</v>
      </c>
      <c r="Z124" s="30" t="n">
        <f aca="false">X124%*Y124</f>
        <v>1.414125</v>
      </c>
    </row>
    <row r="125" customFormat="false" ht="15" hidden="false" customHeight="false" outlineLevel="0" collapsed="false">
      <c r="Q125" s="62"/>
      <c r="R125" s="62"/>
      <c r="S125" s="62"/>
      <c r="T125" s="62"/>
      <c r="U125" s="62"/>
      <c r="V125" s="62"/>
      <c r="W125" s="62"/>
      <c r="X125" s="62"/>
      <c r="Y125" s="62"/>
      <c r="Z125" s="63" t="n">
        <f aca="false">SUM(Z124)</f>
        <v>1.414125</v>
      </c>
    </row>
    <row r="127" customFormat="false" ht="15" hidden="false" customHeight="false" outlineLevel="0" collapsed="false">
      <c r="Q127" s="14" t="s">
        <v>276</v>
      </c>
      <c r="R127" s="14"/>
      <c r="S127" s="14" t="s">
        <v>142</v>
      </c>
      <c r="T127" s="14"/>
      <c r="U127" s="14"/>
      <c r="V127" s="14"/>
      <c r="W127" s="14"/>
      <c r="X127" s="14"/>
      <c r="Y127" s="14"/>
    </row>
    <row r="128" customFormat="false" ht="15" hidden="false" customHeight="false" outlineLevel="0" collapsed="false">
      <c r="Q128" s="14" t="s">
        <v>277</v>
      </c>
      <c r="R128" s="14" t="s">
        <v>313</v>
      </c>
      <c r="S128" s="38" t="s">
        <v>279</v>
      </c>
      <c r="T128" s="54" t="n">
        <v>30</v>
      </c>
      <c r="U128" s="38" t="s">
        <v>280</v>
      </c>
      <c r="V128" s="54" t="n">
        <f aca="false">T128</f>
        <v>30</v>
      </c>
      <c r="W128" s="14" t="s">
        <v>281</v>
      </c>
      <c r="Y128" s="38" t="s">
        <v>143</v>
      </c>
      <c r="Z128" s="55" t="n">
        <f aca="false">Z133+Z138+Z141</f>
        <v>43.81136</v>
      </c>
    </row>
    <row r="129" customFormat="false" ht="15" hidden="false" customHeight="false" outlineLevel="0" collapsed="false">
      <c r="Q129" s="14" t="s">
        <v>282</v>
      </c>
      <c r="R129" s="14" t="s">
        <v>283</v>
      </c>
      <c r="V129" s="38" t="s">
        <v>121</v>
      </c>
      <c r="W129" s="38" t="s">
        <v>284</v>
      </c>
      <c r="X129" s="38" t="s">
        <v>285</v>
      </c>
      <c r="Y129" s="38" t="s">
        <v>286</v>
      </c>
      <c r="Z129" s="38" t="s">
        <v>287</v>
      </c>
    </row>
    <row r="130" customFormat="false" ht="15" hidden="false" customHeight="false" outlineLevel="0" collapsed="false">
      <c r="R130" s="56" t="s">
        <v>288</v>
      </c>
    </row>
    <row r="131" customFormat="false" ht="15" hidden="false" customHeight="false" outlineLevel="0" collapsed="false">
      <c r="R131" s="1" t="s">
        <v>291</v>
      </c>
      <c r="V131" s="57" t="s">
        <v>290</v>
      </c>
      <c r="W131" s="58" t="n">
        <v>1</v>
      </c>
      <c r="X131" s="59" t="n">
        <f aca="false">W131*8/$T$128</f>
        <v>0.266666666666667</v>
      </c>
      <c r="Y131" s="30" t="n">
        <v>22.66</v>
      </c>
      <c r="Z131" s="30" t="n">
        <f aca="false">X131*Y131</f>
        <v>6.04266666666667</v>
      </c>
    </row>
    <row r="132" customFormat="false" ht="15" hidden="false" customHeight="false" outlineLevel="0" collapsed="false">
      <c r="R132" s="1" t="s">
        <v>292</v>
      </c>
      <c r="V132" s="57" t="s">
        <v>290</v>
      </c>
      <c r="W132" s="58" t="n">
        <v>1</v>
      </c>
      <c r="X132" s="59" t="n">
        <f aca="false">W132*8/$T$128</f>
        <v>0.266666666666667</v>
      </c>
      <c r="Y132" s="30" t="n">
        <v>20.51</v>
      </c>
      <c r="Z132" s="30" t="n">
        <f aca="false">X132*Y132</f>
        <v>5.46933333333333</v>
      </c>
    </row>
    <row r="133" customFormat="false" ht="15" hidden="false" customHeight="false" outlineLevel="0" collapsed="false">
      <c r="Z133" s="55" t="n">
        <f aca="false">SUM(Z131:Z132)</f>
        <v>11.512</v>
      </c>
    </row>
    <row r="134" customFormat="false" ht="15" hidden="false" customHeight="false" outlineLevel="0" collapsed="false">
      <c r="R134" s="56" t="s">
        <v>293</v>
      </c>
    </row>
    <row r="135" customFormat="false" ht="15" hidden="false" customHeight="false" outlineLevel="0" collapsed="false">
      <c r="R135" s="1" t="s">
        <v>314</v>
      </c>
      <c r="V135" s="57" t="s">
        <v>315</v>
      </c>
      <c r="W135" s="58"/>
      <c r="X135" s="59" t="n">
        <v>1</v>
      </c>
      <c r="Y135" s="30" t="n">
        <v>8.5</v>
      </c>
      <c r="Z135" s="30" t="n">
        <f aca="false">X135*Y135</f>
        <v>8.5</v>
      </c>
    </row>
    <row r="136" customFormat="false" ht="15" hidden="false" customHeight="false" outlineLevel="0" collapsed="false">
      <c r="R136" s="1" t="s">
        <v>316</v>
      </c>
      <c r="V136" s="57" t="s">
        <v>295</v>
      </c>
      <c r="W136" s="58"/>
      <c r="X136" s="59" t="n">
        <v>0.05</v>
      </c>
      <c r="Y136" s="30" t="n">
        <v>5.08</v>
      </c>
      <c r="Z136" s="30" t="n">
        <f aca="false">X136*Y136</f>
        <v>0.254</v>
      </c>
    </row>
    <row r="137" customFormat="false" ht="15" hidden="false" customHeight="false" outlineLevel="0" collapsed="false">
      <c r="R137" s="1" t="s">
        <v>307</v>
      </c>
      <c r="V137" s="57" t="s">
        <v>304</v>
      </c>
      <c r="X137" s="59" t="n">
        <v>4</v>
      </c>
      <c r="Y137" s="30" t="n">
        <v>5.8</v>
      </c>
      <c r="Z137" s="30" t="n">
        <f aca="false">X137*Y137</f>
        <v>23.2</v>
      </c>
    </row>
    <row r="138" customFormat="false" ht="15" hidden="false" customHeight="false" outlineLevel="0" collapsed="false">
      <c r="Z138" s="55" t="n">
        <f aca="false">SUM(Z135:Z137)</f>
        <v>31.954</v>
      </c>
    </row>
    <row r="139" customFormat="false" ht="15" hidden="false" customHeight="false" outlineLevel="0" collapsed="false">
      <c r="R139" s="56" t="s">
        <v>317</v>
      </c>
    </row>
    <row r="140" customFormat="false" ht="15" hidden="false" customHeight="false" outlineLevel="0" collapsed="false">
      <c r="R140" s="1" t="s">
        <v>309</v>
      </c>
      <c r="V140" s="57" t="s">
        <v>310</v>
      </c>
      <c r="X140" s="59" t="n">
        <v>3</v>
      </c>
      <c r="Y140" s="30" t="n">
        <f aca="false">Z133</f>
        <v>11.512</v>
      </c>
      <c r="Z140" s="30" t="n">
        <f aca="false">X140%*Y140</f>
        <v>0.34536</v>
      </c>
    </row>
    <row r="141" customFormat="false" ht="15" hidden="false" customHeight="false" outlineLevel="0" collapsed="false">
      <c r="Q141" s="62"/>
      <c r="R141" s="62"/>
      <c r="S141" s="62"/>
      <c r="T141" s="62"/>
      <c r="U141" s="62"/>
      <c r="V141" s="66"/>
      <c r="W141" s="67"/>
      <c r="X141" s="68"/>
      <c r="Y141" s="69"/>
      <c r="Z141" s="63" t="n">
        <f aca="false">SUM(Z140)</f>
        <v>0.34536</v>
      </c>
    </row>
    <row r="143" customFormat="false" ht="15" hidden="false" customHeight="false" outlineLevel="0" collapsed="false">
      <c r="Q143" s="14" t="s">
        <v>276</v>
      </c>
      <c r="R143" s="14"/>
      <c r="S143" s="14" t="s">
        <v>145</v>
      </c>
      <c r="T143" s="14"/>
      <c r="U143" s="14"/>
      <c r="V143" s="14"/>
      <c r="W143" s="14"/>
      <c r="X143" s="14"/>
      <c r="Y143" s="14"/>
    </row>
    <row r="144" customFormat="false" ht="15" hidden="false" customHeight="false" outlineLevel="0" collapsed="false">
      <c r="Q144" s="14" t="s">
        <v>277</v>
      </c>
      <c r="R144" s="14" t="s">
        <v>278</v>
      </c>
      <c r="S144" s="38" t="s">
        <v>279</v>
      </c>
      <c r="T144" s="54" t="n">
        <v>20</v>
      </c>
      <c r="U144" s="38" t="s">
        <v>280</v>
      </c>
      <c r="V144" s="54" t="n">
        <f aca="false">T144</f>
        <v>20</v>
      </c>
      <c r="W144" s="14" t="s">
        <v>281</v>
      </c>
      <c r="Y144" s="38" t="s">
        <v>148</v>
      </c>
      <c r="Z144" s="55" t="n">
        <f aca="false">Z149+Z168+Z170</f>
        <v>343.16159</v>
      </c>
    </row>
    <row r="145" customFormat="false" ht="15" hidden="false" customHeight="false" outlineLevel="0" collapsed="false">
      <c r="Q145" s="14" t="s">
        <v>282</v>
      </c>
      <c r="R145" s="14" t="s">
        <v>283</v>
      </c>
      <c r="V145" s="38" t="s">
        <v>121</v>
      </c>
      <c r="W145" s="38" t="s">
        <v>284</v>
      </c>
      <c r="X145" s="38" t="s">
        <v>285</v>
      </c>
      <c r="Y145" s="38" t="s">
        <v>286</v>
      </c>
      <c r="Z145" s="38" t="s">
        <v>287</v>
      </c>
    </row>
    <row r="146" customFormat="false" ht="15" hidden="false" customHeight="false" outlineLevel="0" collapsed="false">
      <c r="R146" s="56" t="s">
        <v>288</v>
      </c>
    </row>
    <row r="147" customFormat="false" ht="15" hidden="false" customHeight="false" outlineLevel="0" collapsed="false">
      <c r="R147" s="1" t="s">
        <v>289</v>
      </c>
      <c r="V147" s="57" t="s">
        <v>290</v>
      </c>
      <c r="W147" s="58" t="n">
        <v>1</v>
      </c>
      <c r="X147" s="59" t="n">
        <f aca="false">W147*8/$T$144</f>
        <v>0.4</v>
      </c>
      <c r="Y147" s="30" t="n">
        <v>28.94</v>
      </c>
      <c r="Z147" s="30" t="n">
        <f aca="false">X147*Y147</f>
        <v>11.576</v>
      </c>
    </row>
    <row r="148" customFormat="false" ht="15" hidden="false" customHeight="false" outlineLevel="0" collapsed="false">
      <c r="R148" s="1" t="s">
        <v>292</v>
      </c>
      <c r="V148" s="57" t="s">
        <v>290</v>
      </c>
      <c r="W148" s="58" t="n">
        <v>2</v>
      </c>
      <c r="X148" s="59" t="n">
        <f aca="false">W148*8/$T$144</f>
        <v>0.8</v>
      </c>
      <c r="Y148" s="30" t="n">
        <v>20.51</v>
      </c>
      <c r="Z148" s="30" t="n">
        <f aca="false">X148*Y148</f>
        <v>16.408</v>
      </c>
    </row>
    <row r="149" customFormat="false" ht="15" hidden="false" customHeight="false" outlineLevel="0" collapsed="false">
      <c r="Z149" s="55" t="n">
        <f aca="false">SUM(Z147:Z148)</f>
        <v>27.984</v>
      </c>
    </row>
    <row r="150" customFormat="false" ht="15" hidden="false" customHeight="false" outlineLevel="0" collapsed="false">
      <c r="R150" s="56" t="s">
        <v>293</v>
      </c>
    </row>
    <row r="151" customFormat="false" ht="15" hidden="false" customHeight="false" outlineLevel="0" collapsed="false">
      <c r="R151" s="1" t="s">
        <v>294</v>
      </c>
      <c r="V151" s="57" t="s">
        <v>295</v>
      </c>
      <c r="W151" s="58"/>
      <c r="X151" s="59" t="n">
        <v>1.25</v>
      </c>
      <c r="Y151" s="30" t="n">
        <v>2.64</v>
      </c>
      <c r="Z151" s="30" t="n">
        <f aca="false">X151*Y151</f>
        <v>3.3</v>
      </c>
    </row>
    <row r="152" customFormat="false" ht="15" hidden="false" customHeight="false" outlineLevel="0" collapsed="false">
      <c r="R152" s="1" t="s">
        <v>296</v>
      </c>
      <c r="V152" s="57" t="s">
        <v>297</v>
      </c>
      <c r="W152" s="58"/>
      <c r="X152" s="59" t="n">
        <v>0.85</v>
      </c>
      <c r="Y152" s="1" t="n">
        <v>14.15</v>
      </c>
      <c r="Z152" s="30" t="n">
        <f aca="false">X152*Y152</f>
        <v>12.0275</v>
      </c>
    </row>
    <row r="153" customFormat="false" ht="15" hidden="false" customHeight="false" outlineLevel="0" collapsed="false">
      <c r="R153" s="1" t="s">
        <v>298</v>
      </c>
      <c r="V153" s="57" t="s">
        <v>148</v>
      </c>
      <c r="W153" s="58"/>
      <c r="X153" s="59" t="n">
        <v>0.2</v>
      </c>
      <c r="Y153" s="1" t="n">
        <v>55</v>
      </c>
      <c r="Z153" s="30" t="n">
        <f aca="false">X153*Y153</f>
        <v>11</v>
      </c>
    </row>
    <row r="154" customFormat="false" ht="15" hidden="false" customHeight="false" outlineLevel="0" collapsed="false">
      <c r="R154" s="1" t="s">
        <v>299</v>
      </c>
      <c r="V154" s="57" t="s">
        <v>295</v>
      </c>
      <c r="X154" s="59" t="n">
        <v>0.04</v>
      </c>
      <c r="Y154" s="1" t="n">
        <v>10.93</v>
      </c>
      <c r="Z154" s="30" t="n">
        <f aca="false">X154*Y154</f>
        <v>0.4372</v>
      </c>
    </row>
    <row r="155" customFormat="false" ht="15" hidden="false" customHeight="false" outlineLevel="0" collapsed="false">
      <c r="R155" s="1" t="s">
        <v>300</v>
      </c>
      <c r="V155" s="57" t="s">
        <v>295</v>
      </c>
      <c r="X155" s="59" t="n">
        <v>0.071</v>
      </c>
      <c r="Y155" s="30" t="n">
        <v>5.51</v>
      </c>
      <c r="Z155" s="30" t="n">
        <f aca="false">X155*Y155</f>
        <v>0.39121</v>
      </c>
    </row>
    <row r="156" customFormat="false" ht="15" hidden="false" customHeight="false" outlineLevel="0" collapsed="false">
      <c r="R156" s="1" t="s">
        <v>311</v>
      </c>
      <c r="V156" s="57" t="s">
        <v>202</v>
      </c>
      <c r="X156" s="59" t="n">
        <v>0.19</v>
      </c>
      <c r="Y156" s="30" t="n">
        <v>70.92</v>
      </c>
      <c r="Z156" s="30" t="n">
        <f aca="false">X156*Y156</f>
        <v>13.4748</v>
      </c>
    </row>
    <row r="157" customFormat="false" ht="15" hidden="false" customHeight="false" outlineLevel="0" collapsed="false">
      <c r="R157" s="1" t="s">
        <v>302</v>
      </c>
      <c r="V157" s="57" t="s">
        <v>297</v>
      </c>
      <c r="X157" s="59" t="n">
        <v>0.53</v>
      </c>
      <c r="Y157" s="1" t="n">
        <v>27.88</v>
      </c>
      <c r="Z157" s="30" t="n">
        <f aca="false">X157*Y157</f>
        <v>14.7764</v>
      </c>
    </row>
    <row r="158" customFormat="false" ht="15" hidden="false" customHeight="false" outlineLevel="0" collapsed="false">
      <c r="R158" s="1" t="s">
        <v>303</v>
      </c>
      <c r="V158" s="57" t="s">
        <v>304</v>
      </c>
      <c r="X158" s="59" t="n">
        <v>0.2374</v>
      </c>
      <c r="Y158" s="1" t="n">
        <v>32.2</v>
      </c>
      <c r="Z158" s="30" t="n">
        <f aca="false">X158*Y158</f>
        <v>7.64428</v>
      </c>
    </row>
    <row r="159" customFormat="false" ht="15" hidden="false" customHeight="false" outlineLevel="0" collapsed="false">
      <c r="R159" s="1" t="s">
        <v>305</v>
      </c>
      <c r="V159" s="57" t="s">
        <v>306</v>
      </c>
      <c r="X159" s="59" t="n">
        <v>0.5</v>
      </c>
      <c r="Y159" s="30" t="n">
        <v>24.52</v>
      </c>
      <c r="Z159" s="30" t="n">
        <f aca="false">X159*Y159</f>
        <v>12.26</v>
      </c>
    </row>
    <row r="160" customFormat="false" ht="15" hidden="false" customHeight="false" outlineLevel="0" collapsed="false">
      <c r="R160" s="1" t="s">
        <v>307</v>
      </c>
      <c r="V160" s="57" t="s">
        <v>304</v>
      </c>
      <c r="X160" s="59" t="n">
        <v>3</v>
      </c>
      <c r="Y160" s="30" t="n">
        <v>5.8</v>
      </c>
      <c r="Z160" s="30" t="n">
        <f aca="false">X160*Y160</f>
        <v>17.4</v>
      </c>
    </row>
    <row r="161" customFormat="false" ht="15" hidden="false" customHeight="false" outlineLevel="0" collapsed="false">
      <c r="R161" s="1" t="s">
        <v>318</v>
      </c>
      <c r="V161" s="57" t="s">
        <v>148</v>
      </c>
      <c r="X161" s="59" t="n">
        <v>0.694</v>
      </c>
      <c r="Y161" s="30" t="n">
        <v>120</v>
      </c>
      <c r="Z161" s="30" t="n">
        <f aca="false">X161*Y161</f>
        <v>83.28</v>
      </c>
    </row>
    <row r="162" customFormat="false" ht="15" hidden="false" customHeight="false" outlineLevel="0" collapsed="false">
      <c r="R162" s="1" t="s">
        <v>319</v>
      </c>
      <c r="V162" s="57" t="s">
        <v>143</v>
      </c>
      <c r="X162" s="59" t="n">
        <v>1.042</v>
      </c>
      <c r="Y162" s="30" t="n">
        <v>25</v>
      </c>
      <c r="Z162" s="30" t="n">
        <f aca="false">X162*Y162</f>
        <v>26.05</v>
      </c>
    </row>
    <row r="163" customFormat="false" ht="15" hidden="false" customHeight="false" outlineLevel="0" collapsed="false">
      <c r="R163" s="1" t="s">
        <v>320</v>
      </c>
      <c r="V163" s="57" t="s">
        <v>148</v>
      </c>
      <c r="X163" s="59" t="n">
        <v>0.694</v>
      </c>
      <c r="Y163" s="30" t="n">
        <v>18</v>
      </c>
      <c r="Z163" s="30" t="n">
        <f aca="false">X163*Y163</f>
        <v>12.492</v>
      </c>
    </row>
    <row r="164" customFormat="false" ht="15" hidden="false" customHeight="false" outlineLevel="0" collapsed="false">
      <c r="R164" s="1" t="s">
        <v>321</v>
      </c>
      <c r="V164" s="57" t="s">
        <v>148</v>
      </c>
      <c r="X164" s="59" t="n">
        <v>0.139</v>
      </c>
      <c r="Y164" s="30" t="n">
        <v>15</v>
      </c>
      <c r="Z164" s="30" t="n">
        <f aca="false">X164*Y164</f>
        <v>2.085</v>
      </c>
    </row>
    <row r="165" customFormat="false" ht="15" hidden="false" customHeight="false" outlineLevel="0" collapsed="false">
      <c r="R165" s="1" t="s">
        <v>322</v>
      </c>
      <c r="V165" s="57" t="s">
        <v>148</v>
      </c>
      <c r="X165" s="59" t="n">
        <v>0.694</v>
      </c>
      <c r="Y165" s="30" t="n">
        <v>80</v>
      </c>
      <c r="Z165" s="30" t="n">
        <f aca="false">X165*Y165</f>
        <v>55.52</v>
      </c>
    </row>
    <row r="166" customFormat="false" ht="15" hidden="false" customHeight="false" outlineLevel="0" collapsed="false">
      <c r="R166" s="1" t="s">
        <v>323</v>
      </c>
      <c r="V166" s="57" t="s">
        <v>148</v>
      </c>
      <c r="X166" s="59" t="n">
        <v>0.694</v>
      </c>
      <c r="Y166" s="30" t="n">
        <v>40</v>
      </c>
      <c r="Z166" s="30" t="n">
        <f aca="false">X166*Y166</f>
        <v>27.76</v>
      </c>
    </row>
    <row r="167" customFormat="false" ht="15" hidden="false" customHeight="false" outlineLevel="0" collapsed="false">
      <c r="R167" s="1" t="s">
        <v>324</v>
      </c>
      <c r="V167" s="57" t="s">
        <v>148</v>
      </c>
      <c r="X167" s="59" t="n">
        <v>0.694</v>
      </c>
      <c r="Y167" s="30" t="n">
        <v>20</v>
      </c>
      <c r="Z167" s="30" t="n">
        <f aca="false">X167*Y167</f>
        <v>13.88</v>
      </c>
    </row>
    <row r="168" customFormat="false" ht="15" hidden="false" customHeight="false" outlineLevel="0" collapsed="false">
      <c r="R168" s="56" t="s">
        <v>308</v>
      </c>
      <c r="Z168" s="55" t="n">
        <f aca="false">SUM(Z151:Z167)</f>
        <v>313.77839</v>
      </c>
    </row>
    <row r="169" customFormat="false" ht="15" hidden="false" customHeight="false" outlineLevel="0" collapsed="false">
      <c r="R169" s="1" t="s">
        <v>309</v>
      </c>
      <c r="V169" s="57" t="s">
        <v>310</v>
      </c>
      <c r="X169" s="59" t="n">
        <v>5</v>
      </c>
      <c r="Y169" s="30" t="n">
        <f aca="false">Z149</f>
        <v>27.984</v>
      </c>
      <c r="Z169" s="30" t="n">
        <f aca="false">X169%*Y169</f>
        <v>1.3992</v>
      </c>
    </row>
    <row r="170" customFormat="false" ht="15" hidden="false" customHeight="false" outlineLevel="0" collapsed="false">
      <c r="Q170" s="62"/>
      <c r="R170" s="62"/>
      <c r="S170" s="62"/>
      <c r="T170" s="62"/>
      <c r="U170" s="62"/>
      <c r="V170" s="62"/>
      <c r="W170" s="62"/>
      <c r="X170" s="62"/>
      <c r="Y170" s="62"/>
      <c r="Z170" s="63" t="n">
        <f aca="false">SUM(Z169)</f>
        <v>1.3992</v>
      </c>
    </row>
    <row r="172" customFormat="false" ht="15" hidden="false" customHeight="false" outlineLevel="0" collapsed="false">
      <c r="Q172" s="14" t="s">
        <v>276</v>
      </c>
      <c r="R172" s="14"/>
      <c r="S172" s="14" t="s">
        <v>147</v>
      </c>
      <c r="T172" s="14"/>
      <c r="U172" s="14"/>
      <c r="V172" s="14"/>
      <c r="W172" s="14"/>
      <c r="X172" s="14"/>
      <c r="Y172" s="14"/>
    </row>
    <row r="173" customFormat="false" ht="15" hidden="false" customHeight="false" outlineLevel="0" collapsed="false">
      <c r="Q173" s="14" t="s">
        <v>277</v>
      </c>
      <c r="R173" s="14" t="s">
        <v>325</v>
      </c>
      <c r="S173" s="38" t="s">
        <v>279</v>
      </c>
      <c r="T173" s="54" t="n">
        <v>1</v>
      </c>
      <c r="U173" s="38" t="s">
        <v>280</v>
      </c>
      <c r="V173" s="54" t="n">
        <f aca="false">T173</f>
        <v>1</v>
      </c>
      <c r="W173" s="14" t="s">
        <v>281</v>
      </c>
      <c r="Y173" s="38" t="s">
        <v>148</v>
      </c>
      <c r="Z173" s="55" t="n">
        <f aca="false">Z179+Z190+Z193</f>
        <v>1453.77752</v>
      </c>
    </row>
    <row r="174" customFormat="false" ht="15" hidden="false" customHeight="false" outlineLevel="0" collapsed="false">
      <c r="Q174" s="14" t="s">
        <v>282</v>
      </c>
      <c r="R174" s="14" t="s">
        <v>283</v>
      </c>
      <c r="V174" s="38" t="s">
        <v>121</v>
      </c>
      <c r="W174" s="38" t="s">
        <v>284</v>
      </c>
      <c r="X174" s="38" t="s">
        <v>285</v>
      </c>
      <c r="Y174" s="38" t="s">
        <v>286</v>
      </c>
      <c r="Z174" s="38" t="s">
        <v>287</v>
      </c>
    </row>
    <row r="175" customFormat="false" ht="15" hidden="false" customHeight="false" outlineLevel="0" collapsed="false">
      <c r="R175" s="56" t="s">
        <v>288</v>
      </c>
    </row>
    <row r="176" customFormat="false" ht="15" hidden="false" customHeight="false" outlineLevel="0" collapsed="false">
      <c r="R176" s="1" t="s">
        <v>289</v>
      </c>
      <c r="V176" s="57" t="s">
        <v>290</v>
      </c>
      <c r="W176" s="58" t="n">
        <v>1</v>
      </c>
      <c r="X176" s="59" t="n">
        <f aca="false">W176*8/$T$173</f>
        <v>8</v>
      </c>
      <c r="Y176" s="30" t="n">
        <v>28.94</v>
      </c>
      <c r="Z176" s="30" t="n">
        <f aca="false">X176*Y176</f>
        <v>231.52</v>
      </c>
    </row>
    <row r="177" customFormat="false" ht="15" hidden="false" customHeight="false" outlineLevel="0" collapsed="false">
      <c r="R177" s="1" t="s">
        <v>291</v>
      </c>
      <c r="V177" s="57" t="s">
        <v>290</v>
      </c>
      <c r="W177" s="58" t="n">
        <v>0.5</v>
      </c>
      <c r="X177" s="59" t="n">
        <f aca="false">W177*8/$T$173</f>
        <v>4</v>
      </c>
      <c r="Y177" s="30" t="n">
        <v>22.66</v>
      </c>
      <c r="Z177" s="30" t="n">
        <f aca="false">X177*Y177</f>
        <v>90.64</v>
      </c>
    </row>
    <row r="178" customFormat="false" ht="15" hidden="false" customHeight="false" outlineLevel="0" collapsed="false">
      <c r="R178" s="1" t="s">
        <v>292</v>
      </c>
      <c r="V178" s="57" t="s">
        <v>290</v>
      </c>
      <c r="W178" s="58" t="n">
        <v>1</v>
      </c>
      <c r="X178" s="59" t="n">
        <f aca="false">W178*8/$T$173</f>
        <v>8</v>
      </c>
      <c r="Y178" s="30" t="n">
        <v>20.51</v>
      </c>
      <c r="Z178" s="30" t="n">
        <f aca="false">X178*Y178</f>
        <v>164.08</v>
      </c>
    </row>
    <row r="179" customFormat="false" ht="15" hidden="false" customHeight="false" outlineLevel="0" collapsed="false">
      <c r="Z179" s="55" t="n">
        <f aca="false">SUM(Z176:Z178)</f>
        <v>486.24</v>
      </c>
    </row>
    <row r="180" customFormat="false" ht="15" hidden="false" customHeight="false" outlineLevel="0" collapsed="false">
      <c r="R180" s="56" t="s">
        <v>293</v>
      </c>
    </row>
    <row r="181" customFormat="false" ht="15" hidden="false" customHeight="false" outlineLevel="0" collapsed="false">
      <c r="R181" s="1" t="s">
        <v>326</v>
      </c>
      <c r="V181" s="57" t="s">
        <v>148</v>
      </c>
      <c r="W181" s="58"/>
      <c r="X181" s="59" t="n">
        <v>1</v>
      </c>
      <c r="Y181" s="30" t="n">
        <v>355.93</v>
      </c>
      <c r="Z181" s="30" t="n">
        <f aca="false">X181*Y181</f>
        <v>355.93</v>
      </c>
    </row>
    <row r="182" customFormat="false" ht="15" hidden="false" customHeight="false" outlineLevel="0" collapsed="false">
      <c r="R182" s="1" t="s">
        <v>300</v>
      </c>
      <c r="V182" s="57" t="s">
        <v>295</v>
      </c>
      <c r="X182" s="59" t="n">
        <v>1.4</v>
      </c>
      <c r="Y182" s="30" t="n">
        <v>5.51</v>
      </c>
      <c r="Z182" s="30" t="n">
        <f aca="false">X182*Y182</f>
        <v>7.714</v>
      </c>
    </row>
    <row r="183" customFormat="false" ht="15" hidden="false" customHeight="false" outlineLevel="0" collapsed="false">
      <c r="R183" s="1" t="s">
        <v>311</v>
      </c>
      <c r="V183" s="57" t="s">
        <v>202</v>
      </c>
      <c r="X183" s="59" t="n">
        <v>0.252</v>
      </c>
      <c r="Y183" s="30" t="n">
        <v>70.92</v>
      </c>
      <c r="Z183" s="30" t="n">
        <f aca="false">X183*Y183</f>
        <v>17.87184</v>
      </c>
    </row>
    <row r="184" customFormat="false" ht="15" hidden="false" customHeight="false" outlineLevel="0" collapsed="false">
      <c r="R184" s="1" t="s">
        <v>327</v>
      </c>
      <c r="V184" s="1" t="s">
        <v>148</v>
      </c>
      <c r="X184" s="1" t="n">
        <v>10</v>
      </c>
      <c r="Y184" s="1" t="n">
        <v>3.9</v>
      </c>
      <c r="Z184" s="30" t="n">
        <f aca="false">X184*Y184</f>
        <v>39</v>
      </c>
    </row>
    <row r="185" customFormat="false" ht="15" hidden="false" customHeight="false" outlineLevel="0" collapsed="false">
      <c r="R185" s="1" t="s">
        <v>328</v>
      </c>
      <c r="V185" s="57" t="s">
        <v>202</v>
      </c>
      <c r="X185" s="1" t="n">
        <v>0.252</v>
      </c>
      <c r="Y185" s="1" t="n">
        <v>80</v>
      </c>
      <c r="Z185" s="30" t="n">
        <f aca="false">X185*Y185</f>
        <v>20.16</v>
      </c>
    </row>
    <row r="186" customFormat="false" ht="15" hidden="false" customHeight="false" outlineLevel="0" collapsed="false">
      <c r="R186" s="1" t="s">
        <v>329</v>
      </c>
      <c r="V186" s="1" t="s">
        <v>330</v>
      </c>
      <c r="X186" s="1" t="n">
        <v>2</v>
      </c>
      <c r="Y186" s="1" t="n">
        <v>44.83</v>
      </c>
      <c r="Z186" s="30" t="n">
        <f aca="false">X186*Y186</f>
        <v>89.66</v>
      </c>
    </row>
    <row r="187" customFormat="false" ht="15" hidden="false" customHeight="false" outlineLevel="0" collapsed="false">
      <c r="R187" s="1" t="s">
        <v>302</v>
      </c>
      <c r="V187" s="57" t="s">
        <v>297</v>
      </c>
      <c r="X187" s="59" t="n">
        <v>3</v>
      </c>
      <c r="Y187" s="1" t="n">
        <v>27.88</v>
      </c>
      <c r="Z187" s="30" t="n">
        <f aca="false">X187*Y187</f>
        <v>83.64</v>
      </c>
    </row>
    <row r="188" customFormat="false" ht="15" hidden="false" customHeight="false" outlineLevel="0" collapsed="false">
      <c r="R188" s="1" t="s">
        <v>305</v>
      </c>
      <c r="V188" s="57" t="s">
        <v>306</v>
      </c>
      <c r="X188" s="59" t="n">
        <v>2.334</v>
      </c>
      <c r="Y188" s="30" t="n">
        <v>24.52</v>
      </c>
      <c r="Z188" s="30" t="n">
        <f aca="false">X188*Y188</f>
        <v>57.22968</v>
      </c>
    </row>
    <row r="189" customFormat="false" ht="15" hidden="false" customHeight="false" outlineLevel="0" collapsed="false">
      <c r="R189" s="1" t="s">
        <v>307</v>
      </c>
      <c r="V189" s="57" t="s">
        <v>304</v>
      </c>
      <c r="X189" s="59" t="n">
        <v>46.9</v>
      </c>
      <c r="Y189" s="30" t="n">
        <v>5.8</v>
      </c>
      <c r="Z189" s="30" t="n">
        <f aca="false">X189*Y189</f>
        <v>272.02</v>
      </c>
    </row>
    <row r="190" customFormat="false" ht="15" hidden="false" customHeight="false" outlineLevel="0" collapsed="false">
      <c r="V190" s="57"/>
      <c r="X190" s="59"/>
      <c r="Y190" s="30"/>
      <c r="Z190" s="55" t="n">
        <f aca="false">SUM(Z181:Z189)</f>
        <v>943.22552</v>
      </c>
    </row>
    <row r="191" customFormat="false" ht="15" hidden="false" customHeight="false" outlineLevel="0" collapsed="false">
      <c r="R191" s="56" t="s">
        <v>308</v>
      </c>
    </row>
    <row r="192" customFormat="false" ht="15" hidden="false" customHeight="false" outlineLevel="0" collapsed="false">
      <c r="R192" s="1" t="s">
        <v>309</v>
      </c>
      <c r="V192" s="57" t="s">
        <v>310</v>
      </c>
      <c r="X192" s="59" t="n">
        <v>5</v>
      </c>
      <c r="Y192" s="30" t="n">
        <f aca="false">Z179</f>
        <v>486.24</v>
      </c>
      <c r="Z192" s="30" t="n">
        <f aca="false">X192%*Y192</f>
        <v>24.312</v>
      </c>
    </row>
    <row r="193" customFormat="false" ht="15" hidden="false" customHeight="false" outlineLevel="0" collapsed="false">
      <c r="Q193" s="62"/>
      <c r="R193" s="62"/>
      <c r="S193" s="62"/>
      <c r="T193" s="62"/>
      <c r="U193" s="62"/>
      <c r="V193" s="62"/>
      <c r="W193" s="62"/>
      <c r="X193" s="62"/>
      <c r="Y193" s="62"/>
      <c r="Z193" s="63" t="n">
        <f aca="false">SUM(Z192)</f>
        <v>24.312</v>
      </c>
    </row>
    <row r="195" customFormat="false" ht="15" hidden="false" customHeight="false" outlineLevel="0" collapsed="false">
      <c r="Q195" s="14" t="s">
        <v>276</v>
      </c>
      <c r="R195" s="14"/>
      <c r="S195" s="14" t="s">
        <v>1253</v>
      </c>
      <c r="T195" s="14"/>
      <c r="U195" s="14"/>
      <c r="V195" s="14"/>
      <c r="W195" s="14"/>
      <c r="X195" s="14"/>
      <c r="Y195" s="14"/>
    </row>
    <row r="196" customFormat="false" ht="15" hidden="false" customHeight="false" outlineLevel="0" collapsed="false">
      <c r="Q196" s="14" t="s">
        <v>277</v>
      </c>
      <c r="R196" s="14" t="s">
        <v>325</v>
      </c>
      <c r="S196" s="38" t="s">
        <v>279</v>
      </c>
      <c r="T196" s="54" t="n">
        <v>1</v>
      </c>
      <c r="U196" s="38" t="s">
        <v>280</v>
      </c>
      <c r="V196" s="54" t="n">
        <f aca="false">T196</f>
        <v>1</v>
      </c>
      <c r="W196" s="14" t="s">
        <v>281</v>
      </c>
      <c r="Y196" s="38" t="s">
        <v>148</v>
      </c>
      <c r="Z196" s="55" t="n">
        <f aca="false">Z202+Z207+Z210</f>
        <v>2603.6396</v>
      </c>
    </row>
    <row r="197" customFormat="false" ht="15" hidden="false" customHeight="false" outlineLevel="0" collapsed="false">
      <c r="Q197" s="14" t="s">
        <v>282</v>
      </c>
      <c r="R197" s="14" t="s">
        <v>283</v>
      </c>
      <c r="V197" s="38" t="s">
        <v>121</v>
      </c>
      <c r="W197" s="38" t="s">
        <v>284</v>
      </c>
      <c r="X197" s="38" t="s">
        <v>285</v>
      </c>
      <c r="Y197" s="38" t="s">
        <v>286</v>
      </c>
      <c r="Z197" s="38" t="s">
        <v>287</v>
      </c>
    </row>
    <row r="198" customFormat="false" ht="15" hidden="false" customHeight="false" outlineLevel="0" collapsed="false">
      <c r="R198" s="56" t="s">
        <v>288</v>
      </c>
    </row>
    <row r="199" customFormat="false" ht="15" hidden="false" customHeight="false" outlineLevel="0" collapsed="false">
      <c r="R199" s="1" t="s">
        <v>289</v>
      </c>
      <c r="V199" s="57" t="s">
        <v>290</v>
      </c>
      <c r="W199" s="58" t="n">
        <v>1</v>
      </c>
      <c r="X199" s="59" t="n">
        <f aca="false">W199*8/$T$196</f>
        <v>8</v>
      </c>
      <c r="Y199" s="30" t="n">
        <v>28.94</v>
      </c>
      <c r="Z199" s="30" t="n">
        <f aca="false">X199*Y199</f>
        <v>231.52</v>
      </c>
    </row>
    <row r="200" customFormat="false" ht="15" hidden="false" customHeight="false" outlineLevel="0" collapsed="false">
      <c r="R200" s="1" t="s">
        <v>291</v>
      </c>
      <c r="V200" s="57" t="s">
        <v>290</v>
      </c>
      <c r="W200" s="58" t="n">
        <v>2</v>
      </c>
      <c r="X200" s="59" t="n">
        <f aca="false">W200*8/$T$196</f>
        <v>16</v>
      </c>
      <c r="Y200" s="30" t="n">
        <v>22.66</v>
      </c>
      <c r="Z200" s="30" t="n">
        <f aca="false">X200*Y200</f>
        <v>362.56</v>
      </c>
    </row>
    <row r="201" customFormat="false" ht="15" hidden="false" customHeight="false" outlineLevel="0" collapsed="false">
      <c r="R201" s="1" t="s">
        <v>292</v>
      </c>
      <c r="V201" s="57" t="s">
        <v>290</v>
      </c>
      <c r="W201" s="58" t="n">
        <v>3</v>
      </c>
      <c r="X201" s="59" t="n">
        <f aca="false">W201*8/$T$196</f>
        <v>24</v>
      </c>
      <c r="Y201" s="30" t="n">
        <v>20.51</v>
      </c>
      <c r="Z201" s="30" t="n">
        <f aca="false">X201*Y201</f>
        <v>492.24</v>
      </c>
    </row>
    <row r="202" customFormat="false" ht="15" hidden="false" customHeight="false" outlineLevel="0" collapsed="false">
      <c r="Z202" s="55" t="n">
        <f aca="false">SUM(Z199:Z201)</f>
        <v>1086.32</v>
      </c>
    </row>
    <row r="203" customFormat="false" ht="15" hidden="false" customHeight="false" outlineLevel="0" collapsed="false">
      <c r="R203" s="56" t="s">
        <v>293</v>
      </c>
    </row>
    <row r="204" customFormat="false" ht="15" hidden="false" customHeight="false" outlineLevel="0" collapsed="false">
      <c r="R204" s="1" t="s">
        <v>1254</v>
      </c>
      <c r="V204" s="57" t="s">
        <v>315</v>
      </c>
      <c r="W204" s="58"/>
      <c r="X204" s="59" t="n">
        <v>18</v>
      </c>
      <c r="Y204" s="30" t="n">
        <v>29.66</v>
      </c>
      <c r="Z204" s="30" t="n">
        <f aca="false">X204*Y204</f>
        <v>533.88</v>
      </c>
    </row>
    <row r="205" customFormat="false" ht="15" hidden="false" customHeight="false" outlineLevel="0" collapsed="false">
      <c r="R205" s="1" t="s">
        <v>1255</v>
      </c>
      <c r="V205" s="57" t="s">
        <v>153</v>
      </c>
      <c r="W205" s="58"/>
      <c r="X205" s="59" t="n">
        <v>1</v>
      </c>
      <c r="Y205" s="30" t="n">
        <v>423.73</v>
      </c>
      <c r="Z205" s="30" t="n">
        <f aca="false">X205*Y205</f>
        <v>423.73</v>
      </c>
    </row>
    <row r="206" customFormat="false" ht="15" hidden="false" customHeight="false" outlineLevel="0" collapsed="false">
      <c r="R206" s="1" t="s">
        <v>1256</v>
      </c>
      <c r="V206" s="57" t="s">
        <v>148</v>
      </c>
      <c r="X206" s="59" t="n">
        <v>1</v>
      </c>
      <c r="Y206" s="30" t="n">
        <v>527.12</v>
      </c>
      <c r="Z206" s="30" t="n">
        <f aca="false">X206*Y206</f>
        <v>527.12</v>
      </c>
    </row>
    <row r="207" customFormat="false" ht="15" hidden="false" customHeight="false" outlineLevel="0" collapsed="false">
      <c r="Z207" s="55" t="n">
        <f aca="false">SUM(Z204:Z206)</f>
        <v>1484.73</v>
      </c>
    </row>
    <row r="208" customFormat="false" ht="15" hidden="false" customHeight="false" outlineLevel="0" collapsed="false">
      <c r="R208" s="56" t="s">
        <v>317</v>
      </c>
    </row>
    <row r="209" customFormat="false" ht="15" hidden="false" customHeight="false" outlineLevel="0" collapsed="false">
      <c r="R209" s="1" t="s">
        <v>309</v>
      </c>
      <c r="V209" s="57" t="s">
        <v>310</v>
      </c>
      <c r="X209" s="59" t="n">
        <v>3</v>
      </c>
      <c r="Y209" s="30" t="n">
        <f aca="false">Z202</f>
        <v>1086.32</v>
      </c>
      <c r="Z209" s="30" t="n">
        <f aca="false">X209%*Y209</f>
        <v>32.5896</v>
      </c>
    </row>
    <row r="210" customFormat="false" ht="15" hidden="false" customHeight="false" outlineLevel="0" collapsed="false">
      <c r="Q210" s="62"/>
      <c r="R210" s="62"/>
      <c r="S210" s="62"/>
      <c r="T210" s="62"/>
      <c r="U210" s="62"/>
      <c r="V210" s="66"/>
      <c r="W210" s="67"/>
      <c r="X210" s="68"/>
      <c r="Y210" s="69"/>
      <c r="Z210" s="63" t="n">
        <f aca="false">SUM(Z209)</f>
        <v>32.5896</v>
      </c>
    </row>
    <row r="212" customFormat="false" ht="15" hidden="false" customHeight="false" outlineLevel="0" collapsed="false">
      <c r="Q212" s="14" t="s">
        <v>333</v>
      </c>
      <c r="R212" s="14"/>
      <c r="S212" s="14" t="s">
        <v>1257</v>
      </c>
      <c r="T212" s="14"/>
      <c r="U212" s="14"/>
      <c r="V212" s="14"/>
      <c r="W212" s="14"/>
      <c r="X212" s="14"/>
      <c r="Y212" s="14"/>
    </row>
    <row r="213" customFormat="false" ht="15" hidden="false" customHeight="false" outlineLevel="0" collapsed="false">
      <c r="Q213" s="14" t="s">
        <v>277</v>
      </c>
      <c r="R213" s="14" t="s">
        <v>325</v>
      </c>
      <c r="S213" s="38" t="s">
        <v>279</v>
      </c>
      <c r="T213" s="54" t="n">
        <v>1</v>
      </c>
      <c r="U213" s="38" t="s">
        <v>280</v>
      </c>
      <c r="V213" s="54" t="n">
        <f aca="false">T213</f>
        <v>1</v>
      </c>
      <c r="W213" s="14" t="s">
        <v>281</v>
      </c>
      <c r="Y213" s="38" t="s">
        <v>148</v>
      </c>
      <c r="Z213" s="55" t="n">
        <f aca="false">Z217</f>
        <v>322.03</v>
      </c>
    </row>
    <row r="214" customFormat="false" ht="15" hidden="false" customHeight="false" outlineLevel="0" collapsed="false">
      <c r="Q214" s="14" t="s">
        <v>282</v>
      </c>
      <c r="R214" s="14" t="s">
        <v>283</v>
      </c>
      <c r="V214" s="38" t="s">
        <v>121</v>
      </c>
      <c r="W214" s="38" t="s">
        <v>284</v>
      </c>
      <c r="X214" s="38" t="s">
        <v>285</v>
      </c>
      <c r="Y214" s="38" t="s">
        <v>286</v>
      </c>
      <c r="Z214" s="38" t="s">
        <v>287</v>
      </c>
    </row>
    <row r="215" customFormat="false" ht="15" hidden="false" customHeight="false" outlineLevel="0" collapsed="false">
      <c r="R215" s="56" t="s">
        <v>652</v>
      </c>
    </row>
    <row r="216" customFormat="false" ht="15" hidden="false" customHeight="false" outlineLevel="0" collapsed="false">
      <c r="R216" s="14" t="s">
        <v>1257</v>
      </c>
      <c r="V216" s="57" t="s">
        <v>153</v>
      </c>
      <c r="W216" s="58"/>
      <c r="X216" s="59" t="n">
        <v>1</v>
      </c>
      <c r="Y216" s="30" t="n">
        <v>322.03</v>
      </c>
      <c r="Z216" s="30" t="n">
        <f aca="false">X216*Y216</f>
        <v>322.03</v>
      </c>
    </row>
    <row r="217" customFormat="false" ht="15" hidden="false" customHeight="false" outlineLevel="0" collapsed="false">
      <c r="Q217" s="62"/>
      <c r="R217" s="62"/>
      <c r="S217" s="62"/>
      <c r="T217" s="62"/>
      <c r="U217" s="62"/>
      <c r="V217" s="62"/>
      <c r="W217" s="62"/>
      <c r="X217" s="62"/>
      <c r="Y217" s="62"/>
      <c r="Z217" s="63" t="n">
        <f aca="false">SUM(Z216)</f>
        <v>322.03</v>
      </c>
    </row>
    <row r="219" customFormat="false" ht="15" hidden="false" customHeight="false" outlineLevel="0" collapsed="false">
      <c r="Q219" s="14" t="s">
        <v>333</v>
      </c>
      <c r="R219" s="14"/>
      <c r="S219" s="14" t="s">
        <v>1258</v>
      </c>
      <c r="T219" s="14"/>
      <c r="U219" s="14"/>
      <c r="V219" s="14"/>
      <c r="W219" s="14"/>
      <c r="X219" s="14"/>
      <c r="Y219" s="14"/>
    </row>
    <row r="220" customFormat="false" ht="15" hidden="false" customHeight="false" outlineLevel="0" collapsed="false">
      <c r="Q220" s="14" t="s">
        <v>277</v>
      </c>
      <c r="R220" s="14" t="s">
        <v>325</v>
      </c>
      <c r="S220" s="38" t="s">
        <v>279</v>
      </c>
      <c r="T220" s="54" t="n">
        <v>1</v>
      </c>
      <c r="U220" s="38" t="s">
        <v>280</v>
      </c>
      <c r="V220" s="54" t="n">
        <f aca="false">T220</f>
        <v>1</v>
      </c>
      <c r="W220" s="14" t="s">
        <v>281</v>
      </c>
      <c r="Y220" s="38" t="s">
        <v>148</v>
      </c>
      <c r="Z220" s="55" t="n">
        <f aca="false">Z224</f>
        <v>215.25</v>
      </c>
    </row>
    <row r="221" customFormat="false" ht="15" hidden="false" customHeight="false" outlineLevel="0" collapsed="false">
      <c r="Q221" s="14" t="s">
        <v>282</v>
      </c>
      <c r="R221" s="14" t="s">
        <v>283</v>
      </c>
      <c r="V221" s="38" t="s">
        <v>121</v>
      </c>
      <c r="W221" s="38" t="s">
        <v>284</v>
      </c>
      <c r="X221" s="38" t="s">
        <v>285</v>
      </c>
      <c r="Y221" s="38" t="s">
        <v>286</v>
      </c>
      <c r="Z221" s="38" t="s">
        <v>287</v>
      </c>
    </row>
    <row r="222" customFormat="false" ht="15" hidden="false" customHeight="false" outlineLevel="0" collapsed="false">
      <c r="R222" s="56" t="s">
        <v>652</v>
      </c>
    </row>
    <row r="223" customFormat="false" ht="15" hidden="false" customHeight="false" outlineLevel="0" collapsed="false">
      <c r="R223" s="14" t="s">
        <v>1258</v>
      </c>
      <c r="V223" s="57" t="s">
        <v>148</v>
      </c>
      <c r="W223" s="58"/>
      <c r="X223" s="59" t="n">
        <v>1</v>
      </c>
      <c r="Y223" s="30" t="n">
        <v>215.25</v>
      </c>
      <c r="Z223" s="30" t="n">
        <f aca="false">X223*Y223</f>
        <v>215.25</v>
      </c>
    </row>
    <row r="224" customFormat="false" ht="15" hidden="false" customHeight="false" outlineLevel="0" collapsed="false">
      <c r="Q224" s="62"/>
      <c r="R224" s="62"/>
      <c r="S224" s="62"/>
      <c r="T224" s="62"/>
      <c r="U224" s="62"/>
      <c r="V224" s="62"/>
      <c r="W224" s="62"/>
      <c r="X224" s="62"/>
      <c r="Y224" s="62"/>
      <c r="Z224" s="63" t="n">
        <f aca="false">SUM(Z223)</f>
        <v>215.25</v>
      </c>
    </row>
    <row r="226" customFormat="false" ht="15" hidden="false" customHeight="false" outlineLevel="0" collapsed="false">
      <c r="Q226" s="14" t="s">
        <v>333</v>
      </c>
      <c r="R226" s="14"/>
      <c r="S226" s="14" t="s">
        <v>1259</v>
      </c>
      <c r="T226" s="14"/>
      <c r="U226" s="14"/>
      <c r="V226" s="14"/>
      <c r="W226" s="14"/>
      <c r="X226" s="14"/>
      <c r="Y226" s="14"/>
    </row>
    <row r="227" customFormat="false" ht="15" hidden="false" customHeight="false" outlineLevel="0" collapsed="false">
      <c r="Q227" s="14" t="s">
        <v>277</v>
      </c>
      <c r="R227" s="14" t="s">
        <v>331</v>
      </c>
      <c r="S227" s="38" t="s">
        <v>279</v>
      </c>
      <c r="T227" s="54" t="n">
        <v>1</v>
      </c>
      <c r="U227" s="38" t="s">
        <v>280</v>
      </c>
      <c r="V227" s="54" t="n">
        <f aca="false">T227</f>
        <v>1</v>
      </c>
      <c r="W227" s="14" t="s">
        <v>281</v>
      </c>
      <c r="Y227" s="38" t="s">
        <v>153</v>
      </c>
      <c r="Z227" s="55" t="n">
        <f aca="false">Z231</f>
        <v>254.24</v>
      </c>
    </row>
    <row r="228" customFormat="false" ht="15" hidden="false" customHeight="false" outlineLevel="0" collapsed="false">
      <c r="Q228" s="14" t="s">
        <v>282</v>
      </c>
      <c r="R228" s="14" t="s">
        <v>283</v>
      </c>
      <c r="V228" s="38" t="s">
        <v>121</v>
      </c>
      <c r="W228" s="38" t="s">
        <v>284</v>
      </c>
      <c r="X228" s="38" t="s">
        <v>285</v>
      </c>
      <c r="Y228" s="38" t="s">
        <v>286</v>
      </c>
      <c r="Z228" s="38" t="s">
        <v>287</v>
      </c>
    </row>
    <row r="229" customFormat="false" ht="15" hidden="false" customHeight="false" outlineLevel="0" collapsed="false">
      <c r="R229" s="56" t="s">
        <v>652</v>
      </c>
    </row>
    <row r="230" customFormat="false" ht="15" hidden="false" customHeight="false" outlineLevel="0" collapsed="false">
      <c r="R230" s="14" t="s">
        <v>1259</v>
      </c>
      <c r="V230" s="57" t="s">
        <v>153</v>
      </c>
      <c r="W230" s="58"/>
      <c r="X230" s="59" t="n">
        <v>1</v>
      </c>
      <c r="Y230" s="30" t="n">
        <v>254.24</v>
      </c>
      <c r="Z230" s="30" t="n">
        <f aca="false">X230*Y230</f>
        <v>254.24</v>
      </c>
    </row>
    <row r="231" customFormat="false" ht="15" hidden="false" customHeight="false" outlineLevel="0" collapsed="false">
      <c r="Q231" s="62"/>
      <c r="R231" s="62"/>
      <c r="S231" s="62"/>
      <c r="T231" s="62"/>
      <c r="U231" s="62"/>
      <c r="V231" s="62"/>
      <c r="W231" s="62"/>
      <c r="X231" s="62"/>
      <c r="Y231" s="62"/>
      <c r="Z231" s="63" t="n">
        <f aca="false">SUM(Z230)</f>
        <v>254.24</v>
      </c>
    </row>
    <row r="233" customFormat="false" ht="15" hidden="false" customHeight="false" outlineLevel="0" collapsed="false">
      <c r="Q233" s="14" t="s">
        <v>333</v>
      </c>
      <c r="R233" s="14"/>
      <c r="S233" s="14" t="s">
        <v>1260</v>
      </c>
      <c r="T233" s="14"/>
      <c r="U233" s="14"/>
      <c r="V233" s="14"/>
      <c r="W233" s="14"/>
      <c r="X233" s="14"/>
      <c r="Y233" s="14"/>
    </row>
    <row r="234" customFormat="false" ht="15" hidden="false" customHeight="false" outlineLevel="0" collapsed="false">
      <c r="Q234" s="14" t="s">
        <v>277</v>
      </c>
      <c r="R234" s="14" t="s">
        <v>331</v>
      </c>
      <c r="S234" s="38" t="s">
        <v>279</v>
      </c>
      <c r="T234" s="54" t="n">
        <v>1</v>
      </c>
      <c r="U234" s="38" t="s">
        <v>280</v>
      </c>
      <c r="V234" s="54" t="n">
        <f aca="false">T234</f>
        <v>1</v>
      </c>
      <c r="W234" s="14" t="s">
        <v>281</v>
      </c>
      <c r="Y234" s="38" t="s">
        <v>153</v>
      </c>
      <c r="Z234" s="55" t="n">
        <f aca="false">Z238</f>
        <v>84.75</v>
      </c>
    </row>
    <row r="235" customFormat="false" ht="15" hidden="false" customHeight="false" outlineLevel="0" collapsed="false">
      <c r="Q235" s="14" t="s">
        <v>282</v>
      </c>
      <c r="R235" s="14" t="s">
        <v>283</v>
      </c>
      <c r="V235" s="38" t="s">
        <v>121</v>
      </c>
      <c r="W235" s="38" t="s">
        <v>284</v>
      </c>
      <c r="X235" s="38" t="s">
        <v>285</v>
      </c>
      <c r="Y235" s="38" t="s">
        <v>286</v>
      </c>
      <c r="Z235" s="38" t="s">
        <v>287</v>
      </c>
    </row>
    <row r="236" customFormat="false" ht="15" hidden="false" customHeight="false" outlineLevel="0" collapsed="false">
      <c r="R236" s="56" t="s">
        <v>652</v>
      </c>
    </row>
    <row r="237" customFormat="false" ht="15" hidden="false" customHeight="false" outlineLevel="0" collapsed="false">
      <c r="R237" s="14" t="s">
        <v>1260</v>
      </c>
      <c r="V237" s="57" t="s">
        <v>153</v>
      </c>
      <c r="W237" s="58"/>
      <c r="X237" s="59" t="n">
        <v>1</v>
      </c>
      <c r="Y237" s="30" t="n">
        <v>84.75</v>
      </c>
      <c r="Z237" s="30" t="n">
        <f aca="false">X237*Y237</f>
        <v>84.75</v>
      </c>
    </row>
    <row r="238" customFormat="false" ht="15" hidden="false" customHeight="false" outlineLevel="0" collapsed="false">
      <c r="Q238" s="62"/>
      <c r="R238" s="62"/>
      <c r="S238" s="62"/>
      <c r="T238" s="62"/>
      <c r="U238" s="62"/>
      <c r="V238" s="62"/>
      <c r="W238" s="62"/>
      <c r="X238" s="62"/>
      <c r="Y238" s="62"/>
      <c r="Z238" s="63" t="n">
        <f aca="false">SUM(Z237)</f>
        <v>84.75</v>
      </c>
    </row>
    <row r="240" customFormat="false" ht="15" hidden="false" customHeight="false" outlineLevel="0" collapsed="false">
      <c r="Q240" s="14" t="s">
        <v>333</v>
      </c>
      <c r="R240" s="14"/>
      <c r="S240" s="14" t="s">
        <v>1261</v>
      </c>
      <c r="T240" s="14"/>
      <c r="U240" s="14"/>
      <c r="V240" s="14"/>
      <c r="W240" s="14"/>
      <c r="X240" s="14"/>
      <c r="Y240" s="14"/>
    </row>
    <row r="241" customFormat="false" ht="15" hidden="false" customHeight="false" outlineLevel="0" collapsed="false">
      <c r="Q241" s="14" t="s">
        <v>277</v>
      </c>
      <c r="R241" s="14" t="s">
        <v>331</v>
      </c>
      <c r="S241" s="38" t="s">
        <v>279</v>
      </c>
      <c r="T241" s="54" t="n">
        <v>1</v>
      </c>
      <c r="U241" s="38" t="s">
        <v>280</v>
      </c>
      <c r="V241" s="54" t="n">
        <f aca="false">T241</f>
        <v>1</v>
      </c>
      <c r="W241" s="14" t="s">
        <v>281</v>
      </c>
      <c r="Y241" s="38" t="s">
        <v>153</v>
      </c>
      <c r="Z241" s="55" t="n">
        <f aca="false">Z245</f>
        <v>101.69</v>
      </c>
    </row>
    <row r="242" customFormat="false" ht="15" hidden="false" customHeight="false" outlineLevel="0" collapsed="false">
      <c r="Q242" s="14" t="s">
        <v>282</v>
      </c>
      <c r="R242" s="14" t="s">
        <v>283</v>
      </c>
      <c r="V242" s="38" t="s">
        <v>121</v>
      </c>
      <c r="W242" s="38" t="s">
        <v>284</v>
      </c>
      <c r="X242" s="38" t="s">
        <v>285</v>
      </c>
      <c r="Y242" s="38" t="s">
        <v>286</v>
      </c>
      <c r="Z242" s="38" t="s">
        <v>287</v>
      </c>
    </row>
    <row r="243" customFormat="false" ht="15" hidden="false" customHeight="false" outlineLevel="0" collapsed="false">
      <c r="R243" s="56" t="s">
        <v>652</v>
      </c>
    </row>
    <row r="244" customFormat="false" ht="15" hidden="false" customHeight="false" outlineLevel="0" collapsed="false">
      <c r="R244" s="1" t="s">
        <v>1261</v>
      </c>
      <c r="V244" s="57" t="s">
        <v>153</v>
      </c>
      <c r="W244" s="58"/>
      <c r="X244" s="59" t="n">
        <v>1</v>
      </c>
      <c r="Y244" s="30" t="n">
        <v>101.69</v>
      </c>
      <c r="Z244" s="30" t="n">
        <f aca="false">X244*Y244</f>
        <v>101.69</v>
      </c>
    </row>
    <row r="245" customFormat="false" ht="15" hidden="false" customHeight="false" outlineLevel="0" collapsed="false">
      <c r="Q245" s="62"/>
      <c r="R245" s="62"/>
      <c r="S245" s="62"/>
      <c r="T245" s="62"/>
      <c r="U245" s="62"/>
      <c r="V245" s="62"/>
      <c r="W245" s="62"/>
      <c r="X245" s="62"/>
      <c r="Y245" s="62"/>
      <c r="Z245" s="63" t="n">
        <f aca="false">SUM(Z244)</f>
        <v>101.69</v>
      </c>
    </row>
    <row r="247" customFormat="false" ht="15" hidden="false" customHeight="false" outlineLevel="0" collapsed="false">
      <c r="Q247" s="14" t="s">
        <v>333</v>
      </c>
      <c r="R247" s="14"/>
      <c r="S247" s="14" t="s">
        <v>1262</v>
      </c>
      <c r="T247" s="14"/>
      <c r="U247" s="14"/>
      <c r="V247" s="14"/>
      <c r="W247" s="14"/>
      <c r="X247" s="14"/>
      <c r="Y247" s="14"/>
    </row>
    <row r="248" customFormat="false" ht="15" hidden="false" customHeight="false" outlineLevel="0" collapsed="false">
      <c r="Q248" s="14" t="s">
        <v>277</v>
      </c>
      <c r="R248" s="14" t="s">
        <v>331</v>
      </c>
      <c r="S248" s="38" t="s">
        <v>279</v>
      </c>
      <c r="T248" s="54" t="n">
        <v>1</v>
      </c>
      <c r="U248" s="38" t="s">
        <v>280</v>
      </c>
      <c r="V248" s="54" t="n">
        <f aca="false">T248</f>
        <v>1</v>
      </c>
      <c r="W248" s="14" t="s">
        <v>281</v>
      </c>
      <c r="Y248" s="38" t="s">
        <v>153</v>
      </c>
      <c r="Z248" s="55" t="n">
        <f aca="false">Z252</f>
        <v>169.49</v>
      </c>
    </row>
    <row r="249" customFormat="false" ht="15" hidden="false" customHeight="false" outlineLevel="0" collapsed="false">
      <c r="Q249" s="14" t="s">
        <v>282</v>
      </c>
      <c r="R249" s="14" t="s">
        <v>283</v>
      </c>
      <c r="V249" s="38" t="s">
        <v>121</v>
      </c>
      <c r="W249" s="38" t="s">
        <v>284</v>
      </c>
      <c r="X249" s="38" t="s">
        <v>285</v>
      </c>
      <c r="Y249" s="38" t="s">
        <v>286</v>
      </c>
      <c r="Z249" s="38" t="s">
        <v>287</v>
      </c>
    </row>
    <row r="250" customFormat="false" ht="15" hidden="false" customHeight="false" outlineLevel="0" collapsed="false">
      <c r="R250" s="56" t="s">
        <v>652</v>
      </c>
    </row>
    <row r="251" customFormat="false" ht="15" hidden="false" customHeight="false" outlineLevel="0" collapsed="false">
      <c r="R251" s="1" t="s">
        <v>1263</v>
      </c>
      <c r="V251" s="57" t="s">
        <v>153</v>
      </c>
      <c r="W251" s="58"/>
      <c r="X251" s="59" t="n">
        <v>1</v>
      </c>
      <c r="Y251" s="30" t="n">
        <v>169.49</v>
      </c>
      <c r="Z251" s="30" t="n">
        <f aca="false">X251*Y251</f>
        <v>169.49</v>
      </c>
    </row>
    <row r="252" customFormat="false" ht="15" hidden="false" customHeight="false" outlineLevel="0" collapsed="false">
      <c r="Q252" s="62"/>
      <c r="R252" s="62"/>
      <c r="S252" s="62"/>
      <c r="T252" s="62"/>
      <c r="U252" s="62"/>
      <c r="V252" s="62"/>
      <c r="W252" s="62"/>
      <c r="X252" s="62"/>
      <c r="Y252" s="62"/>
      <c r="Z252" s="63" t="n">
        <f aca="false">SUM(Z251)</f>
        <v>169.49</v>
      </c>
    </row>
    <row r="253" customFormat="false" ht="16.5" hidden="false" customHeight="true" outlineLevel="0" collapsed="false"/>
    <row r="254" customFormat="false" ht="15" hidden="false" customHeight="false" outlineLevel="0" collapsed="false">
      <c r="Q254" s="14" t="s">
        <v>333</v>
      </c>
      <c r="R254" s="14"/>
      <c r="S254" s="14" t="s">
        <v>1264</v>
      </c>
      <c r="T254" s="14"/>
      <c r="U254" s="14"/>
      <c r="V254" s="14"/>
      <c r="W254" s="14"/>
      <c r="X254" s="14"/>
      <c r="Y254" s="14"/>
    </row>
    <row r="255" customFormat="false" ht="15" hidden="false" customHeight="false" outlineLevel="0" collapsed="false">
      <c r="Q255" s="14" t="s">
        <v>277</v>
      </c>
      <c r="R255" s="14" t="s">
        <v>278</v>
      </c>
      <c r="S255" s="38" t="s">
        <v>279</v>
      </c>
      <c r="T255" s="54" t="n">
        <v>300</v>
      </c>
      <c r="U255" s="38" t="s">
        <v>280</v>
      </c>
      <c r="V255" s="54" t="n">
        <f aca="false">T255</f>
        <v>300</v>
      </c>
      <c r="W255" s="14" t="s">
        <v>281</v>
      </c>
      <c r="Y255" s="38" t="s">
        <v>132</v>
      </c>
      <c r="Z255" s="55" t="n">
        <f aca="false">Z259+Z262</f>
        <v>1.14856</v>
      </c>
    </row>
    <row r="256" customFormat="false" ht="15" hidden="false" customHeight="false" outlineLevel="0" collapsed="false">
      <c r="Q256" s="14" t="s">
        <v>282</v>
      </c>
      <c r="R256" s="14" t="s">
        <v>283</v>
      </c>
      <c r="V256" s="38" t="s">
        <v>121</v>
      </c>
      <c r="W256" s="38" t="s">
        <v>284</v>
      </c>
      <c r="X256" s="38" t="s">
        <v>285</v>
      </c>
      <c r="Y256" s="38" t="s">
        <v>286</v>
      </c>
      <c r="Z256" s="38" t="s">
        <v>287</v>
      </c>
    </row>
    <row r="257" customFormat="false" ht="15" hidden="false" customHeight="false" outlineLevel="0" collapsed="false">
      <c r="R257" s="56" t="s">
        <v>288</v>
      </c>
    </row>
    <row r="258" customFormat="false" ht="15" hidden="false" customHeight="false" outlineLevel="0" collapsed="false">
      <c r="R258" s="1" t="s">
        <v>292</v>
      </c>
      <c r="V258" s="57" t="s">
        <v>290</v>
      </c>
      <c r="W258" s="58" t="n">
        <v>2</v>
      </c>
      <c r="X258" s="59" t="n">
        <f aca="false">W258*8/$T$255</f>
        <v>0.0533333333333333</v>
      </c>
      <c r="Y258" s="30" t="n">
        <v>20.51</v>
      </c>
      <c r="Z258" s="30" t="n">
        <f aca="false">X258*Y258</f>
        <v>1.09386666666667</v>
      </c>
    </row>
    <row r="259" customFormat="false" ht="15" hidden="false" customHeight="false" outlineLevel="0" collapsed="false">
      <c r="Z259" s="55" t="n">
        <f aca="false">SUM(Z258)</f>
        <v>1.09386666666667</v>
      </c>
    </row>
    <row r="260" customFormat="false" ht="15" hidden="false" customHeight="false" outlineLevel="0" collapsed="false">
      <c r="R260" s="56" t="s">
        <v>317</v>
      </c>
    </row>
    <row r="261" customFormat="false" ht="15" hidden="false" customHeight="false" outlineLevel="0" collapsed="false">
      <c r="R261" s="1" t="s">
        <v>309</v>
      </c>
      <c r="V261" s="57" t="s">
        <v>310</v>
      </c>
      <c r="X261" s="59" t="n">
        <v>5</v>
      </c>
      <c r="Y261" s="30" t="n">
        <f aca="false">Z258</f>
        <v>1.09386666666667</v>
      </c>
      <c r="Z261" s="30" t="n">
        <f aca="false">X261%*Y261</f>
        <v>0.0546933333333333</v>
      </c>
    </row>
    <row r="262" customFormat="false" ht="15" hidden="false" customHeight="false" outlineLevel="0" collapsed="false">
      <c r="Q262" s="62"/>
      <c r="R262" s="62"/>
      <c r="S262" s="62"/>
      <c r="T262" s="62"/>
      <c r="U262" s="62"/>
      <c r="V262" s="62"/>
      <c r="W262" s="62"/>
      <c r="X262" s="62"/>
      <c r="Y262" s="62"/>
      <c r="Z262" s="63" t="n">
        <f aca="false">SUM(Z261)</f>
        <v>0.0546933333333333</v>
      </c>
    </row>
    <row r="264" customFormat="false" ht="15" hidden="false" customHeight="false" outlineLevel="0" collapsed="false">
      <c r="Q264" s="14" t="s">
        <v>333</v>
      </c>
      <c r="R264" s="14"/>
      <c r="S264" s="14" t="s">
        <v>335</v>
      </c>
      <c r="T264" s="14"/>
      <c r="U264" s="14"/>
      <c r="V264" s="14"/>
      <c r="W264" s="14"/>
      <c r="X264" s="14"/>
      <c r="Y264" s="14"/>
    </row>
    <row r="265" customFormat="false" ht="15" hidden="false" customHeight="false" outlineLevel="0" collapsed="false">
      <c r="Q265" s="14" t="s">
        <v>277</v>
      </c>
      <c r="R265" s="14" t="s">
        <v>278</v>
      </c>
      <c r="S265" s="38" t="s">
        <v>279</v>
      </c>
      <c r="T265" s="54" t="n">
        <v>450</v>
      </c>
      <c r="U265" s="38" t="s">
        <v>280</v>
      </c>
      <c r="V265" s="54" t="n">
        <f aca="false">T265</f>
        <v>450</v>
      </c>
      <c r="W265" s="14" t="s">
        <v>281</v>
      </c>
      <c r="Y265" s="38" t="s">
        <v>132</v>
      </c>
      <c r="Z265" s="55" t="n">
        <f aca="false">Z269+Z273</f>
        <v>1.35947555555556</v>
      </c>
    </row>
    <row r="266" customFormat="false" ht="15" hidden="false" customHeight="false" outlineLevel="0" collapsed="false">
      <c r="Q266" s="14" t="s">
        <v>282</v>
      </c>
      <c r="R266" s="14" t="s">
        <v>283</v>
      </c>
      <c r="V266" s="38" t="s">
        <v>121</v>
      </c>
      <c r="W266" s="38" t="s">
        <v>284</v>
      </c>
      <c r="X266" s="38" t="s">
        <v>285</v>
      </c>
      <c r="Y266" s="38" t="s">
        <v>286</v>
      </c>
      <c r="Z266" s="38" t="s">
        <v>287</v>
      </c>
    </row>
    <row r="267" customFormat="false" ht="15" hidden="false" customHeight="false" outlineLevel="0" collapsed="false">
      <c r="R267" s="56" t="s">
        <v>288</v>
      </c>
    </row>
    <row r="268" customFormat="false" ht="15" hidden="false" customHeight="false" outlineLevel="0" collapsed="false">
      <c r="R268" s="1" t="s">
        <v>292</v>
      </c>
      <c r="V268" s="57" t="s">
        <v>290</v>
      </c>
      <c r="W268" s="58" t="n">
        <v>3</v>
      </c>
      <c r="X268" s="59" t="n">
        <f aca="false">W268*8/$T$265</f>
        <v>0.0533333333333333</v>
      </c>
      <c r="Y268" s="30" t="n">
        <v>20.51</v>
      </c>
      <c r="Z268" s="30" t="n">
        <f aca="false">X268*Y268</f>
        <v>1.09386666666667</v>
      </c>
    </row>
    <row r="269" customFormat="false" ht="15" hidden="false" customHeight="false" outlineLevel="0" collapsed="false">
      <c r="Z269" s="55" t="n">
        <f aca="false">SUM(Z268)</f>
        <v>1.09386666666667</v>
      </c>
    </row>
    <row r="270" customFormat="false" ht="15" hidden="false" customHeight="false" outlineLevel="0" collapsed="false">
      <c r="R270" s="56" t="s">
        <v>317</v>
      </c>
    </row>
    <row r="271" customFormat="false" ht="15" hidden="false" customHeight="false" outlineLevel="0" collapsed="false">
      <c r="R271" s="1" t="s">
        <v>336</v>
      </c>
      <c r="V271" s="57" t="s">
        <v>337</v>
      </c>
      <c r="W271" s="58" t="n">
        <v>0.1</v>
      </c>
      <c r="X271" s="59" t="n">
        <f aca="false">W271*8/$T$265</f>
        <v>0.00177777777777778</v>
      </c>
      <c r="Y271" s="30" t="n">
        <v>118.64</v>
      </c>
      <c r="Z271" s="30" t="n">
        <f aca="false">X271*Y271</f>
        <v>0.210915555555556</v>
      </c>
    </row>
    <row r="272" customFormat="false" ht="15" hidden="false" customHeight="false" outlineLevel="0" collapsed="false">
      <c r="R272" s="1" t="s">
        <v>309</v>
      </c>
      <c r="V272" s="57" t="s">
        <v>310</v>
      </c>
      <c r="X272" s="59" t="n">
        <v>5</v>
      </c>
      <c r="Y272" s="30" t="n">
        <f aca="false">Z268</f>
        <v>1.09386666666667</v>
      </c>
      <c r="Z272" s="30" t="n">
        <f aca="false">X272%*Y272</f>
        <v>0.0546933333333333</v>
      </c>
    </row>
    <row r="273" customFormat="false" ht="15" hidden="false" customHeight="false" outlineLevel="0" collapsed="false">
      <c r="Q273" s="62"/>
      <c r="R273" s="62"/>
      <c r="S273" s="62"/>
      <c r="T273" s="62"/>
      <c r="U273" s="62"/>
      <c r="V273" s="62"/>
      <c r="W273" s="62"/>
      <c r="X273" s="62"/>
      <c r="Y273" s="62"/>
      <c r="Z273" s="63" t="n">
        <f aca="false">SUM(Z271:Z272)</f>
        <v>0.265608888888889</v>
      </c>
    </row>
    <row r="275" customFormat="false" ht="15" hidden="false" customHeight="false" outlineLevel="0" collapsed="false">
      <c r="Q275" s="14" t="s">
        <v>333</v>
      </c>
      <c r="R275" s="14"/>
      <c r="S275" s="14" t="s">
        <v>1265</v>
      </c>
      <c r="T275" s="14"/>
      <c r="U275" s="14"/>
      <c r="V275" s="14"/>
      <c r="W275" s="14"/>
      <c r="X275" s="14"/>
      <c r="Y275" s="14"/>
    </row>
    <row r="276" customFormat="false" ht="15" hidden="false" customHeight="false" outlineLevel="0" collapsed="false">
      <c r="Q276" s="14" t="s">
        <v>277</v>
      </c>
      <c r="R276" s="14" t="s">
        <v>331</v>
      </c>
      <c r="S276" s="38" t="s">
        <v>279</v>
      </c>
      <c r="T276" s="54" t="n">
        <v>1</v>
      </c>
      <c r="U276" s="38" t="s">
        <v>280</v>
      </c>
      <c r="V276" s="54" t="n">
        <f aca="false">T276</f>
        <v>1</v>
      </c>
      <c r="W276" s="14" t="s">
        <v>281</v>
      </c>
      <c r="Y276" s="38" t="s">
        <v>153</v>
      </c>
      <c r="Z276" s="55" t="n">
        <f aca="false">Z280</f>
        <v>43125.47</v>
      </c>
    </row>
    <row r="277" customFormat="false" ht="15" hidden="false" customHeight="false" outlineLevel="0" collapsed="false">
      <c r="Q277" s="14" t="s">
        <v>282</v>
      </c>
      <c r="R277" s="14" t="s">
        <v>283</v>
      </c>
      <c r="V277" s="38" t="s">
        <v>121</v>
      </c>
      <c r="W277" s="38" t="s">
        <v>284</v>
      </c>
      <c r="X277" s="38" t="s">
        <v>285</v>
      </c>
      <c r="Y277" s="38" t="s">
        <v>286</v>
      </c>
      <c r="Z277" s="38" t="s">
        <v>287</v>
      </c>
    </row>
    <row r="278" customFormat="false" ht="15" hidden="false" customHeight="false" outlineLevel="0" collapsed="false">
      <c r="R278" s="56" t="s">
        <v>652</v>
      </c>
    </row>
    <row r="279" customFormat="false" ht="15" hidden="false" customHeight="false" outlineLevel="0" collapsed="false">
      <c r="R279" s="1" t="s">
        <v>1265</v>
      </c>
      <c r="V279" s="57" t="s">
        <v>153</v>
      </c>
      <c r="W279" s="58"/>
      <c r="X279" s="59" t="n">
        <v>1</v>
      </c>
      <c r="Y279" s="30" t="n">
        <v>43125.47</v>
      </c>
      <c r="Z279" s="30" t="n">
        <f aca="false">X279*Y279</f>
        <v>43125.47</v>
      </c>
    </row>
    <row r="280" customFormat="false" ht="15" hidden="false" customHeight="false" outlineLevel="0" collapsed="false">
      <c r="Q280" s="62"/>
      <c r="R280" s="62"/>
      <c r="S280" s="62"/>
      <c r="T280" s="62"/>
      <c r="U280" s="62"/>
      <c r="V280" s="62"/>
      <c r="W280" s="62"/>
      <c r="X280" s="62"/>
      <c r="Y280" s="62"/>
      <c r="Z280" s="63" t="n">
        <f aca="false">SUM(Z279)</f>
        <v>43125.47</v>
      </c>
    </row>
    <row r="282" customFormat="false" ht="15" hidden="false" customHeight="false" outlineLevel="0" collapsed="false">
      <c r="Q282" s="14" t="s">
        <v>333</v>
      </c>
      <c r="R282" s="14"/>
      <c r="S282" s="14" t="s">
        <v>173</v>
      </c>
      <c r="T282" s="14"/>
      <c r="U282" s="14"/>
      <c r="V282" s="14"/>
      <c r="W282" s="14"/>
      <c r="X282" s="14"/>
      <c r="Y282" s="14"/>
    </row>
    <row r="283" customFormat="false" ht="15" hidden="false" customHeight="false" outlineLevel="0" collapsed="false">
      <c r="Q283" s="14" t="s">
        <v>277</v>
      </c>
      <c r="R283" s="14" t="s">
        <v>331</v>
      </c>
      <c r="S283" s="38" t="s">
        <v>279</v>
      </c>
      <c r="T283" s="54" t="n">
        <v>1</v>
      </c>
      <c r="U283" s="38" t="s">
        <v>280</v>
      </c>
      <c r="V283" s="54" t="n">
        <f aca="false">T283</f>
        <v>1</v>
      </c>
      <c r="W283" s="14" t="s">
        <v>281</v>
      </c>
      <c r="Y283" s="38" t="s">
        <v>153</v>
      </c>
      <c r="Z283" s="55" t="n">
        <f aca="false">Z287+Z293+Z298</f>
        <v>211429.514846667</v>
      </c>
    </row>
    <row r="284" customFormat="false" ht="15" hidden="false" customHeight="false" outlineLevel="0" collapsed="false">
      <c r="Q284" s="14" t="s">
        <v>282</v>
      </c>
      <c r="R284" s="14" t="s">
        <v>283</v>
      </c>
      <c r="V284" s="38" t="s">
        <v>121</v>
      </c>
      <c r="W284" s="38" t="s">
        <v>284</v>
      </c>
      <c r="X284" s="38" t="s">
        <v>285</v>
      </c>
      <c r="Y284" s="38" t="s">
        <v>286</v>
      </c>
      <c r="Z284" s="38" t="s">
        <v>287</v>
      </c>
    </row>
    <row r="285" customFormat="false" ht="15" hidden="false" customHeight="false" outlineLevel="0" collapsed="false">
      <c r="R285" s="56" t="s">
        <v>652</v>
      </c>
    </row>
    <row r="286" customFormat="false" ht="15" hidden="false" customHeight="false" outlineLevel="0" collapsed="false">
      <c r="R286" s="1" t="s">
        <v>173</v>
      </c>
      <c r="V286" s="57" t="s">
        <v>153</v>
      </c>
      <c r="W286" s="58"/>
      <c r="X286" s="59" t="n">
        <v>1</v>
      </c>
      <c r="Y286" s="30" t="n">
        <v>211429.09</v>
      </c>
      <c r="Z286" s="30" t="n">
        <f aca="false">X286*Y286</f>
        <v>211429.09</v>
      </c>
    </row>
    <row r="287" customFormat="false" ht="15" hidden="false" customHeight="false" outlineLevel="0" collapsed="false">
      <c r="Q287" s="62"/>
      <c r="R287" s="62"/>
      <c r="S287" s="62"/>
      <c r="T287" s="62"/>
      <c r="U287" s="62"/>
      <c r="V287" s="62"/>
      <c r="W287" s="62"/>
      <c r="X287" s="62"/>
      <c r="Y287" s="62"/>
      <c r="Z287" s="63" t="n">
        <f aca="false">SUM(Z286)</f>
        <v>211429.09</v>
      </c>
    </row>
    <row r="289" customFormat="false" ht="15" hidden="false" customHeight="false" outlineLevel="0" collapsed="false">
      <c r="Q289" s="14" t="s">
        <v>333</v>
      </c>
      <c r="R289" s="14"/>
      <c r="S289" s="14" t="s">
        <v>177</v>
      </c>
      <c r="T289" s="14"/>
      <c r="U289" s="14"/>
      <c r="V289" s="14"/>
      <c r="W289" s="14"/>
      <c r="X289" s="14"/>
      <c r="Y289" s="14"/>
    </row>
    <row r="290" customFormat="false" ht="15" hidden="false" customHeight="false" outlineLevel="0" collapsed="false">
      <c r="Q290" s="14" t="s">
        <v>277</v>
      </c>
      <c r="R290" s="14" t="s">
        <v>278</v>
      </c>
      <c r="S290" s="38" t="s">
        <v>279</v>
      </c>
      <c r="T290" s="54" t="n">
        <v>600</v>
      </c>
      <c r="U290" s="38" t="s">
        <v>280</v>
      </c>
      <c r="V290" s="54" t="n">
        <f aca="false">T290</f>
        <v>600</v>
      </c>
      <c r="W290" s="14" t="s">
        <v>281</v>
      </c>
      <c r="Y290" s="38" t="s">
        <v>132</v>
      </c>
      <c r="Z290" s="55" t="n">
        <f aca="false">Z295+Z302+Z307</f>
        <v>3.97626</v>
      </c>
    </row>
    <row r="291" customFormat="false" ht="15" hidden="false" customHeight="false" outlineLevel="0" collapsed="false">
      <c r="Q291" s="14" t="s">
        <v>282</v>
      </c>
      <c r="R291" s="14" t="s">
        <v>283</v>
      </c>
      <c r="V291" s="38" t="s">
        <v>121</v>
      </c>
      <c r="W291" s="38" t="s">
        <v>284</v>
      </c>
      <c r="X291" s="38" t="s">
        <v>285</v>
      </c>
      <c r="Y291" s="38" t="s">
        <v>286</v>
      </c>
      <c r="Z291" s="38" t="s">
        <v>287</v>
      </c>
    </row>
    <row r="292" customFormat="false" ht="15" hidden="false" customHeight="false" outlineLevel="0" collapsed="false">
      <c r="R292" s="56" t="s">
        <v>288</v>
      </c>
    </row>
    <row r="293" customFormat="false" ht="15" hidden="false" customHeight="false" outlineLevel="0" collapsed="false">
      <c r="R293" s="1" t="s">
        <v>289</v>
      </c>
      <c r="V293" s="57" t="s">
        <v>290</v>
      </c>
      <c r="W293" s="58" t="n">
        <v>1</v>
      </c>
      <c r="X293" s="59" t="n">
        <f aca="false">W293*8/$T$290</f>
        <v>0.0133333333333333</v>
      </c>
      <c r="Y293" s="30" t="n">
        <v>28.94</v>
      </c>
      <c r="Z293" s="30" t="n">
        <f aca="false">X293*Y293</f>
        <v>0.385866666666667</v>
      </c>
    </row>
    <row r="294" customFormat="false" ht="15" hidden="false" customHeight="false" outlineLevel="0" collapsed="false">
      <c r="R294" s="1" t="s">
        <v>292</v>
      </c>
      <c r="V294" s="57" t="s">
        <v>290</v>
      </c>
      <c r="W294" s="58" t="n">
        <v>3</v>
      </c>
      <c r="X294" s="59" t="n">
        <f aca="false">W294*8/$T$290</f>
        <v>0.04</v>
      </c>
      <c r="Y294" s="30" t="n">
        <v>20.51</v>
      </c>
      <c r="Z294" s="30" t="n">
        <f aca="false">X294*Y294</f>
        <v>0.8204</v>
      </c>
    </row>
    <row r="295" customFormat="false" ht="15" hidden="false" customHeight="false" outlineLevel="0" collapsed="false">
      <c r="Z295" s="55" t="n">
        <f aca="false">SUM(Z293:Z294)</f>
        <v>1.20626666666667</v>
      </c>
    </row>
    <row r="296" customFormat="false" ht="15" hidden="false" customHeight="false" outlineLevel="0" collapsed="false">
      <c r="R296" s="56" t="s">
        <v>293</v>
      </c>
    </row>
    <row r="297" customFormat="false" ht="15" hidden="false" customHeight="false" outlineLevel="0" collapsed="false">
      <c r="R297" s="1" t="s">
        <v>300</v>
      </c>
      <c r="V297" s="57" t="s">
        <v>295</v>
      </c>
      <c r="X297" s="59" t="n">
        <v>0.01</v>
      </c>
      <c r="Y297" s="30" t="n">
        <v>5.51</v>
      </c>
      <c r="Z297" s="30" t="n">
        <f aca="false">X297*Y297</f>
        <v>0.0551</v>
      </c>
    </row>
    <row r="298" customFormat="false" ht="15" hidden="false" customHeight="false" outlineLevel="0" collapsed="false">
      <c r="R298" s="1" t="s">
        <v>338</v>
      </c>
      <c r="V298" s="57" t="s">
        <v>339</v>
      </c>
      <c r="X298" s="59" t="n">
        <v>0.001</v>
      </c>
      <c r="Y298" s="30" t="n">
        <v>38.98</v>
      </c>
      <c r="Z298" s="30" t="n">
        <f aca="false">X298*Y298</f>
        <v>0.03898</v>
      </c>
    </row>
    <row r="299" customFormat="false" ht="15" hidden="false" customHeight="false" outlineLevel="0" collapsed="false">
      <c r="R299" s="1" t="s">
        <v>340</v>
      </c>
      <c r="V299" s="57" t="s">
        <v>306</v>
      </c>
      <c r="X299" s="59" t="n">
        <v>0.02</v>
      </c>
      <c r="Y299" s="30" t="n">
        <v>11.86</v>
      </c>
      <c r="Z299" s="30" t="n">
        <f aca="false">X299*Y299</f>
        <v>0.2372</v>
      </c>
    </row>
    <row r="300" customFormat="false" ht="15" hidden="false" customHeight="false" outlineLevel="0" collapsed="false">
      <c r="R300" s="1" t="s">
        <v>341</v>
      </c>
      <c r="V300" s="57" t="s">
        <v>143</v>
      </c>
      <c r="X300" s="59" t="n">
        <v>0.19</v>
      </c>
      <c r="Y300" s="30" t="n">
        <v>10</v>
      </c>
      <c r="Z300" s="30" t="n">
        <f aca="false">X300*Y300</f>
        <v>1.9</v>
      </c>
    </row>
    <row r="301" customFormat="false" ht="15" hidden="false" customHeight="false" outlineLevel="0" collapsed="false">
      <c r="R301" s="1" t="s">
        <v>307</v>
      </c>
      <c r="V301" s="57" t="s">
        <v>304</v>
      </c>
      <c r="X301" s="59" t="n">
        <v>0.02</v>
      </c>
      <c r="Y301" s="30" t="n">
        <v>5.8</v>
      </c>
      <c r="Z301" s="30" t="n">
        <f aca="false">X301*Y301</f>
        <v>0.116</v>
      </c>
    </row>
    <row r="302" customFormat="false" ht="15" hidden="false" customHeight="false" outlineLevel="0" collapsed="false">
      <c r="V302" s="57"/>
      <c r="Z302" s="55" t="n">
        <f aca="false">SUM(Z297:Z301)</f>
        <v>2.34728</v>
      </c>
    </row>
    <row r="303" customFormat="false" ht="15" hidden="false" customHeight="false" outlineLevel="0" collapsed="false">
      <c r="R303" s="56" t="s">
        <v>317</v>
      </c>
    </row>
    <row r="304" customFormat="false" ht="15" hidden="false" customHeight="false" outlineLevel="0" collapsed="false">
      <c r="R304" s="1" t="s">
        <v>309</v>
      </c>
      <c r="V304" s="57" t="s">
        <v>310</v>
      </c>
      <c r="X304" s="59" t="n">
        <v>5</v>
      </c>
      <c r="Y304" s="30" t="n">
        <f aca="false">Z295</f>
        <v>1.20626666666667</v>
      </c>
      <c r="Z304" s="30" t="n">
        <f aca="false">X304%*Y304</f>
        <v>0.0603133333333333</v>
      </c>
    </row>
    <row r="305" customFormat="false" ht="15" hidden="false" customHeight="false" outlineLevel="0" collapsed="false">
      <c r="R305" s="1" t="s">
        <v>342</v>
      </c>
      <c r="V305" s="57" t="s">
        <v>337</v>
      </c>
      <c r="W305" s="58" t="n">
        <v>1</v>
      </c>
      <c r="X305" s="59" t="n">
        <f aca="false">W305*8/$T$310</f>
        <v>0.0133333333333333</v>
      </c>
      <c r="Y305" s="30" t="n">
        <v>20</v>
      </c>
      <c r="Z305" s="30" t="n">
        <f aca="false">X305*Y305</f>
        <v>0.266666666666667</v>
      </c>
    </row>
    <row r="306" customFormat="false" ht="15" hidden="false" customHeight="false" outlineLevel="0" collapsed="false">
      <c r="R306" s="1" t="s">
        <v>343</v>
      </c>
      <c r="V306" s="57" t="s">
        <v>337</v>
      </c>
      <c r="W306" s="58" t="n">
        <v>1</v>
      </c>
      <c r="X306" s="59" t="n">
        <f aca="false">W306*8/$T$310</f>
        <v>0.0133333333333333</v>
      </c>
      <c r="Y306" s="30" t="n">
        <v>7.18</v>
      </c>
      <c r="Z306" s="30" t="n">
        <f aca="false">X306*Y306</f>
        <v>0.0957333333333333</v>
      </c>
    </row>
    <row r="307" customFormat="false" ht="15" hidden="false" customHeight="false" outlineLevel="0" collapsed="false">
      <c r="Q307" s="62"/>
      <c r="R307" s="62"/>
      <c r="S307" s="62"/>
      <c r="T307" s="62"/>
      <c r="U307" s="62"/>
      <c r="V307" s="62"/>
      <c r="W307" s="62"/>
      <c r="X307" s="62"/>
      <c r="Y307" s="62"/>
      <c r="Z307" s="63" t="n">
        <f aca="false">SUM(Z304:Z306)</f>
        <v>0.422713333333333</v>
      </c>
    </row>
    <row r="309" customFormat="false" ht="15" hidden="false" customHeight="false" outlineLevel="0" collapsed="false">
      <c r="Q309" s="14" t="s">
        <v>333</v>
      </c>
      <c r="R309" s="14"/>
      <c r="S309" s="14" t="s">
        <v>344</v>
      </c>
      <c r="T309" s="14"/>
      <c r="U309" s="14"/>
      <c r="V309" s="14"/>
      <c r="W309" s="14"/>
      <c r="X309" s="14"/>
      <c r="Y309" s="14"/>
    </row>
    <row r="310" customFormat="false" ht="15" hidden="false" customHeight="false" outlineLevel="0" collapsed="false">
      <c r="Q310" s="14" t="s">
        <v>277</v>
      </c>
      <c r="R310" s="14" t="s">
        <v>278</v>
      </c>
      <c r="S310" s="38" t="s">
        <v>279</v>
      </c>
      <c r="T310" s="54" t="n">
        <v>600</v>
      </c>
      <c r="U310" s="38" t="s">
        <v>280</v>
      </c>
      <c r="V310" s="54" t="n">
        <f aca="false">T310</f>
        <v>600</v>
      </c>
      <c r="W310" s="14" t="s">
        <v>281</v>
      </c>
      <c r="Y310" s="38" t="s">
        <v>132</v>
      </c>
      <c r="Z310" s="55" t="n">
        <f aca="false">Z315+Z321+Z326</f>
        <v>4.26553</v>
      </c>
    </row>
    <row r="311" customFormat="false" ht="15" hidden="false" customHeight="false" outlineLevel="0" collapsed="false">
      <c r="Q311" s="14" t="s">
        <v>282</v>
      </c>
      <c r="R311" s="14" t="s">
        <v>283</v>
      </c>
      <c r="V311" s="38" t="s">
        <v>121</v>
      </c>
      <c r="W311" s="38" t="s">
        <v>284</v>
      </c>
      <c r="X311" s="38" t="s">
        <v>285</v>
      </c>
      <c r="Y311" s="38" t="s">
        <v>286</v>
      </c>
      <c r="Z311" s="38" t="s">
        <v>287</v>
      </c>
    </row>
    <row r="312" customFormat="false" ht="15" hidden="false" customHeight="false" outlineLevel="0" collapsed="false">
      <c r="R312" s="56" t="s">
        <v>288</v>
      </c>
    </row>
    <row r="313" customFormat="false" ht="15" hidden="false" customHeight="false" outlineLevel="0" collapsed="false">
      <c r="R313" s="1" t="s">
        <v>289</v>
      </c>
      <c r="V313" s="57" t="s">
        <v>290</v>
      </c>
      <c r="W313" s="58" t="n">
        <v>1</v>
      </c>
      <c r="X313" s="59" t="n">
        <f aca="false">W313*8/$T$310</f>
        <v>0.0133333333333333</v>
      </c>
      <c r="Y313" s="30" t="n">
        <v>28.94</v>
      </c>
      <c r="Z313" s="30" t="n">
        <f aca="false">X313*Y313</f>
        <v>0.385866666666667</v>
      </c>
    </row>
    <row r="314" customFormat="false" ht="15" hidden="false" customHeight="false" outlineLevel="0" collapsed="false">
      <c r="R314" s="1" t="s">
        <v>292</v>
      </c>
      <c r="V314" s="57" t="s">
        <v>290</v>
      </c>
      <c r="W314" s="58" t="n">
        <v>3</v>
      </c>
      <c r="X314" s="59" t="n">
        <f aca="false">W314*8/$T$310</f>
        <v>0.04</v>
      </c>
      <c r="Y314" s="30" t="n">
        <v>20.51</v>
      </c>
      <c r="Z314" s="30" t="n">
        <f aca="false">X314*Y314</f>
        <v>0.8204</v>
      </c>
    </row>
    <row r="315" customFormat="false" ht="15" hidden="false" customHeight="false" outlineLevel="0" collapsed="false">
      <c r="Z315" s="55" t="n">
        <f aca="false">SUM(Z313:Z314)</f>
        <v>1.20626666666667</v>
      </c>
    </row>
    <row r="316" customFormat="false" ht="15" hidden="false" customHeight="false" outlineLevel="0" collapsed="false">
      <c r="R316" s="56" t="s">
        <v>293</v>
      </c>
    </row>
    <row r="317" customFormat="false" ht="15" hidden="false" customHeight="false" outlineLevel="0" collapsed="false">
      <c r="R317" s="1" t="s">
        <v>300</v>
      </c>
      <c r="V317" s="57" t="s">
        <v>295</v>
      </c>
      <c r="X317" s="59" t="n">
        <v>0.005</v>
      </c>
      <c r="Y317" s="30" t="n">
        <v>5.51</v>
      </c>
      <c r="Z317" s="30" t="n">
        <f aca="false">X317*Y317</f>
        <v>0.02755</v>
      </c>
    </row>
    <row r="318" customFormat="false" ht="15" hidden="false" customHeight="false" outlineLevel="0" collapsed="false">
      <c r="R318" s="1" t="s">
        <v>340</v>
      </c>
      <c r="V318" s="57" t="s">
        <v>306</v>
      </c>
      <c r="X318" s="59" t="n">
        <v>0.05</v>
      </c>
      <c r="Y318" s="30" t="n">
        <v>11.86</v>
      </c>
      <c r="Z318" s="30" t="n">
        <f aca="false">X318*Y318</f>
        <v>0.593</v>
      </c>
    </row>
    <row r="319" customFormat="false" ht="15" hidden="false" customHeight="false" outlineLevel="0" collapsed="false">
      <c r="R319" s="1" t="s">
        <v>341</v>
      </c>
      <c r="V319" s="57" t="s">
        <v>143</v>
      </c>
      <c r="X319" s="59" t="n">
        <v>0.19</v>
      </c>
      <c r="Y319" s="30" t="n">
        <v>10</v>
      </c>
      <c r="Z319" s="30" t="n">
        <f aca="false">X319*Y319</f>
        <v>1.9</v>
      </c>
    </row>
    <row r="320" customFormat="false" ht="15" hidden="false" customHeight="false" outlineLevel="0" collapsed="false">
      <c r="R320" s="1" t="s">
        <v>307</v>
      </c>
      <c r="V320" s="57" t="s">
        <v>304</v>
      </c>
      <c r="X320" s="59" t="n">
        <v>0.02</v>
      </c>
      <c r="Y320" s="30" t="n">
        <v>5.8</v>
      </c>
      <c r="Z320" s="30" t="n">
        <f aca="false">X320*Y320</f>
        <v>0.116</v>
      </c>
    </row>
    <row r="321" customFormat="false" ht="15" hidden="false" customHeight="false" outlineLevel="0" collapsed="false">
      <c r="V321" s="57"/>
      <c r="Z321" s="55" t="n">
        <f aca="false">SUM(Z317:Z320)</f>
        <v>2.63655</v>
      </c>
    </row>
    <row r="322" customFormat="false" ht="15" hidden="false" customHeight="false" outlineLevel="0" collapsed="false">
      <c r="R322" s="56" t="s">
        <v>317</v>
      </c>
    </row>
    <row r="323" customFormat="false" ht="15" hidden="false" customHeight="false" outlineLevel="0" collapsed="false">
      <c r="R323" s="1" t="s">
        <v>309</v>
      </c>
      <c r="V323" s="57" t="s">
        <v>310</v>
      </c>
      <c r="X323" s="59" t="n">
        <v>5</v>
      </c>
      <c r="Y323" s="30" t="n">
        <f aca="false">Z315</f>
        <v>1.20626666666667</v>
      </c>
      <c r="Z323" s="30" t="n">
        <f aca="false">X323%*Y323</f>
        <v>0.0603133333333333</v>
      </c>
    </row>
    <row r="324" customFormat="false" ht="15" hidden="false" customHeight="false" outlineLevel="0" collapsed="false">
      <c r="R324" s="1" t="s">
        <v>342</v>
      </c>
      <c r="V324" s="57" t="s">
        <v>337</v>
      </c>
      <c r="W324" s="58" t="n">
        <v>1</v>
      </c>
      <c r="X324" s="59" t="n">
        <f aca="false">W324*8/$T$310</f>
        <v>0.0133333333333333</v>
      </c>
      <c r="Y324" s="30" t="n">
        <v>20</v>
      </c>
      <c r="Z324" s="30" t="n">
        <f aca="false">X324*Y324</f>
        <v>0.266666666666667</v>
      </c>
    </row>
    <row r="325" customFormat="false" ht="15" hidden="false" customHeight="false" outlineLevel="0" collapsed="false">
      <c r="R325" s="1" t="s">
        <v>343</v>
      </c>
      <c r="V325" s="57" t="s">
        <v>337</v>
      </c>
      <c r="W325" s="58" t="n">
        <v>1</v>
      </c>
      <c r="X325" s="59" t="n">
        <f aca="false">W325*8/$T$310</f>
        <v>0.0133333333333333</v>
      </c>
      <c r="Y325" s="30" t="n">
        <v>7.18</v>
      </c>
      <c r="Z325" s="30" t="n">
        <f aca="false">X325*Y325</f>
        <v>0.0957333333333333</v>
      </c>
    </row>
    <row r="326" customFormat="false" ht="15" hidden="false" customHeight="false" outlineLevel="0" collapsed="false">
      <c r="Q326" s="62"/>
      <c r="R326" s="62"/>
      <c r="S326" s="62"/>
      <c r="T326" s="62"/>
      <c r="U326" s="62"/>
      <c r="V326" s="62"/>
      <c r="W326" s="62"/>
      <c r="X326" s="62"/>
      <c r="Y326" s="62"/>
      <c r="Z326" s="63" t="n">
        <f aca="false">SUM(Z323:Z325)</f>
        <v>0.422713333333333</v>
      </c>
    </row>
    <row r="328" customFormat="false" ht="15" hidden="false" customHeight="false" outlineLevel="0" collapsed="false">
      <c r="Q328" s="14" t="s">
        <v>333</v>
      </c>
      <c r="R328" s="14"/>
      <c r="S328" s="14" t="s">
        <v>1266</v>
      </c>
      <c r="T328" s="14"/>
      <c r="U328" s="14"/>
      <c r="V328" s="14"/>
      <c r="W328" s="14"/>
      <c r="X328" s="14"/>
      <c r="Y328" s="14"/>
    </row>
    <row r="329" customFormat="false" ht="15" hidden="false" customHeight="false" outlineLevel="0" collapsed="false">
      <c r="Q329" s="14" t="s">
        <v>277</v>
      </c>
      <c r="R329" s="14" t="s">
        <v>346</v>
      </c>
      <c r="S329" s="38" t="s">
        <v>279</v>
      </c>
      <c r="T329" s="54" t="n">
        <v>1</v>
      </c>
      <c r="U329" s="38" t="s">
        <v>280</v>
      </c>
      <c r="V329" s="54" t="n">
        <f aca="false">T329</f>
        <v>1</v>
      </c>
      <c r="W329" s="14" t="s">
        <v>281</v>
      </c>
      <c r="Y329" s="38" t="s">
        <v>347</v>
      </c>
      <c r="Z329" s="55" t="n">
        <f aca="false">Z352</f>
        <v>41043.35</v>
      </c>
    </row>
    <row r="330" customFormat="false" ht="15" hidden="false" customHeight="false" outlineLevel="0" collapsed="false">
      <c r="Q330" s="14" t="s">
        <v>282</v>
      </c>
      <c r="R330" s="14" t="s">
        <v>283</v>
      </c>
      <c r="V330" s="38" t="s">
        <v>121</v>
      </c>
      <c r="W330" s="38" t="s">
        <v>284</v>
      </c>
      <c r="X330" s="38" t="s">
        <v>285</v>
      </c>
      <c r="Y330" s="38" t="s">
        <v>286</v>
      </c>
      <c r="Z330" s="38" t="s">
        <v>287</v>
      </c>
    </row>
    <row r="331" customFormat="false" ht="15" hidden="false" customHeight="false" outlineLevel="0" collapsed="false">
      <c r="R331" s="56" t="s">
        <v>293</v>
      </c>
    </row>
    <row r="332" customFormat="false" ht="15" hidden="false" customHeight="false" outlineLevel="0" collapsed="false">
      <c r="R332" s="1" t="s">
        <v>348</v>
      </c>
      <c r="V332" s="57" t="s">
        <v>148</v>
      </c>
      <c r="W332" s="58"/>
      <c r="X332" s="59" t="n">
        <v>20</v>
      </c>
      <c r="Y332" s="1" t="n">
        <v>394.07</v>
      </c>
      <c r="Z332" s="30" t="n">
        <f aca="false">X332*Y332</f>
        <v>7881.4</v>
      </c>
      <c r="AH332" s="9"/>
    </row>
    <row r="333" customFormat="false" ht="15" hidden="false" customHeight="false" outlineLevel="0" collapsed="false">
      <c r="R333" s="1" t="s">
        <v>349</v>
      </c>
      <c r="V333" s="57" t="s">
        <v>350</v>
      </c>
      <c r="X333" s="59" t="n">
        <v>40</v>
      </c>
      <c r="Y333" s="1" t="n">
        <v>50.76</v>
      </c>
      <c r="Z333" s="30" t="n">
        <f aca="false">X333*Y333</f>
        <v>2030.4</v>
      </c>
    </row>
    <row r="334" customFormat="false" ht="15" hidden="false" customHeight="false" outlineLevel="0" collapsed="false">
      <c r="R334" s="1" t="s">
        <v>351</v>
      </c>
      <c r="V334" s="57" t="s">
        <v>148</v>
      </c>
      <c r="X334" s="59" t="n">
        <v>120</v>
      </c>
      <c r="Y334" s="1" t="n">
        <v>32.2</v>
      </c>
      <c r="Z334" s="30" t="n">
        <f aca="false">X334*Y334</f>
        <v>3864</v>
      </c>
    </row>
    <row r="335" customFormat="false" ht="15" hidden="false" customHeight="false" outlineLevel="0" collapsed="false">
      <c r="R335" s="1" t="s">
        <v>352</v>
      </c>
      <c r="V335" s="57" t="s">
        <v>148</v>
      </c>
      <c r="X335" s="59" t="n">
        <v>120</v>
      </c>
      <c r="Y335" s="1" t="n">
        <v>32.2</v>
      </c>
      <c r="Z335" s="30" t="n">
        <f aca="false">X335*Y335</f>
        <v>3864</v>
      </c>
      <c r="AI335" s="9"/>
    </row>
    <row r="336" customFormat="false" ht="15" hidden="false" customHeight="false" outlineLevel="0" collapsed="false">
      <c r="R336" s="1" t="s">
        <v>353</v>
      </c>
      <c r="V336" s="57" t="s">
        <v>350</v>
      </c>
      <c r="X336" s="59" t="n">
        <v>112</v>
      </c>
      <c r="Y336" s="1" t="n">
        <v>11.86</v>
      </c>
      <c r="Z336" s="30" t="n">
        <f aca="false">X336*Y336</f>
        <v>1328.32</v>
      </c>
    </row>
    <row r="337" customFormat="false" ht="15" hidden="false" customHeight="false" outlineLevel="0" collapsed="false">
      <c r="R337" s="1" t="s">
        <v>354</v>
      </c>
      <c r="V337" s="57" t="s">
        <v>350</v>
      </c>
      <c r="X337" s="59" t="n">
        <v>40</v>
      </c>
      <c r="Y337" s="1" t="n">
        <v>11.02</v>
      </c>
      <c r="Z337" s="30" t="n">
        <f aca="false">X337*Y337</f>
        <v>440.8</v>
      </c>
    </row>
    <row r="338" customFormat="false" ht="15" hidden="false" customHeight="false" outlineLevel="0" collapsed="false">
      <c r="R338" s="1" t="s">
        <v>355</v>
      </c>
      <c r="V338" s="57" t="s">
        <v>350</v>
      </c>
      <c r="X338" s="59" t="n">
        <v>40</v>
      </c>
      <c r="Y338" s="1" t="n">
        <v>7.63</v>
      </c>
      <c r="Z338" s="30" t="n">
        <f aca="false">X338*Y338</f>
        <v>305.2</v>
      </c>
    </row>
    <row r="339" customFormat="false" ht="15" hidden="false" customHeight="false" outlineLevel="0" collapsed="false">
      <c r="R339" s="1" t="s">
        <v>356</v>
      </c>
      <c r="V339" s="57" t="s">
        <v>350</v>
      </c>
      <c r="X339" s="59" t="n">
        <v>40</v>
      </c>
      <c r="Y339" s="1" t="n">
        <v>14.41</v>
      </c>
      <c r="Z339" s="30" t="n">
        <f aca="false">X339*Y339</f>
        <v>576.4</v>
      </c>
    </row>
    <row r="340" customFormat="false" ht="15" hidden="false" customHeight="false" outlineLevel="0" collapsed="false">
      <c r="R340" s="1" t="s">
        <v>357</v>
      </c>
      <c r="V340" s="57" t="s">
        <v>350</v>
      </c>
      <c r="X340" s="59" t="n">
        <v>4</v>
      </c>
      <c r="Y340" s="1" t="n">
        <v>80.51</v>
      </c>
      <c r="Z340" s="30" t="n">
        <f aca="false">X340*Y340</f>
        <v>322.04</v>
      </c>
    </row>
    <row r="341" customFormat="false" ht="15" hidden="false" customHeight="false" outlineLevel="0" collapsed="false">
      <c r="R341" s="1" t="s">
        <v>358</v>
      </c>
      <c r="V341" s="57" t="s">
        <v>148</v>
      </c>
      <c r="X341" s="59" t="n">
        <v>3</v>
      </c>
      <c r="Y341" s="1" t="n">
        <v>233.9</v>
      </c>
      <c r="Z341" s="30" t="n">
        <f aca="false">X341*Y341</f>
        <v>701.7</v>
      </c>
    </row>
    <row r="342" customFormat="false" ht="15" hidden="false" customHeight="false" outlineLevel="0" collapsed="false">
      <c r="R342" s="1" t="s">
        <v>359</v>
      </c>
      <c r="V342" s="57" t="s">
        <v>148</v>
      </c>
      <c r="X342" s="59" t="n">
        <v>112</v>
      </c>
      <c r="Y342" s="1" t="n">
        <v>5.93</v>
      </c>
      <c r="Z342" s="30" t="n">
        <f aca="false">X342*Y342</f>
        <v>664.16</v>
      </c>
    </row>
    <row r="343" customFormat="false" ht="15" hidden="false" customHeight="false" outlineLevel="0" collapsed="false">
      <c r="R343" s="1" t="s">
        <v>360</v>
      </c>
      <c r="V343" s="57" t="s">
        <v>148</v>
      </c>
      <c r="X343" s="59" t="n">
        <v>2</v>
      </c>
      <c r="Y343" s="1" t="n">
        <v>21.19</v>
      </c>
      <c r="Z343" s="30" t="n">
        <f aca="false">X343*Y343</f>
        <v>42.38</v>
      </c>
    </row>
    <row r="344" customFormat="false" ht="15" hidden="false" customHeight="false" outlineLevel="0" collapsed="false">
      <c r="R344" s="1" t="s">
        <v>361</v>
      </c>
      <c r="V344" s="57" t="s">
        <v>362</v>
      </c>
      <c r="X344" s="59" t="n">
        <v>4</v>
      </c>
      <c r="Y344" s="1" t="n">
        <v>21.19</v>
      </c>
      <c r="Z344" s="30" t="n">
        <f aca="false">X344*Y344</f>
        <v>84.76</v>
      </c>
    </row>
    <row r="345" customFormat="false" ht="15" hidden="false" customHeight="false" outlineLevel="0" collapsed="false">
      <c r="R345" s="1" t="s">
        <v>363</v>
      </c>
      <c r="V345" s="57" t="s">
        <v>148</v>
      </c>
      <c r="X345" s="59" t="n">
        <v>75</v>
      </c>
      <c r="Y345" s="1" t="n">
        <v>53.31</v>
      </c>
      <c r="Z345" s="30" t="n">
        <f aca="false">X345*Y345</f>
        <v>3998.25</v>
      </c>
      <c r="AH345" s="9"/>
    </row>
    <row r="346" customFormat="false" ht="15" hidden="false" customHeight="false" outlineLevel="0" collapsed="false">
      <c r="R346" s="1" t="s">
        <v>364</v>
      </c>
      <c r="V346" s="57" t="s">
        <v>148</v>
      </c>
      <c r="X346" s="59" t="n">
        <v>30</v>
      </c>
      <c r="Y346" s="1" t="n">
        <v>24.49</v>
      </c>
      <c r="Z346" s="30" t="n">
        <f aca="false">X346*Y346</f>
        <v>734.7</v>
      </c>
    </row>
    <row r="347" customFormat="false" ht="15" hidden="false" customHeight="false" outlineLevel="0" collapsed="false">
      <c r="R347" s="1" t="s">
        <v>365</v>
      </c>
      <c r="V347" s="57" t="s">
        <v>148</v>
      </c>
      <c r="X347" s="59" t="n">
        <v>20</v>
      </c>
      <c r="Y347" s="1" t="n">
        <v>33.81</v>
      </c>
      <c r="Z347" s="30" t="n">
        <f aca="false">X347*Y347</f>
        <v>676.2</v>
      </c>
    </row>
    <row r="348" customFormat="false" ht="15" hidden="false" customHeight="false" outlineLevel="0" collapsed="false">
      <c r="R348" s="1" t="s">
        <v>366</v>
      </c>
      <c r="V348" s="57" t="s">
        <v>350</v>
      </c>
      <c r="X348" s="59" t="n">
        <v>112</v>
      </c>
      <c r="Y348" s="1" t="n">
        <v>2.54</v>
      </c>
      <c r="Z348" s="30" t="n">
        <f aca="false">X348*Y348</f>
        <v>284.48</v>
      </c>
    </row>
    <row r="349" customFormat="false" ht="15" hidden="false" customHeight="false" outlineLevel="0" collapsed="false">
      <c r="R349" s="1" t="s">
        <v>367</v>
      </c>
      <c r="V349" s="57" t="s">
        <v>148</v>
      </c>
      <c r="X349" s="59" t="n">
        <v>40</v>
      </c>
      <c r="Y349" s="1" t="n">
        <v>22.88</v>
      </c>
      <c r="Z349" s="30" t="n">
        <f aca="false">X349*Y349</f>
        <v>915.2</v>
      </c>
    </row>
    <row r="350" customFormat="false" ht="15" hidden="false" customHeight="false" outlineLevel="0" collapsed="false">
      <c r="R350" s="1" t="s">
        <v>368</v>
      </c>
      <c r="V350" s="57" t="s">
        <v>148</v>
      </c>
      <c r="X350" s="59" t="n">
        <v>112</v>
      </c>
      <c r="Y350" s="1" t="n">
        <v>59.32</v>
      </c>
      <c r="Z350" s="30" t="n">
        <f aca="false">X350*Y350</f>
        <v>6643.84</v>
      </c>
      <c r="AH350" s="9"/>
    </row>
    <row r="351" customFormat="false" ht="15" hidden="false" customHeight="false" outlineLevel="0" collapsed="false">
      <c r="R351" s="1" t="s">
        <v>369</v>
      </c>
      <c r="V351" s="57" t="s">
        <v>350</v>
      </c>
      <c r="X351" s="59" t="n">
        <v>112</v>
      </c>
      <c r="Y351" s="1" t="n">
        <v>50.76</v>
      </c>
      <c r="Z351" s="30" t="n">
        <f aca="false">X351*Y351</f>
        <v>5685.12</v>
      </c>
      <c r="AH351" s="9"/>
    </row>
    <row r="352" customFormat="false" ht="15" hidden="false" customHeight="false" outlineLevel="0" collapsed="false">
      <c r="Q352" s="62"/>
      <c r="R352" s="62"/>
      <c r="S352" s="62"/>
      <c r="T352" s="62"/>
      <c r="U352" s="62"/>
      <c r="V352" s="66"/>
      <c r="W352" s="67"/>
      <c r="X352" s="68"/>
      <c r="Y352" s="69"/>
      <c r="Z352" s="63" t="n">
        <f aca="false">SUM(Z332:Z351)</f>
        <v>41043.35</v>
      </c>
    </row>
    <row r="354" customFormat="false" ht="15" hidden="false" customHeight="false" outlineLevel="0" collapsed="false">
      <c r="Q354" s="14" t="s">
        <v>333</v>
      </c>
      <c r="R354" s="14"/>
      <c r="S354" s="14" t="s">
        <v>1267</v>
      </c>
      <c r="T354" s="14"/>
      <c r="U354" s="14"/>
      <c r="V354" s="14"/>
      <c r="W354" s="14"/>
      <c r="X354" s="14"/>
      <c r="Y354" s="14"/>
    </row>
    <row r="355" customFormat="false" ht="15" hidden="false" customHeight="false" outlineLevel="0" collapsed="false">
      <c r="Q355" s="14" t="s">
        <v>277</v>
      </c>
      <c r="R355" s="14" t="s">
        <v>346</v>
      </c>
      <c r="S355" s="38" t="s">
        <v>279</v>
      </c>
      <c r="T355" s="54" t="n">
        <v>1</v>
      </c>
      <c r="U355" s="38" t="s">
        <v>280</v>
      </c>
      <c r="V355" s="54" t="n">
        <f aca="false">T355</f>
        <v>1</v>
      </c>
      <c r="W355" s="14" t="s">
        <v>281</v>
      </c>
      <c r="Y355" s="38" t="s">
        <v>347</v>
      </c>
      <c r="Z355" s="55" t="n">
        <f aca="false">Z364</f>
        <v>3824.87</v>
      </c>
    </row>
    <row r="356" customFormat="false" ht="15" hidden="false" customHeight="false" outlineLevel="0" collapsed="false">
      <c r="Q356" s="14" t="s">
        <v>282</v>
      </c>
      <c r="R356" s="14" t="s">
        <v>283</v>
      </c>
      <c r="V356" s="38" t="s">
        <v>121</v>
      </c>
      <c r="W356" s="38" t="s">
        <v>284</v>
      </c>
      <c r="X356" s="38" t="s">
        <v>285</v>
      </c>
      <c r="Y356" s="38" t="s">
        <v>286</v>
      </c>
      <c r="Z356" s="38" t="s">
        <v>287</v>
      </c>
    </row>
    <row r="357" customFormat="false" ht="15" hidden="false" customHeight="false" outlineLevel="0" collapsed="false">
      <c r="R357" s="56" t="s">
        <v>293</v>
      </c>
    </row>
    <row r="358" customFormat="false" ht="15" hidden="false" customHeight="false" outlineLevel="0" collapsed="false">
      <c r="R358" s="1" t="s">
        <v>371</v>
      </c>
      <c r="V358" s="57" t="s">
        <v>372</v>
      </c>
      <c r="W358" s="58"/>
      <c r="X358" s="59" t="n">
        <v>16</v>
      </c>
      <c r="Y358" s="1" t="n">
        <v>51.69</v>
      </c>
      <c r="Z358" s="30" t="n">
        <f aca="false">X358*Y358</f>
        <v>827.04</v>
      </c>
    </row>
    <row r="359" customFormat="false" ht="15" hidden="false" customHeight="false" outlineLevel="0" collapsed="false">
      <c r="R359" s="1" t="s">
        <v>373</v>
      </c>
      <c r="V359" s="57" t="s">
        <v>148</v>
      </c>
      <c r="X359" s="59" t="n">
        <v>15</v>
      </c>
      <c r="Y359" s="1" t="n">
        <v>66.53</v>
      </c>
      <c r="Z359" s="30" t="n">
        <f aca="false">X359*Y359</f>
        <v>997.95</v>
      </c>
    </row>
    <row r="360" customFormat="false" ht="15" hidden="false" customHeight="false" outlineLevel="0" collapsed="false">
      <c r="R360" s="1" t="s">
        <v>374</v>
      </c>
      <c r="V360" s="57" t="s">
        <v>304</v>
      </c>
      <c r="X360" s="59" t="n">
        <v>50</v>
      </c>
      <c r="Y360" s="1" t="n">
        <v>22.03</v>
      </c>
      <c r="Z360" s="30" t="n">
        <f aca="false">X360*Y360</f>
        <v>1101.5</v>
      </c>
    </row>
    <row r="361" customFormat="false" ht="15" hidden="false" customHeight="false" outlineLevel="0" collapsed="false">
      <c r="R361" s="1" t="s">
        <v>375</v>
      </c>
      <c r="V361" s="57" t="s">
        <v>372</v>
      </c>
      <c r="X361" s="59" t="n">
        <v>10</v>
      </c>
      <c r="Y361" s="1" t="n">
        <v>62.71</v>
      </c>
      <c r="Z361" s="30" t="n">
        <f aca="false">X361*Y361</f>
        <v>627.1</v>
      </c>
    </row>
    <row r="362" customFormat="false" ht="15" hidden="false" customHeight="false" outlineLevel="0" collapsed="false">
      <c r="R362" s="1" t="s">
        <v>376</v>
      </c>
      <c r="V362" s="57" t="s">
        <v>148</v>
      </c>
      <c r="X362" s="59" t="n">
        <v>200</v>
      </c>
      <c r="Y362" s="1" t="n">
        <v>0.17</v>
      </c>
      <c r="Z362" s="30" t="n">
        <f aca="false">X362*Y362</f>
        <v>34</v>
      </c>
    </row>
    <row r="363" customFormat="false" ht="15" hidden="false" customHeight="false" outlineLevel="0" collapsed="false">
      <c r="R363" s="1" t="s">
        <v>377</v>
      </c>
      <c r="V363" s="57" t="s">
        <v>372</v>
      </c>
      <c r="X363" s="59" t="n">
        <v>2</v>
      </c>
      <c r="Y363" s="1" t="n">
        <v>118.64</v>
      </c>
      <c r="Z363" s="30" t="n">
        <f aca="false">X363*Y363</f>
        <v>237.28</v>
      </c>
    </row>
    <row r="364" customFormat="false" ht="15" hidden="false" customHeight="false" outlineLevel="0" collapsed="false">
      <c r="Q364" s="62"/>
      <c r="R364" s="62"/>
      <c r="S364" s="62"/>
      <c r="T364" s="62"/>
      <c r="U364" s="62"/>
      <c r="V364" s="66"/>
      <c r="W364" s="67"/>
      <c r="X364" s="68"/>
      <c r="Y364" s="69"/>
      <c r="Z364" s="63" t="n">
        <f aca="false">SUM(Z358:Z363)</f>
        <v>3824.87</v>
      </c>
    </row>
    <row r="365" customFormat="false" ht="15" hidden="false" customHeight="false" outlineLevel="0" collapsed="false">
      <c r="V365" s="57"/>
      <c r="X365" s="59"/>
      <c r="Z365" s="30"/>
    </row>
    <row r="366" customFormat="false" ht="15" hidden="false" customHeight="false" outlineLevel="0" collapsed="false">
      <c r="Q366" s="14" t="s">
        <v>333</v>
      </c>
      <c r="R366" s="14"/>
      <c r="S366" s="14" t="s">
        <v>188</v>
      </c>
      <c r="T366" s="14"/>
      <c r="U366" s="14"/>
      <c r="V366" s="14"/>
      <c r="W366" s="14"/>
      <c r="X366" s="14"/>
      <c r="Y366" s="14"/>
    </row>
    <row r="367" customFormat="false" ht="15" hidden="false" customHeight="false" outlineLevel="0" collapsed="false">
      <c r="Q367" s="14" t="s">
        <v>277</v>
      </c>
      <c r="R367" s="14" t="s">
        <v>346</v>
      </c>
      <c r="S367" s="38" t="s">
        <v>279</v>
      </c>
      <c r="T367" s="54" t="n">
        <v>1</v>
      </c>
      <c r="U367" s="38" t="s">
        <v>280</v>
      </c>
      <c r="V367" s="54" t="n">
        <f aca="false">T367</f>
        <v>1</v>
      </c>
      <c r="W367" s="14" t="s">
        <v>281</v>
      </c>
      <c r="Y367" s="38" t="s">
        <v>347</v>
      </c>
      <c r="Z367" s="55" t="n">
        <f aca="false">Z378</f>
        <v>6076.5</v>
      </c>
    </row>
    <row r="368" customFormat="false" ht="15" hidden="false" customHeight="false" outlineLevel="0" collapsed="false">
      <c r="Q368" s="14" t="s">
        <v>282</v>
      </c>
      <c r="R368" s="14" t="s">
        <v>283</v>
      </c>
      <c r="V368" s="38" t="s">
        <v>121</v>
      </c>
      <c r="W368" s="38" t="s">
        <v>284</v>
      </c>
      <c r="X368" s="38" t="s">
        <v>285</v>
      </c>
      <c r="Y368" s="38" t="s">
        <v>286</v>
      </c>
      <c r="Z368" s="38" t="s">
        <v>287</v>
      </c>
    </row>
    <row r="369" customFormat="false" ht="15" hidden="false" customHeight="false" outlineLevel="0" collapsed="false">
      <c r="R369" s="56" t="s">
        <v>293</v>
      </c>
    </row>
    <row r="370" customFormat="false" ht="15" hidden="false" customHeight="false" outlineLevel="0" collapsed="false">
      <c r="R370" s="1" t="s">
        <v>378</v>
      </c>
      <c r="V370" s="57" t="s">
        <v>148</v>
      </c>
      <c r="W370" s="58"/>
      <c r="X370" s="59" t="n">
        <v>15</v>
      </c>
      <c r="Y370" s="1" t="n">
        <v>29.66</v>
      </c>
      <c r="Z370" s="30" t="n">
        <f aca="false">X370*Y370</f>
        <v>444.9</v>
      </c>
      <c r="AC370" s="14"/>
      <c r="AD370" s="14"/>
      <c r="AE370" s="14"/>
      <c r="AF370" s="14"/>
      <c r="AG370" s="14"/>
      <c r="AH370" s="14"/>
    </row>
    <row r="371" customFormat="false" ht="15" hidden="false" customHeight="false" outlineLevel="0" collapsed="false">
      <c r="R371" s="1" t="s">
        <v>379</v>
      </c>
      <c r="V371" s="57" t="s">
        <v>148</v>
      </c>
      <c r="X371" s="59" t="n">
        <v>15</v>
      </c>
      <c r="Y371" s="1" t="n">
        <v>21.19</v>
      </c>
      <c r="Z371" s="30" t="n">
        <f aca="false">X371*Y371</f>
        <v>317.85</v>
      </c>
    </row>
    <row r="372" customFormat="false" ht="15" hidden="false" customHeight="false" outlineLevel="0" collapsed="false">
      <c r="R372" s="1" t="s">
        <v>380</v>
      </c>
      <c r="V372" s="57" t="s">
        <v>148</v>
      </c>
      <c r="X372" s="59" t="n">
        <v>15</v>
      </c>
      <c r="Y372" s="1" t="n">
        <v>38.14</v>
      </c>
      <c r="Z372" s="30" t="n">
        <f aca="false">X372*Y372</f>
        <v>572.1</v>
      </c>
    </row>
    <row r="373" customFormat="false" ht="15" hidden="false" customHeight="false" outlineLevel="0" collapsed="false">
      <c r="R373" s="1" t="s">
        <v>381</v>
      </c>
      <c r="V373" s="57" t="s">
        <v>148</v>
      </c>
      <c r="X373" s="59" t="n">
        <v>4</v>
      </c>
      <c r="Y373" s="1" t="n">
        <v>38.14</v>
      </c>
      <c r="Z373" s="30" t="n">
        <f aca="false">X373*Y373</f>
        <v>152.56</v>
      </c>
    </row>
    <row r="374" customFormat="false" ht="15" hidden="false" customHeight="false" outlineLevel="0" collapsed="false">
      <c r="R374" s="1" t="s">
        <v>382</v>
      </c>
      <c r="V374" s="57" t="s">
        <v>148</v>
      </c>
      <c r="X374" s="59" t="n">
        <v>4</v>
      </c>
      <c r="Y374" s="1" t="n">
        <v>29.66</v>
      </c>
      <c r="Z374" s="30" t="n">
        <f aca="false">X374*Y374</f>
        <v>118.64</v>
      </c>
    </row>
    <row r="375" customFormat="false" ht="15" hidden="false" customHeight="false" outlineLevel="0" collapsed="false">
      <c r="R375" s="1" t="s">
        <v>383</v>
      </c>
      <c r="V375" s="57" t="s">
        <v>148</v>
      </c>
      <c r="X375" s="59" t="n">
        <v>5</v>
      </c>
      <c r="Y375" s="1" t="n">
        <v>67.8</v>
      </c>
      <c r="Z375" s="30" t="n">
        <f aca="false">X375*Y375</f>
        <v>339</v>
      </c>
    </row>
    <row r="376" customFormat="false" ht="15" hidden="false" customHeight="false" outlineLevel="0" collapsed="false">
      <c r="R376" s="1" t="s">
        <v>384</v>
      </c>
      <c r="V376" s="57" t="s">
        <v>148</v>
      </c>
      <c r="X376" s="59" t="n">
        <v>15</v>
      </c>
      <c r="Y376" s="1" t="n">
        <v>21.19</v>
      </c>
      <c r="Z376" s="30" t="n">
        <f aca="false">X376*Y376</f>
        <v>317.85</v>
      </c>
    </row>
    <row r="377" customFormat="false" ht="15" hidden="false" customHeight="false" outlineLevel="0" collapsed="false">
      <c r="R377" s="1" t="s">
        <v>385</v>
      </c>
      <c r="V377" s="57" t="s">
        <v>148</v>
      </c>
      <c r="X377" s="59" t="n">
        <v>15</v>
      </c>
      <c r="Y377" s="1" t="n">
        <v>254.24</v>
      </c>
      <c r="Z377" s="30" t="n">
        <f aca="false">X377*Y377</f>
        <v>3813.6</v>
      </c>
    </row>
    <row r="378" customFormat="false" ht="15" hidden="false" customHeight="false" outlineLevel="0" collapsed="false">
      <c r="Q378" s="62"/>
      <c r="R378" s="62"/>
      <c r="S378" s="62"/>
      <c r="T378" s="62"/>
      <c r="U378" s="62"/>
      <c r="V378" s="66"/>
      <c r="W378" s="67"/>
      <c r="X378" s="68"/>
      <c r="Y378" s="69"/>
      <c r="Z378" s="63" t="n">
        <f aca="false">SUM(Z370:Z377)</f>
        <v>6076.5</v>
      </c>
      <c r="AH378" s="9"/>
    </row>
    <row r="380" customFormat="false" ht="15" hidden="false" customHeight="false" outlineLevel="0" collapsed="false">
      <c r="Q380" s="14" t="s">
        <v>333</v>
      </c>
      <c r="R380" s="14"/>
      <c r="S380" s="14" t="s">
        <v>190</v>
      </c>
      <c r="T380" s="14"/>
      <c r="U380" s="14"/>
      <c r="V380" s="14"/>
      <c r="W380" s="14"/>
      <c r="X380" s="14"/>
      <c r="Y380" s="14"/>
    </row>
    <row r="381" customFormat="false" ht="15" hidden="false" customHeight="false" outlineLevel="0" collapsed="false">
      <c r="Q381" s="14" t="s">
        <v>277</v>
      </c>
      <c r="R381" s="14" t="s">
        <v>346</v>
      </c>
      <c r="S381" s="38" t="s">
        <v>279</v>
      </c>
      <c r="T381" s="54" t="n">
        <v>1</v>
      </c>
      <c r="U381" s="38" t="s">
        <v>280</v>
      </c>
      <c r="V381" s="54" t="n">
        <f aca="false">T381</f>
        <v>1</v>
      </c>
      <c r="W381" s="14" t="s">
        <v>281</v>
      </c>
      <c r="Y381" s="38" t="s">
        <v>347</v>
      </c>
      <c r="Z381" s="55" t="n">
        <f aca="false">Z387</f>
        <v>18386.64</v>
      </c>
    </row>
    <row r="382" customFormat="false" ht="15" hidden="false" customHeight="false" outlineLevel="0" collapsed="false">
      <c r="Q382" s="14" t="s">
        <v>282</v>
      </c>
      <c r="R382" s="14" t="s">
        <v>283</v>
      </c>
      <c r="V382" s="38" t="s">
        <v>121</v>
      </c>
      <c r="W382" s="38" t="s">
        <v>284</v>
      </c>
      <c r="X382" s="38" t="s">
        <v>285</v>
      </c>
      <c r="Y382" s="38" t="s">
        <v>286</v>
      </c>
      <c r="Z382" s="38" t="s">
        <v>287</v>
      </c>
    </row>
    <row r="383" customFormat="false" ht="15" hidden="false" customHeight="false" outlineLevel="0" collapsed="false">
      <c r="R383" s="56" t="s">
        <v>293</v>
      </c>
    </row>
    <row r="384" customFormat="false" ht="15" hidden="false" customHeight="false" outlineLevel="0" collapsed="false">
      <c r="R384" s="1" t="s">
        <v>386</v>
      </c>
      <c r="V384" s="57" t="s">
        <v>148</v>
      </c>
      <c r="W384" s="58"/>
      <c r="X384" s="59" t="n">
        <v>8</v>
      </c>
      <c r="Y384" s="1" t="n">
        <v>423.73</v>
      </c>
      <c r="Z384" s="30" t="n">
        <f aca="false">X384*Y384</f>
        <v>3389.84</v>
      </c>
    </row>
    <row r="385" customFormat="false" ht="15" hidden="false" customHeight="false" outlineLevel="0" collapsed="false">
      <c r="R385" s="1" t="s">
        <v>387</v>
      </c>
      <c r="V385" s="57" t="s">
        <v>148</v>
      </c>
      <c r="X385" s="59" t="n">
        <v>112</v>
      </c>
      <c r="Y385" s="1" t="n">
        <v>127.12</v>
      </c>
      <c r="Z385" s="30" t="n">
        <f aca="false">X385*Y385</f>
        <v>14237.44</v>
      </c>
    </row>
    <row r="386" customFormat="false" ht="15" hidden="false" customHeight="false" outlineLevel="0" collapsed="false">
      <c r="R386" s="1" t="s">
        <v>388</v>
      </c>
      <c r="V386" s="57" t="s">
        <v>148</v>
      </c>
      <c r="X386" s="59" t="n">
        <v>112</v>
      </c>
      <c r="Y386" s="1" t="n">
        <v>6.78</v>
      </c>
      <c r="Z386" s="30" t="n">
        <f aca="false">X386*Y386</f>
        <v>759.36</v>
      </c>
    </row>
    <row r="387" customFormat="false" ht="15" hidden="false" customHeight="false" outlineLevel="0" collapsed="false">
      <c r="Q387" s="62"/>
      <c r="R387" s="62"/>
      <c r="S387" s="62"/>
      <c r="T387" s="62"/>
      <c r="U387" s="62"/>
      <c r="V387" s="66"/>
      <c r="W387" s="67"/>
      <c r="X387" s="68"/>
      <c r="Y387" s="69"/>
      <c r="Z387" s="63" t="n">
        <f aca="false">SUM(Z384:Z386)</f>
        <v>18386.64</v>
      </c>
    </row>
    <row r="388" customFormat="false" ht="15" hidden="false" customHeight="false" outlineLevel="0" collapsed="false">
      <c r="V388" s="57"/>
      <c r="X388" s="59"/>
      <c r="Z388" s="30"/>
    </row>
    <row r="389" customFormat="false" ht="15" hidden="false" customHeight="false" outlineLevel="0" collapsed="false">
      <c r="Q389" s="14" t="s">
        <v>333</v>
      </c>
      <c r="R389" s="14"/>
      <c r="S389" s="14" t="s">
        <v>389</v>
      </c>
      <c r="T389" s="14"/>
      <c r="U389" s="14"/>
      <c r="V389" s="14"/>
      <c r="W389" s="14"/>
      <c r="X389" s="14"/>
      <c r="Y389" s="14"/>
    </row>
    <row r="390" customFormat="false" ht="15" hidden="false" customHeight="false" outlineLevel="0" collapsed="false">
      <c r="Q390" s="14" t="s">
        <v>277</v>
      </c>
      <c r="R390" s="14" t="s">
        <v>346</v>
      </c>
      <c r="S390" s="38" t="s">
        <v>279</v>
      </c>
      <c r="T390" s="54" t="n">
        <v>1</v>
      </c>
      <c r="U390" s="38" t="s">
        <v>280</v>
      </c>
      <c r="V390" s="54" t="n">
        <f aca="false">T390</f>
        <v>1</v>
      </c>
      <c r="W390" s="14" t="s">
        <v>281</v>
      </c>
      <c r="Y390" s="38" t="s">
        <v>347</v>
      </c>
      <c r="Z390" s="55" t="n">
        <f aca="false">Z399</f>
        <v>1478.8</v>
      </c>
    </row>
    <row r="391" customFormat="false" ht="15" hidden="false" customHeight="false" outlineLevel="0" collapsed="false">
      <c r="Q391" s="14" t="s">
        <v>282</v>
      </c>
      <c r="R391" s="14" t="s">
        <v>283</v>
      </c>
      <c r="V391" s="38" t="s">
        <v>121</v>
      </c>
      <c r="W391" s="38" t="s">
        <v>284</v>
      </c>
      <c r="X391" s="38" t="s">
        <v>285</v>
      </c>
      <c r="Y391" s="38" t="s">
        <v>286</v>
      </c>
      <c r="Z391" s="38" t="s">
        <v>287</v>
      </c>
    </row>
    <row r="392" customFormat="false" ht="15" hidden="false" customHeight="false" outlineLevel="0" collapsed="false">
      <c r="R392" s="56" t="s">
        <v>293</v>
      </c>
      <c r="AB392" s="14"/>
      <c r="AC392" s="14"/>
      <c r="AD392" s="14"/>
      <c r="AE392" s="14"/>
      <c r="AF392" s="14"/>
      <c r="AG392" s="14"/>
    </row>
    <row r="393" customFormat="false" ht="15" hidden="false" customHeight="false" outlineLevel="0" collapsed="false">
      <c r="R393" s="1" t="s">
        <v>390</v>
      </c>
      <c r="V393" s="57" t="s">
        <v>148</v>
      </c>
      <c r="W393" s="58"/>
      <c r="X393" s="59" t="n">
        <v>1</v>
      </c>
      <c r="Y393" s="1" t="n">
        <v>211.86</v>
      </c>
      <c r="Z393" s="30" t="n">
        <f aca="false">X393*Y393</f>
        <v>211.86</v>
      </c>
    </row>
    <row r="394" customFormat="false" ht="15" hidden="false" customHeight="false" outlineLevel="0" collapsed="false">
      <c r="R394" s="1" t="s">
        <v>391</v>
      </c>
      <c r="V394" s="57" t="s">
        <v>148</v>
      </c>
      <c r="X394" s="59" t="n">
        <v>2</v>
      </c>
      <c r="Y394" s="1" t="n">
        <v>76.27</v>
      </c>
      <c r="Z394" s="30" t="n">
        <f aca="false">X394*Y394</f>
        <v>152.54</v>
      </c>
    </row>
    <row r="395" customFormat="false" ht="15" hidden="false" customHeight="false" outlineLevel="0" collapsed="false">
      <c r="R395" s="1" t="s">
        <v>392</v>
      </c>
      <c r="V395" s="57" t="s">
        <v>148</v>
      </c>
      <c r="X395" s="59" t="n">
        <v>1</v>
      </c>
      <c r="Y395" s="1" t="n">
        <v>593.22</v>
      </c>
      <c r="Z395" s="30" t="n">
        <f aca="false">X395*Y395</f>
        <v>593.22</v>
      </c>
    </row>
    <row r="396" customFormat="false" ht="15" hidden="false" customHeight="false" outlineLevel="0" collapsed="false">
      <c r="R396" s="1" t="s">
        <v>393</v>
      </c>
      <c r="V396" s="57" t="s">
        <v>148</v>
      </c>
      <c r="X396" s="59" t="n">
        <v>1</v>
      </c>
      <c r="Y396" s="1" t="n">
        <v>38.14</v>
      </c>
      <c r="Z396" s="30" t="n">
        <f aca="false">X396*Y396</f>
        <v>38.14</v>
      </c>
    </row>
    <row r="397" customFormat="false" ht="15" hidden="false" customHeight="false" outlineLevel="0" collapsed="false">
      <c r="R397" s="1" t="s">
        <v>394</v>
      </c>
      <c r="V397" s="57" t="s">
        <v>148</v>
      </c>
      <c r="X397" s="59" t="n">
        <v>2</v>
      </c>
      <c r="Y397" s="1" t="n">
        <v>135.59</v>
      </c>
      <c r="Z397" s="30" t="n">
        <f aca="false">X397*Y397</f>
        <v>271.18</v>
      </c>
    </row>
    <row r="398" customFormat="false" ht="15" hidden="false" customHeight="false" outlineLevel="0" collapsed="false">
      <c r="R398" s="1" t="s">
        <v>395</v>
      </c>
      <c r="V398" s="57" t="s">
        <v>148</v>
      </c>
      <c r="X398" s="59" t="n">
        <v>1</v>
      </c>
      <c r="Y398" s="1" t="n">
        <v>211.86</v>
      </c>
      <c r="Z398" s="30" t="n">
        <f aca="false">X398*Y398</f>
        <v>211.86</v>
      </c>
    </row>
    <row r="399" customFormat="false" ht="15" hidden="false" customHeight="false" outlineLevel="0" collapsed="false">
      <c r="Q399" s="62"/>
      <c r="R399" s="62"/>
      <c r="S399" s="62"/>
      <c r="T399" s="62"/>
      <c r="U399" s="62"/>
      <c r="V399" s="66"/>
      <c r="W399" s="67"/>
      <c r="X399" s="68"/>
      <c r="Y399" s="69"/>
      <c r="Z399" s="63" t="n">
        <f aca="false">SUM(Z393:Z398)</f>
        <v>1478.8</v>
      </c>
    </row>
    <row r="400" customFormat="false" ht="15" hidden="false" customHeight="false" outlineLevel="0" collapsed="false">
      <c r="V400" s="57"/>
      <c r="X400" s="59"/>
      <c r="Z400" s="30"/>
    </row>
    <row r="401" customFormat="false" ht="15" hidden="false" customHeight="false" outlineLevel="0" collapsed="false">
      <c r="Q401" s="14" t="s">
        <v>333</v>
      </c>
      <c r="R401" s="14"/>
      <c r="S401" s="14" t="s">
        <v>389</v>
      </c>
      <c r="T401" s="14"/>
      <c r="U401" s="14"/>
      <c r="V401" s="14"/>
      <c r="W401" s="14"/>
      <c r="X401" s="14"/>
      <c r="Y401" s="14"/>
    </row>
    <row r="402" customFormat="false" ht="15" hidden="false" customHeight="false" outlineLevel="0" collapsed="false">
      <c r="Q402" s="14" t="s">
        <v>277</v>
      </c>
      <c r="R402" s="14" t="s">
        <v>325</v>
      </c>
      <c r="S402" s="38" t="s">
        <v>279</v>
      </c>
      <c r="T402" s="54" t="n">
        <v>1</v>
      </c>
      <c r="U402" s="38" t="s">
        <v>280</v>
      </c>
      <c r="V402" s="54" t="n">
        <f aca="false">T402</f>
        <v>1</v>
      </c>
      <c r="W402" s="14" t="s">
        <v>281</v>
      </c>
      <c r="Y402" s="38" t="s">
        <v>148</v>
      </c>
      <c r="Z402" s="55" t="n">
        <f aca="false">Z407</f>
        <v>8515.8</v>
      </c>
    </row>
    <row r="403" customFormat="false" ht="15" hidden="false" customHeight="false" outlineLevel="0" collapsed="false">
      <c r="Q403" s="14" t="s">
        <v>282</v>
      </c>
      <c r="R403" s="14" t="s">
        <v>283</v>
      </c>
      <c r="V403" s="38" t="s">
        <v>121</v>
      </c>
      <c r="W403" s="38" t="s">
        <v>284</v>
      </c>
      <c r="X403" s="38" t="s">
        <v>285</v>
      </c>
      <c r="Y403" s="38" t="s">
        <v>286</v>
      </c>
      <c r="Z403" s="38" t="s">
        <v>287</v>
      </c>
    </row>
    <row r="404" customFormat="false" ht="15" hidden="false" customHeight="false" outlineLevel="0" collapsed="false">
      <c r="R404" s="56" t="s">
        <v>293</v>
      </c>
      <c r="AH404" s="9"/>
    </row>
    <row r="405" customFormat="false" ht="15" hidden="false" customHeight="false" outlineLevel="0" collapsed="false">
      <c r="R405" s="1" t="s">
        <v>397</v>
      </c>
      <c r="V405" s="57" t="s">
        <v>148</v>
      </c>
      <c r="W405" s="58"/>
      <c r="X405" s="59" t="n">
        <v>320</v>
      </c>
      <c r="Y405" s="1" t="n">
        <v>25.42</v>
      </c>
      <c r="Z405" s="30" t="n">
        <f aca="false">X405*Y405</f>
        <v>8134.4</v>
      </c>
    </row>
    <row r="406" customFormat="false" ht="15" hidden="false" customHeight="false" outlineLevel="0" collapsed="false">
      <c r="R406" s="1" t="s">
        <v>398</v>
      </c>
      <c r="V406" s="57" t="s">
        <v>148</v>
      </c>
      <c r="X406" s="59" t="n">
        <v>10</v>
      </c>
      <c r="Y406" s="1" t="n">
        <v>38.14</v>
      </c>
      <c r="Z406" s="30" t="n">
        <f aca="false">X406*Y406</f>
        <v>381.4</v>
      </c>
    </row>
    <row r="407" customFormat="false" ht="15" hidden="false" customHeight="false" outlineLevel="0" collapsed="false">
      <c r="Q407" s="62"/>
      <c r="R407" s="62"/>
      <c r="S407" s="62"/>
      <c r="T407" s="62"/>
      <c r="U407" s="62"/>
      <c r="V407" s="66"/>
      <c r="W407" s="67"/>
      <c r="X407" s="68"/>
      <c r="Y407" s="69"/>
      <c r="Z407" s="63" t="n">
        <f aca="false">SUM(Z405:Z406)</f>
        <v>8515.8</v>
      </c>
    </row>
    <row r="408" customFormat="false" ht="15" hidden="false" customHeight="false" outlineLevel="0" collapsed="false">
      <c r="V408" s="57"/>
      <c r="X408" s="59"/>
      <c r="Z408" s="30"/>
    </row>
    <row r="409" customFormat="false" ht="15" hidden="false" customHeight="false" outlineLevel="0" collapsed="false">
      <c r="Q409" s="14" t="s">
        <v>333</v>
      </c>
      <c r="R409" s="14"/>
      <c r="S409" s="14" t="s">
        <v>196</v>
      </c>
      <c r="T409" s="14"/>
      <c r="U409" s="14"/>
      <c r="V409" s="14"/>
      <c r="W409" s="14"/>
      <c r="X409" s="14"/>
      <c r="Y409" s="14"/>
    </row>
    <row r="410" customFormat="false" ht="15" hidden="false" customHeight="false" outlineLevel="0" collapsed="false">
      <c r="Q410" s="14" t="s">
        <v>277</v>
      </c>
      <c r="R410" s="14" t="s">
        <v>325</v>
      </c>
      <c r="S410" s="38" t="s">
        <v>279</v>
      </c>
      <c r="T410" s="54" t="n">
        <v>1</v>
      </c>
      <c r="U410" s="38" t="s">
        <v>280</v>
      </c>
      <c r="V410" s="54" t="n">
        <f aca="false">T410</f>
        <v>1</v>
      </c>
      <c r="W410" s="14" t="s">
        <v>281</v>
      </c>
      <c r="Y410" s="38" t="s">
        <v>148</v>
      </c>
      <c r="Z410" s="55" t="n">
        <f aca="false">Z415</f>
        <v>29152.28</v>
      </c>
      <c r="AC410" s="14"/>
      <c r="AD410" s="14"/>
      <c r="AE410" s="14"/>
      <c r="AF410" s="14"/>
      <c r="AG410" s="14"/>
      <c r="AH410" s="14"/>
    </row>
    <row r="411" customFormat="false" ht="15" hidden="false" customHeight="false" outlineLevel="0" collapsed="false">
      <c r="Q411" s="14" t="s">
        <v>282</v>
      </c>
      <c r="R411" s="14" t="s">
        <v>283</v>
      </c>
      <c r="V411" s="38" t="s">
        <v>121</v>
      </c>
      <c r="W411" s="38" t="s">
        <v>284</v>
      </c>
      <c r="X411" s="38" t="s">
        <v>285</v>
      </c>
      <c r="Y411" s="38" t="s">
        <v>286</v>
      </c>
      <c r="Z411" s="38" t="s">
        <v>287</v>
      </c>
      <c r="AH411" s="9"/>
    </row>
    <row r="412" customFormat="false" ht="15" hidden="false" customHeight="false" outlineLevel="0" collapsed="false">
      <c r="R412" s="56" t="s">
        <v>293</v>
      </c>
      <c r="AH412" s="9"/>
    </row>
    <row r="413" customFormat="false" ht="15" hidden="false" customHeight="false" outlineLevel="0" collapsed="false">
      <c r="R413" s="1" t="s">
        <v>399</v>
      </c>
      <c r="V413" s="57" t="s">
        <v>148</v>
      </c>
      <c r="W413" s="58"/>
      <c r="X413" s="59" t="n">
        <v>130</v>
      </c>
      <c r="Y413" s="1" t="n">
        <v>169.49</v>
      </c>
      <c r="Z413" s="30" t="n">
        <f aca="false">X413*Y413</f>
        <v>22033.7</v>
      </c>
    </row>
    <row r="414" customFormat="false" ht="15" hidden="false" customHeight="false" outlineLevel="0" collapsed="false">
      <c r="R414" s="1" t="s">
        <v>399</v>
      </c>
      <c r="V414" s="57" t="s">
        <v>148</v>
      </c>
      <c r="X414" s="59" t="n">
        <v>42</v>
      </c>
      <c r="Y414" s="1" t="n">
        <v>169.49</v>
      </c>
      <c r="Z414" s="30" t="n">
        <f aca="false">X414*Y414</f>
        <v>7118.58</v>
      </c>
    </row>
    <row r="415" customFormat="false" ht="15" hidden="false" customHeight="false" outlineLevel="0" collapsed="false">
      <c r="Q415" s="62"/>
      <c r="R415" s="62"/>
      <c r="S415" s="62"/>
      <c r="T415" s="62"/>
      <c r="U415" s="62"/>
      <c r="V415" s="66"/>
      <c r="W415" s="67"/>
      <c r="X415" s="68"/>
      <c r="Y415" s="69"/>
      <c r="Z415" s="63" t="n">
        <f aca="false">SUM(Z413:Z414)</f>
        <v>29152.28</v>
      </c>
    </row>
    <row r="417" customFormat="false" ht="15" hidden="false" customHeight="false" outlineLevel="0" collapsed="false">
      <c r="Q417" s="14" t="s">
        <v>276</v>
      </c>
      <c r="R417" s="14"/>
      <c r="S417" s="14" t="s">
        <v>400</v>
      </c>
      <c r="T417" s="14"/>
      <c r="U417" s="14"/>
      <c r="V417" s="14"/>
      <c r="W417" s="14"/>
      <c r="X417" s="14"/>
      <c r="Y417" s="14"/>
    </row>
    <row r="418" customFormat="false" ht="15" hidden="false" customHeight="false" outlineLevel="0" collapsed="false">
      <c r="Q418" s="14" t="s">
        <v>277</v>
      </c>
      <c r="R418" s="14" t="s">
        <v>278</v>
      </c>
      <c r="S418" s="38" t="s">
        <v>279</v>
      </c>
      <c r="T418" s="54" t="n">
        <v>50</v>
      </c>
      <c r="U418" s="38" t="s">
        <v>280</v>
      </c>
      <c r="V418" s="54" t="n">
        <f aca="false">T418</f>
        <v>50</v>
      </c>
      <c r="W418" s="14" t="s">
        <v>281</v>
      </c>
      <c r="Y418" s="38" t="s">
        <v>132</v>
      </c>
      <c r="Z418" s="55" t="n">
        <f aca="false">Z423++Z428</f>
        <v>32.55584</v>
      </c>
    </row>
    <row r="419" customFormat="false" ht="15" hidden="false" customHeight="false" outlineLevel="0" collapsed="false">
      <c r="Q419" s="14" t="s">
        <v>282</v>
      </c>
      <c r="R419" s="14" t="s">
        <v>283</v>
      </c>
      <c r="V419" s="38" t="s">
        <v>121</v>
      </c>
      <c r="W419" s="38" t="s">
        <v>284</v>
      </c>
      <c r="X419" s="38" t="s">
        <v>285</v>
      </c>
      <c r="Y419" s="38" t="s">
        <v>286</v>
      </c>
      <c r="Z419" s="38" t="s">
        <v>287</v>
      </c>
    </row>
    <row r="420" customFormat="false" ht="15" hidden="false" customHeight="false" outlineLevel="0" collapsed="false">
      <c r="R420" s="56" t="s">
        <v>288</v>
      </c>
    </row>
    <row r="421" customFormat="false" ht="15" hidden="false" customHeight="false" outlineLevel="0" collapsed="false">
      <c r="R421" s="1" t="s">
        <v>291</v>
      </c>
      <c r="V421" s="57" t="s">
        <v>290</v>
      </c>
      <c r="W421" s="58" t="n">
        <v>1</v>
      </c>
      <c r="X421" s="59" t="n">
        <f aca="false">W421*8/$T$418</f>
        <v>0.16</v>
      </c>
      <c r="Y421" s="30" t="n">
        <v>22.66</v>
      </c>
      <c r="Z421" s="30" t="n">
        <f aca="false">X421*Y421</f>
        <v>3.6256</v>
      </c>
    </row>
    <row r="422" customFormat="false" ht="15" hidden="false" customHeight="false" outlineLevel="0" collapsed="false">
      <c r="R422" s="1" t="s">
        <v>292</v>
      </c>
      <c r="V422" s="57" t="s">
        <v>290</v>
      </c>
      <c r="W422" s="58" t="n">
        <v>2</v>
      </c>
      <c r="X422" s="59" t="n">
        <f aca="false">W422*8/$T$418</f>
        <v>0.32</v>
      </c>
      <c r="Y422" s="30" t="n">
        <v>20.51</v>
      </c>
      <c r="Z422" s="30" t="n">
        <f aca="false">X422*Y422</f>
        <v>6.5632</v>
      </c>
    </row>
    <row r="423" customFormat="false" ht="15" hidden="false" customHeight="false" outlineLevel="0" collapsed="false">
      <c r="Z423" s="55" t="n">
        <f aca="false">SUM(Z421:Z422)</f>
        <v>10.1888</v>
      </c>
    </row>
    <row r="424" customFormat="false" ht="15" hidden="false" customHeight="false" outlineLevel="0" collapsed="false">
      <c r="R424" s="56" t="s">
        <v>317</v>
      </c>
    </row>
    <row r="425" customFormat="false" ht="15" hidden="false" customHeight="false" outlineLevel="0" collapsed="false">
      <c r="R425" s="1" t="s">
        <v>309</v>
      </c>
      <c r="V425" s="57" t="s">
        <v>310</v>
      </c>
      <c r="X425" s="59" t="n">
        <v>5</v>
      </c>
      <c r="Y425" s="30" t="n">
        <f aca="false">Z423</f>
        <v>10.1888</v>
      </c>
      <c r="Z425" s="30" t="n">
        <f aca="false">X425%*Y425</f>
        <v>0.50944</v>
      </c>
    </row>
    <row r="426" customFormat="false" ht="15" hidden="false" customHeight="false" outlineLevel="0" collapsed="false">
      <c r="R426" s="1" t="s">
        <v>401</v>
      </c>
      <c r="V426" s="57" t="s">
        <v>337</v>
      </c>
      <c r="W426" s="58" t="n">
        <v>1</v>
      </c>
      <c r="X426" s="59" t="n">
        <f aca="false">W426*8/$T$418</f>
        <v>0.16</v>
      </c>
      <c r="Y426" s="30" t="n">
        <v>85.76</v>
      </c>
      <c r="Z426" s="30" t="n">
        <f aca="false">X426*Y426</f>
        <v>13.7216</v>
      </c>
    </row>
    <row r="427" customFormat="false" ht="15" hidden="false" customHeight="false" outlineLevel="0" collapsed="false">
      <c r="R427" s="1" t="s">
        <v>402</v>
      </c>
      <c r="V427" s="57" t="s">
        <v>337</v>
      </c>
      <c r="W427" s="58" t="n">
        <v>5</v>
      </c>
      <c r="X427" s="59" t="n">
        <f aca="false">W427*8/$T$418</f>
        <v>0.8</v>
      </c>
      <c r="Y427" s="30" t="n">
        <v>10.17</v>
      </c>
      <c r="Z427" s="30" t="n">
        <f aca="false">X427*Y427</f>
        <v>8.136</v>
      </c>
    </row>
    <row r="428" customFormat="false" ht="15" hidden="false" customHeight="false" outlineLevel="0" collapsed="false">
      <c r="Q428" s="62"/>
      <c r="R428" s="62"/>
      <c r="S428" s="62"/>
      <c r="T428" s="62"/>
      <c r="U428" s="62"/>
      <c r="V428" s="62"/>
      <c r="W428" s="62"/>
      <c r="X428" s="62"/>
      <c r="Y428" s="62"/>
      <c r="Z428" s="63" t="n">
        <f aca="false">SUM(Z425:Z427)</f>
        <v>22.36704</v>
      </c>
    </row>
    <row r="430" customFormat="false" ht="15" hidden="false" customHeight="false" outlineLevel="0" collapsed="false">
      <c r="Q430" s="14" t="s">
        <v>276</v>
      </c>
      <c r="R430" s="14"/>
      <c r="S430" s="14" t="s">
        <v>403</v>
      </c>
      <c r="T430" s="14"/>
      <c r="U430" s="14"/>
      <c r="V430" s="14"/>
      <c r="W430" s="14"/>
      <c r="X430" s="14"/>
      <c r="Y430" s="14"/>
    </row>
    <row r="431" customFormat="false" ht="15" hidden="false" customHeight="false" outlineLevel="0" collapsed="false">
      <c r="Q431" s="14" t="s">
        <v>277</v>
      </c>
      <c r="R431" s="14" t="s">
        <v>325</v>
      </c>
      <c r="S431" s="38" t="s">
        <v>279</v>
      </c>
      <c r="T431" s="54" t="n">
        <v>6</v>
      </c>
      <c r="U431" s="38" t="s">
        <v>280</v>
      </c>
      <c r="V431" s="54" t="n">
        <f aca="false">T431</f>
        <v>6</v>
      </c>
      <c r="W431" s="14" t="s">
        <v>281</v>
      </c>
      <c r="Y431" s="38" t="s">
        <v>148</v>
      </c>
      <c r="Z431" s="55" t="n">
        <f aca="false">Z436++Z442+Z445</f>
        <v>115.47972</v>
      </c>
    </row>
    <row r="432" customFormat="false" ht="15" hidden="false" customHeight="false" outlineLevel="0" collapsed="false">
      <c r="Q432" s="14" t="s">
        <v>282</v>
      </c>
      <c r="R432" s="14" t="s">
        <v>283</v>
      </c>
      <c r="V432" s="38" t="s">
        <v>121</v>
      </c>
      <c r="W432" s="38" t="s">
        <v>284</v>
      </c>
      <c r="X432" s="38" t="s">
        <v>285</v>
      </c>
      <c r="Y432" s="38" t="s">
        <v>286</v>
      </c>
      <c r="Z432" s="38" t="s">
        <v>287</v>
      </c>
    </row>
    <row r="433" customFormat="false" ht="15" hidden="false" customHeight="false" outlineLevel="0" collapsed="false">
      <c r="R433" s="56" t="s">
        <v>288</v>
      </c>
    </row>
    <row r="434" customFormat="false" ht="15" hidden="false" customHeight="false" outlineLevel="0" collapsed="false">
      <c r="R434" s="1" t="s">
        <v>404</v>
      </c>
      <c r="V434" s="57" t="s">
        <v>290</v>
      </c>
      <c r="W434" s="58" t="n">
        <v>1</v>
      </c>
      <c r="X434" s="59" t="n">
        <f aca="false">W434*8/$T$431</f>
        <v>1.33333333333333</v>
      </c>
      <c r="Y434" s="30" t="n">
        <v>28.94</v>
      </c>
      <c r="Z434" s="30" t="n">
        <f aca="false">X434*Y434</f>
        <v>38.5866666666667</v>
      </c>
    </row>
    <row r="435" customFormat="false" ht="15" hidden="false" customHeight="false" outlineLevel="0" collapsed="false">
      <c r="R435" s="1" t="s">
        <v>292</v>
      </c>
      <c r="V435" s="57" t="s">
        <v>290</v>
      </c>
      <c r="W435" s="58" t="n">
        <v>1</v>
      </c>
      <c r="X435" s="59" t="n">
        <f aca="false">W435*8/$T$431</f>
        <v>1.33333333333333</v>
      </c>
      <c r="Y435" s="30" t="n">
        <v>20.51</v>
      </c>
      <c r="Z435" s="30" t="n">
        <f aca="false">X435*Y435</f>
        <v>27.3466666666667</v>
      </c>
    </row>
    <row r="436" customFormat="false" ht="15" hidden="false" customHeight="false" outlineLevel="0" collapsed="false">
      <c r="Z436" s="55" t="n">
        <f aca="false">SUM(Z434:Z435)</f>
        <v>65.9333333333333</v>
      </c>
    </row>
    <row r="437" customFormat="false" ht="15" hidden="false" customHeight="false" outlineLevel="0" collapsed="false">
      <c r="R437" s="56" t="s">
        <v>293</v>
      </c>
    </row>
    <row r="438" customFormat="false" ht="15" hidden="false" customHeight="false" outlineLevel="0" collapsed="false">
      <c r="R438" s="1" t="s">
        <v>405</v>
      </c>
      <c r="V438" s="57" t="s">
        <v>148</v>
      </c>
      <c r="X438" s="59" t="n">
        <v>1</v>
      </c>
      <c r="Y438" s="30" t="n">
        <v>10.85</v>
      </c>
      <c r="Z438" s="30" t="n">
        <f aca="false">X438*Y438</f>
        <v>10.85</v>
      </c>
    </row>
    <row r="439" customFormat="false" ht="15" hidden="false" customHeight="false" outlineLevel="0" collapsed="false">
      <c r="R439" s="1" t="s">
        <v>300</v>
      </c>
      <c r="V439" s="57" t="s">
        <v>295</v>
      </c>
      <c r="W439" s="58"/>
      <c r="X439" s="59" t="n">
        <v>0.012</v>
      </c>
      <c r="Y439" s="30" t="n">
        <v>5.51</v>
      </c>
      <c r="Z439" s="30" t="n">
        <f aca="false">X439*Y439</f>
        <v>0.06612</v>
      </c>
    </row>
    <row r="440" customFormat="false" ht="15" hidden="false" customHeight="false" outlineLevel="0" collapsed="false">
      <c r="R440" s="1" t="s">
        <v>1268</v>
      </c>
      <c r="V440" s="57" t="s">
        <v>202</v>
      </c>
      <c r="W440" s="58"/>
      <c r="X440" s="59" t="n">
        <v>0.08</v>
      </c>
      <c r="Y440" s="30" t="n">
        <v>70.92</v>
      </c>
      <c r="Z440" s="30" t="n">
        <f aca="false">X440*Y440</f>
        <v>5.6736</v>
      </c>
    </row>
    <row r="441" customFormat="false" ht="15" hidden="false" customHeight="false" outlineLevel="0" collapsed="false">
      <c r="R441" s="1" t="s">
        <v>406</v>
      </c>
      <c r="V441" s="57" t="s">
        <v>148</v>
      </c>
      <c r="X441" s="1" t="n">
        <v>1</v>
      </c>
      <c r="Y441" s="1" t="n">
        <v>29.66</v>
      </c>
      <c r="Z441" s="30" t="n">
        <f aca="false">X441*Y441</f>
        <v>29.66</v>
      </c>
    </row>
    <row r="442" customFormat="false" ht="15" hidden="false" customHeight="false" outlineLevel="0" collapsed="false">
      <c r="Z442" s="55" t="n">
        <f aca="false">SUM(Z438:Z441)</f>
        <v>46.24972</v>
      </c>
    </row>
    <row r="443" customFormat="false" ht="15" hidden="false" customHeight="false" outlineLevel="0" collapsed="false">
      <c r="R443" s="56" t="s">
        <v>317</v>
      </c>
    </row>
    <row r="444" customFormat="false" ht="15" hidden="false" customHeight="false" outlineLevel="0" collapsed="false">
      <c r="R444" s="1" t="s">
        <v>309</v>
      </c>
      <c r="V444" s="57" t="s">
        <v>310</v>
      </c>
      <c r="X444" s="59" t="n">
        <v>5</v>
      </c>
      <c r="Y444" s="30" t="n">
        <f aca="false">Z436</f>
        <v>65.9333333333333</v>
      </c>
      <c r="Z444" s="30" t="n">
        <f aca="false">X444%*Y444</f>
        <v>3.29666666666667</v>
      </c>
    </row>
    <row r="445" customFormat="false" ht="15" hidden="false" customHeight="false" outlineLevel="0" collapsed="false">
      <c r="Q445" s="62"/>
      <c r="R445" s="62"/>
      <c r="S445" s="62"/>
      <c r="T445" s="62"/>
      <c r="U445" s="62"/>
      <c r="V445" s="62"/>
      <c r="W445" s="62"/>
      <c r="X445" s="62"/>
      <c r="Y445" s="62"/>
      <c r="Z445" s="63" t="n">
        <f aca="false">SUM(Z444)</f>
        <v>3.29666666666667</v>
      </c>
    </row>
    <row r="447" customFormat="false" ht="15" hidden="false" customHeight="false" outlineLevel="0" collapsed="false">
      <c r="Q447" s="14" t="s">
        <v>333</v>
      </c>
      <c r="R447" s="14"/>
      <c r="S447" s="14" t="s">
        <v>407</v>
      </c>
      <c r="T447" s="14"/>
      <c r="U447" s="14"/>
      <c r="V447" s="14"/>
      <c r="W447" s="14"/>
      <c r="X447" s="14"/>
      <c r="Y447" s="14"/>
    </row>
    <row r="448" customFormat="false" ht="15" hidden="false" customHeight="false" outlineLevel="0" collapsed="false">
      <c r="Q448" s="14" t="s">
        <v>277</v>
      </c>
      <c r="R448" s="14" t="s">
        <v>331</v>
      </c>
      <c r="S448" s="38" t="s">
        <v>279</v>
      </c>
      <c r="T448" s="54" t="n">
        <v>1</v>
      </c>
      <c r="U448" s="38" t="s">
        <v>280</v>
      </c>
      <c r="V448" s="54" t="n">
        <f aca="false">T448</f>
        <v>1</v>
      </c>
      <c r="W448" s="14" t="s">
        <v>281</v>
      </c>
      <c r="Y448" s="38" t="s">
        <v>153</v>
      </c>
      <c r="Z448" s="55" t="n">
        <f aca="false">Z454</f>
        <v>135.964</v>
      </c>
    </row>
    <row r="449" customFormat="false" ht="15" hidden="false" customHeight="false" outlineLevel="0" collapsed="false">
      <c r="Q449" s="14" t="s">
        <v>282</v>
      </c>
      <c r="R449" s="14" t="s">
        <v>283</v>
      </c>
      <c r="V449" s="38" t="s">
        <v>121</v>
      </c>
      <c r="W449" s="38" t="s">
        <v>284</v>
      </c>
      <c r="X449" s="38" t="s">
        <v>285</v>
      </c>
      <c r="Y449" s="38" t="s">
        <v>286</v>
      </c>
      <c r="Z449" s="38" t="s">
        <v>287</v>
      </c>
    </row>
    <row r="450" customFormat="false" ht="15" hidden="false" customHeight="false" outlineLevel="0" collapsed="false">
      <c r="R450" s="56" t="s">
        <v>293</v>
      </c>
    </row>
    <row r="451" customFormat="false" ht="15" hidden="false" customHeight="false" outlineLevel="0" collapsed="false">
      <c r="R451" s="1" t="s">
        <v>408</v>
      </c>
      <c r="V451" s="57" t="s">
        <v>148</v>
      </c>
      <c r="W451" s="58"/>
      <c r="X451" s="59" t="n">
        <v>80</v>
      </c>
      <c r="Y451" s="1" t="n">
        <v>0.42</v>
      </c>
      <c r="Z451" s="30" t="n">
        <f aca="false">X451*Y451</f>
        <v>33.6</v>
      </c>
      <c r="AC451" s="14"/>
      <c r="AD451" s="14"/>
      <c r="AE451" s="14"/>
      <c r="AF451" s="14"/>
      <c r="AG451" s="14"/>
      <c r="AH451" s="14"/>
    </row>
    <row r="452" customFormat="false" ht="15" hidden="false" customHeight="false" outlineLevel="0" collapsed="false">
      <c r="R452" s="1" t="s">
        <v>409</v>
      </c>
      <c r="V452" s="57" t="s">
        <v>148</v>
      </c>
      <c r="X452" s="59" t="n">
        <v>80</v>
      </c>
      <c r="Y452" s="1" t="n">
        <v>1.1</v>
      </c>
      <c r="Z452" s="30" t="n">
        <f aca="false">X452*Y452</f>
        <v>88</v>
      </c>
    </row>
    <row r="453" customFormat="false" ht="15" hidden="false" customHeight="false" outlineLevel="0" collapsed="false">
      <c r="R453" s="1" t="s">
        <v>410</v>
      </c>
      <c r="V453" s="57" t="s">
        <v>148</v>
      </c>
      <c r="X453" s="59" t="n">
        <v>0.05</v>
      </c>
      <c r="Y453" s="1" t="n">
        <v>287.28</v>
      </c>
      <c r="Z453" s="30" t="n">
        <f aca="false">X453*Y453</f>
        <v>14.364</v>
      </c>
    </row>
    <row r="454" customFormat="false" ht="15" hidden="false" customHeight="false" outlineLevel="0" collapsed="false">
      <c r="Q454" s="62"/>
      <c r="R454" s="62"/>
      <c r="S454" s="62"/>
      <c r="T454" s="62"/>
      <c r="U454" s="62"/>
      <c r="V454" s="66"/>
      <c r="W454" s="67"/>
      <c r="X454" s="68"/>
      <c r="Y454" s="69"/>
      <c r="Z454" s="63" t="n">
        <f aca="false">SUM(Z451:Z453)</f>
        <v>135.964</v>
      </c>
    </row>
    <row r="456" customFormat="false" ht="15" hidden="false" customHeight="false" outlineLevel="0" collapsed="false">
      <c r="Q456" s="14" t="s">
        <v>333</v>
      </c>
      <c r="R456" s="14"/>
      <c r="S456" s="14" t="s">
        <v>411</v>
      </c>
      <c r="T456" s="14"/>
      <c r="U456" s="14"/>
      <c r="V456" s="14"/>
      <c r="W456" s="14"/>
      <c r="X456" s="14"/>
      <c r="Y456" s="14"/>
    </row>
    <row r="457" customFormat="false" ht="15" hidden="false" customHeight="false" outlineLevel="0" collapsed="false">
      <c r="Q457" s="14" t="s">
        <v>277</v>
      </c>
      <c r="R457" s="14" t="s">
        <v>412</v>
      </c>
      <c r="S457" s="38" t="s">
        <v>279</v>
      </c>
      <c r="T457" s="54" t="n">
        <v>1</v>
      </c>
      <c r="U457" s="38" t="s">
        <v>280</v>
      </c>
      <c r="V457" s="54" t="n">
        <f aca="false">T457</f>
        <v>1</v>
      </c>
      <c r="W457" s="14" t="s">
        <v>281</v>
      </c>
      <c r="Y457" s="38" t="s">
        <v>213</v>
      </c>
      <c r="Z457" s="55" t="n">
        <f aca="false">Z461</f>
        <v>1915.25</v>
      </c>
    </row>
    <row r="458" customFormat="false" ht="15" hidden="false" customHeight="false" outlineLevel="0" collapsed="false">
      <c r="Q458" s="14" t="s">
        <v>282</v>
      </c>
      <c r="R458" s="14" t="s">
        <v>283</v>
      </c>
      <c r="V458" s="38" t="s">
        <v>121</v>
      </c>
      <c r="W458" s="38" t="s">
        <v>284</v>
      </c>
      <c r="X458" s="38" t="s">
        <v>285</v>
      </c>
      <c r="Y458" s="38" t="s">
        <v>286</v>
      </c>
      <c r="Z458" s="38" t="s">
        <v>287</v>
      </c>
    </row>
    <row r="459" customFormat="false" ht="15" hidden="false" customHeight="false" outlineLevel="0" collapsed="false">
      <c r="R459" s="56" t="s">
        <v>293</v>
      </c>
    </row>
    <row r="460" customFormat="false" ht="15" hidden="false" customHeight="false" outlineLevel="0" collapsed="false">
      <c r="R460" s="1" t="s">
        <v>413</v>
      </c>
      <c r="V460" s="57" t="s">
        <v>148</v>
      </c>
      <c r="W460" s="58"/>
      <c r="X460" s="59" t="n">
        <v>1</v>
      </c>
      <c r="Y460" s="1" t="n">
        <v>1915.25</v>
      </c>
      <c r="Z460" s="30" t="n">
        <f aca="false">X460*Y460</f>
        <v>1915.25</v>
      </c>
    </row>
    <row r="461" customFormat="false" ht="15" hidden="false" customHeight="false" outlineLevel="0" collapsed="false">
      <c r="Q461" s="62"/>
      <c r="R461" s="62"/>
      <c r="S461" s="62"/>
      <c r="T461" s="62"/>
      <c r="U461" s="62"/>
      <c r="V461" s="66"/>
      <c r="W461" s="67"/>
      <c r="X461" s="68"/>
      <c r="Y461" s="69"/>
      <c r="Z461" s="63" t="n">
        <f aca="false">SUM(Z460)</f>
        <v>1915.25</v>
      </c>
    </row>
    <row r="462" customFormat="false" ht="15" hidden="false" customHeight="false" outlineLevel="0" collapsed="false">
      <c r="V462" s="57"/>
      <c r="W462" s="58"/>
      <c r="X462" s="59"/>
      <c r="Y462" s="30"/>
      <c r="Z462" s="55"/>
    </row>
    <row r="463" customFormat="false" ht="15" hidden="false" customHeight="false" outlineLevel="0" collapsed="false">
      <c r="Q463" s="14" t="s">
        <v>276</v>
      </c>
      <c r="R463" s="14"/>
      <c r="S463" s="14" t="s">
        <v>219</v>
      </c>
      <c r="T463" s="14"/>
      <c r="U463" s="14"/>
      <c r="V463" s="14"/>
      <c r="W463" s="14"/>
      <c r="X463" s="14"/>
      <c r="Y463" s="14"/>
    </row>
    <row r="464" customFormat="false" ht="15" hidden="false" customHeight="false" outlineLevel="0" collapsed="false">
      <c r="Q464" s="14" t="s">
        <v>277</v>
      </c>
      <c r="R464" s="14" t="s">
        <v>325</v>
      </c>
      <c r="S464" s="38" t="s">
        <v>279</v>
      </c>
      <c r="T464" s="54" t="n">
        <v>7.5</v>
      </c>
      <c r="U464" s="38" t="s">
        <v>280</v>
      </c>
      <c r="V464" s="54" t="n">
        <f aca="false">T464</f>
        <v>7.5</v>
      </c>
      <c r="W464" s="14" t="s">
        <v>281</v>
      </c>
      <c r="Y464" s="38" t="s">
        <v>148</v>
      </c>
      <c r="Z464" s="55" t="n">
        <f aca="false">Z468++Z471+Z474</f>
        <v>167.0412</v>
      </c>
    </row>
    <row r="465" customFormat="false" ht="15" hidden="false" customHeight="false" outlineLevel="0" collapsed="false">
      <c r="Q465" s="14" t="s">
        <v>282</v>
      </c>
      <c r="R465" s="14" t="s">
        <v>283</v>
      </c>
      <c r="V465" s="38" t="s">
        <v>121</v>
      </c>
      <c r="W465" s="38" t="s">
        <v>284</v>
      </c>
      <c r="X465" s="38" t="s">
        <v>285</v>
      </c>
      <c r="Y465" s="38" t="s">
        <v>286</v>
      </c>
      <c r="Z465" s="38" t="s">
        <v>287</v>
      </c>
    </row>
    <row r="466" customFormat="false" ht="15" hidden="false" customHeight="false" outlineLevel="0" collapsed="false">
      <c r="R466" s="56" t="s">
        <v>288</v>
      </c>
    </row>
    <row r="467" customFormat="false" ht="15" hidden="false" customHeight="false" outlineLevel="0" collapsed="false">
      <c r="R467" s="1" t="s">
        <v>292</v>
      </c>
      <c r="V467" s="57" t="s">
        <v>290</v>
      </c>
      <c r="W467" s="58" t="n">
        <v>1</v>
      </c>
      <c r="X467" s="59" t="n">
        <f aca="false">W467*8/$T$464</f>
        <v>1.06666666666667</v>
      </c>
      <c r="Y467" s="30" t="n">
        <v>20.51</v>
      </c>
      <c r="Z467" s="30" t="n">
        <f aca="false">X467*Y467</f>
        <v>21.8773333333333</v>
      </c>
    </row>
    <row r="468" customFormat="false" ht="15" hidden="false" customHeight="false" outlineLevel="0" collapsed="false">
      <c r="Z468" s="55" t="n">
        <f aca="false">SUM(Z467:Z467)</f>
        <v>21.8773333333333</v>
      </c>
    </row>
    <row r="469" customFormat="false" ht="15" hidden="false" customHeight="false" outlineLevel="0" collapsed="false">
      <c r="R469" s="56" t="s">
        <v>293</v>
      </c>
      <c r="AD469" s="14"/>
    </row>
    <row r="470" customFormat="false" ht="15" hidden="false" customHeight="false" outlineLevel="0" collapsed="false">
      <c r="R470" s="1" t="s">
        <v>414</v>
      </c>
      <c r="V470" s="57" t="s">
        <v>148</v>
      </c>
      <c r="X470" s="58" t="n">
        <v>1</v>
      </c>
      <c r="Y470" s="59" t="n">
        <v>144.07</v>
      </c>
      <c r="Z470" s="30" t="n">
        <f aca="false">X470*Y470</f>
        <v>144.07</v>
      </c>
    </row>
    <row r="471" customFormat="false" ht="15" hidden="false" customHeight="false" outlineLevel="0" collapsed="false">
      <c r="Z471" s="55" t="n">
        <f aca="false">SUM(Z470:Z470)</f>
        <v>144.07</v>
      </c>
    </row>
    <row r="472" customFormat="false" ht="15" hidden="false" customHeight="false" outlineLevel="0" collapsed="false">
      <c r="R472" s="56" t="s">
        <v>317</v>
      </c>
    </row>
    <row r="473" customFormat="false" ht="15" hidden="false" customHeight="false" outlineLevel="0" collapsed="false">
      <c r="R473" s="1" t="s">
        <v>309</v>
      </c>
      <c r="V473" s="57" t="s">
        <v>310</v>
      </c>
      <c r="X473" s="59" t="n">
        <v>5</v>
      </c>
      <c r="Y473" s="30" t="n">
        <f aca="false">Z468</f>
        <v>21.8773333333333</v>
      </c>
      <c r="Z473" s="30" t="n">
        <f aca="false">X473%*Y473</f>
        <v>1.09386666666667</v>
      </c>
    </row>
    <row r="474" customFormat="false" ht="15" hidden="false" customHeight="false" outlineLevel="0" collapsed="false">
      <c r="Q474" s="62"/>
      <c r="R474" s="62"/>
      <c r="S474" s="62"/>
      <c r="T474" s="62"/>
      <c r="U474" s="62"/>
      <c r="V474" s="62"/>
      <c r="W474" s="62"/>
      <c r="X474" s="62"/>
      <c r="Y474" s="62"/>
      <c r="Z474" s="63" t="n">
        <f aca="false">SUM(Z473:Z473)</f>
        <v>1.09386666666667</v>
      </c>
    </row>
    <row r="476" customFormat="false" ht="15" hidden="false" customHeight="false" outlineLevel="0" collapsed="false">
      <c r="Q476" s="14" t="s">
        <v>276</v>
      </c>
      <c r="R476" s="14"/>
      <c r="S476" s="14" t="s">
        <v>221</v>
      </c>
      <c r="T476" s="14"/>
      <c r="U476" s="14"/>
      <c r="V476" s="14"/>
      <c r="W476" s="14"/>
      <c r="X476" s="14"/>
      <c r="Y476" s="14"/>
    </row>
    <row r="477" customFormat="false" ht="15" hidden="false" customHeight="false" outlineLevel="0" collapsed="false">
      <c r="Q477" s="14" t="s">
        <v>277</v>
      </c>
      <c r="R477" s="14" t="s">
        <v>415</v>
      </c>
      <c r="S477" s="38" t="s">
        <v>279</v>
      </c>
      <c r="T477" s="54" t="n">
        <v>45</v>
      </c>
      <c r="U477" s="38" t="s">
        <v>280</v>
      </c>
      <c r="V477" s="54" t="n">
        <f aca="false">T477</f>
        <v>45</v>
      </c>
      <c r="W477" s="14" t="s">
        <v>281</v>
      </c>
      <c r="Y477" s="38" t="s">
        <v>202</v>
      </c>
      <c r="Z477" s="55" t="n">
        <f aca="false">Z481++Z489+Z492</f>
        <v>163.192133333333</v>
      </c>
    </row>
    <row r="478" customFormat="false" ht="15" hidden="false" customHeight="false" outlineLevel="0" collapsed="false">
      <c r="Q478" s="14" t="s">
        <v>282</v>
      </c>
      <c r="R478" s="14" t="s">
        <v>283</v>
      </c>
      <c r="V478" s="38" t="s">
        <v>121</v>
      </c>
      <c r="W478" s="38" t="s">
        <v>284</v>
      </c>
      <c r="X478" s="38" t="s">
        <v>285</v>
      </c>
      <c r="Y478" s="38" t="s">
        <v>286</v>
      </c>
      <c r="Z478" s="38" t="s">
        <v>287</v>
      </c>
    </row>
    <row r="479" customFormat="false" ht="15" hidden="false" customHeight="false" outlineLevel="0" collapsed="false">
      <c r="R479" s="56" t="s">
        <v>288</v>
      </c>
    </row>
    <row r="480" customFormat="false" ht="15" hidden="false" customHeight="false" outlineLevel="0" collapsed="false">
      <c r="R480" s="1" t="s">
        <v>292</v>
      </c>
      <c r="V480" s="57" t="s">
        <v>290</v>
      </c>
      <c r="W480" s="58" t="n">
        <v>4</v>
      </c>
      <c r="X480" s="59" t="n">
        <f aca="false">W480*8/$T$477</f>
        <v>0.711111111111111</v>
      </c>
      <c r="Y480" s="30" t="n">
        <v>20.51</v>
      </c>
      <c r="Z480" s="30" t="n">
        <f aca="false">X480*Y480</f>
        <v>14.5848888888889</v>
      </c>
    </row>
    <row r="481" customFormat="false" ht="15" hidden="false" customHeight="false" outlineLevel="0" collapsed="false">
      <c r="Z481" s="55" t="n">
        <f aca="false">SUM(Z480:Z480)</f>
        <v>14.5848888888889</v>
      </c>
    </row>
    <row r="482" customFormat="false" ht="15" hidden="false" customHeight="false" outlineLevel="0" collapsed="false">
      <c r="R482" s="56" t="s">
        <v>293</v>
      </c>
    </row>
    <row r="483" customFormat="false" ht="15" hidden="false" customHeight="false" outlineLevel="0" collapsed="false">
      <c r="R483" s="1" t="s">
        <v>416</v>
      </c>
      <c r="V483" s="57" t="s">
        <v>148</v>
      </c>
      <c r="W483" s="58"/>
      <c r="X483" s="59" t="n">
        <v>2</v>
      </c>
      <c r="Y483" s="30" t="n">
        <v>29.66</v>
      </c>
      <c r="Z483" s="30" t="n">
        <f aca="false">X483*Y483</f>
        <v>59.32</v>
      </c>
    </row>
    <row r="484" customFormat="false" ht="15" hidden="false" customHeight="false" outlineLevel="0" collapsed="false">
      <c r="R484" s="1" t="s">
        <v>417</v>
      </c>
      <c r="V484" s="57" t="s">
        <v>418</v>
      </c>
      <c r="W484" s="58"/>
      <c r="X484" s="59" t="n">
        <v>5</v>
      </c>
      <c r="Y484" s="30" t="n">
        <v>8.9</v>
      </c>
      <c r="Z484" s="30" t="n">
        <f aca="false">X484*Y484</f>
        <v>44.5</v>
      </c>
    </row>
    <row r="485" customFormat="false" ht="15" hidden="false" customHeight="false" outlineLevel="0" collapsed="false">
      <c r="R485" s="1" t="s">
        <v>419</v>
      </c>
      <c r="V485" s="57" t="s">
        <v>148</v>
      </c>
      <c r="X485" s="59" t="n">
        <v>3</v>
      </c>
      <c r="Y485" s="30" t="n">
        <v>3.39</v>
      </c>
      <c r="Z485" s="30" t="n">
        <f aca="false">X485*Y485</f>
        <v>10.17</v>
      </c>
    </row>
    <row r="486" customFormat="false" ht="15" hidden="false" customHeight="false" outlineLevel="0" collapsed="false">
      <c r="R486" s="1" t="s">
        <v>420</v>
      </c>
      <c r="V486" s="57" t="s">
        <v>148</v>
      </c>
      <c r="W486" s="58"/>
      <c r="X486" s="59" t="n">
        <v>2</v>
      </c>
      <c r="Y486" s="30" t="n">
        <v>8.47</v>
      </c>
      <c r="Z486" s="30" t="n">
        <f aca="false">X486*Y486</f>
        <v>16.94</v>
      </c>
    </row>
    <row r="487" customFormat="false" ht="15" hidden="false" customHeight="false" outlineLevel="0" collapsed="false">
      <c r="R487" s="1" t="s">
        <v>421</v>
      </c>
      <c r="V487" s="57" t="s">
        <v>148</v>
      </c>
      <c r="X487" s="59" t="n">
        <v>0.1</v>
      </c>
      <c r="Y487" s="30" t="n">
        <v>55.08</v>
      </c>
      <c r="Z487" s="30" t="n">
        <f aca="false">X487*Y487</f>
        <v>5.508</v>
      </c>
    </row>
    <row r="488" customFormat="false" ht="15" hidden="false" customHeight="false" outlineLevel="0" collapsed="false">
      <c r="R488" s="1" t="s">
        <v>422</v>
      </c>
      <c r="V488" s="57" t="s">
        <v>148</v>
      </c>
      <c r="X488" s="59" t="n">
        <v>0.5</v>
      </c>
      <c r="Y488" s="30" t="n">
        <v>22.88</v>
      </c>
      <c r="Z488" s="30" t="n">
        <f aca="false">X488*Y488</f>
        <v>11.44</v>
      </c>
    </row>
    <row r="489" customFormat="false" ht="15" hidden="false" customHeight="false" outlineLevel="0" collapsed="false">
      <c r="Z489" s="55" t="n">
        <f aca="false">SUM(Z483:Z488)</f>
        <v>147.878</v>
      </c>
    </row>
    <row r="490" customFormat="false" ht="15" hidden="false" customHeight="false" outlineLevel="0" collapsed="false">
      <c r="R490" s="56" t="s">
        <v>308</v>
      </c>
    </row>
    <row r="491" customFormat="false" ht="15" hidden="false" customHeight="false" outlineLevel="0" collapsed="false">
      <c r="R491" s="1" t="s">
        <v>309</v>
      </c>
      <c r="V491" s="57" t="s">
        <v>310</v>
      </c>
      <c r="X491" s="59" t="n">
        <v>5</v>
      </c>
      <c r="Y491" s="30" t="n">
        <f aca="false">Z481</f>
        <v>14.5848888888889</v>
      </c>
      <c r="Z491" s="30" t="n">
        <f aca="false">X491%*Y491</f>
        <v>0.729244444444445</v>
      </c>
    </row>
    <row r="492" customFormat="false" ht="15" hidden="false" customHeight="false" outlineLevel="0" collapsed="false">
      <c r="Q492" s="62"/>
      <c r="R492" s="62"/>
      <c r="S492" s="62"/>
      <c r="T492" s="62"/>
      <c r="U492" s="62"/>
      <c r="V492" s="62"/>
      <c r="W492" s="62"/>
      <c r="X492" s="62"/>
      <c r="Y492" s="62"/>
      <c r="Z492" s="63" t="n">
        <f aca="false">SUM(Z491)</f>
        <v>0.729244444444445</v>
      </c>
    </row>
    <row r="494" customFormat="false" ht="15" hidden="false" customHeight="false" outlineLevel="0" collapsed="false">
      <c r="Q494" s="14" t="s">
        <v>333</v>
      </c>
      <c r="R494" s="14"/>
      <c r="S494" s="14" t="s">
        <v>223</v>
      </c>
      <c r="T494" s="14"/>
      <c r="U494" s="14"/>
      <c r="V494" s="14"/>
      <c r="W494" s="14"/>
      <c r="X494" s="14"/>
      <c r="Y494" s="14"/>
    </row>
    <row r="495" customFormat="false" ht="15" hidden="false" customHeight="false" outlineLevel="0" collapsed="false">
      <c r="Q495" s="14" t="s">
        <v>277</v>
      </c>
      <c r="R495" s="14" t="s">
        <v>415</v>
      </c>
      <c r="S495" s="38" t="s">
        <v>279</v>
      </c>
      <c r="T495" s="54" t="n">
        <v>1</v>
      </c>
      <c r="U495" s="38" t="s">
        <v>280</v>
      </c>
      <c r="V495" s="54" t="n">
        <f aca="false">T495</f>
        <v>1</v>
      </c>
      <c r="W495" s="14" t="s">
        <v>281</v>
      </c>
      <c r="Y495" s="38" t="s">
        <v>202</v>
      </c>
      <c r="Z495" s="55" t="n">
        <f aca="false">Z499</f>
        <v>406.78</v>
      </c>
    </row>
    <row r="496" customFormat="false" ht="15" hidden="false" customHeight="false" outlineLevel="0" collapsed="false">
      <c r="Q496" s="14" t="s">
        <v>282</v>
      </c>
      <c r="R496" s="14" t="s">
        <v>283</v>
      </c>
      <c r="V496" s="38" t="s">
        <v>121</v>
      </c>
      <c r="W496" s="38" t="s">
        <v>284</v>
      </c>
      <c r="X496" s="38" t="s">
        <v>285</v>
      </c>
      <c r="Y496" s="38" t="s">
        <v>286</v>
      </c>
      <c r="Z496" s="38" t="s">
        <v>287</v>
      </c>
    </row>
    <row r="497" customFormat="false" ht="15" hidden="false" customHeight="false" outlineLevel="0" collapsed="false">
      <c r="R497" s="56" t="s">
        <v>293</v>
      </c>
    </row>
    <row r="498" customFormat="false" ht="15" hidden="false" customHeight="false" outlineLevel="0" collapsed="false">
      <c r="R498" s="1" t="s">
        <v>423</v>
      </c>
      <c r="V498" s="57" t="s">
        <v>424</v>
      </c>
      <c r="W498" s="58"/>
      <c r="X498" s="59" t="n">
        <v>1</v>
      </c>
      <c r="Y498" s="1" t="n">
        <v>406.78</v>
      </c>
      <c r="Z498" s="30" t="n">
        <f aca="false">X498*Y498</f>
        <v>406.78</v>
      </c>
    </row>
    <row r="499" customFormat="false" ht="15" hidden="false" customHeight="false" outlineLevel="0" collapsed="false">
      <c r="Q499" s="62"/>
      <c r="R499" s="62"/>
      <c r="S499" s="62"/>
      <c r="T499" s="62"/>
      <c r="U499" s="62"/>
      <c r="V499" s="66"/>
      <c r="W499" s="67"/>
      <c r="X499" s="68"/>
      <c r="Y499" s="69"/>
      <c r="Z499" s="63" t="n">
        <f aca="false">SUM(Z498)</f>
        <v>406.78</v>
      </c>
    </row>
    <row r="502" customFormat="false" ht="15" hidden="false" customHeight="false" outlineLevel="0" collapsed="false">
      <c r="V502" s="57"/>
      <c r="W502" s="58"/>
      <c r="X502" s="59"/>
      <c r="Y502" s="30"/>
      <c r="Z502" s="55"/>
    </row>
    <row r="503" customFormat="false" ht="15" hidden="false" customHeight="false" outlineLevel="0" collapsed="false">
      <c r="V503" s="57"/>
      <c r="W503" s="58"/>
      <c r="X503" s="59"/>
      <c r="Y503" s="30"/>
      <c r="Z503" s="55"/>
    </row>
    <row r="504" customFormat="false" ht="15" hidden="false" customHeight="false" outlineLevel="0" collapsed="false">
      <c r="V504" s="57"/>
      <c r="W504" s="58"/>
      <c r="X504" s="59"/>
      <c r="Y504" s="30"/>
      <c r="Z504" s="55"/>
    </row>
    <row r="505" customFormat="false" ht="15" hidden="false" customHeight="false" outlineLevel="0" collapsed="false">
      <c r="Q505" s="14" t="s">
        <v>276</v>
      </c>
      <c r="R505" s="14"/>
      <c r="S505" s="14" t="s">
        <v>425</v>
      </c>
      <c r="T505" s="14"/>
      <c r="U505" s="14"/>
      <c r="V505" s="14"/>
      <c r="W505" s="14"/>
      <c r="X505" s="14"/>
      <c r="Y505" s="14"/>
    </row>
    <row r="506" customFormat="false" ht="15" hidden="false" customHeight="false" outlineLevel="0" collapsed="false">
      <c r="Q506" s="14" t="s">
        <v>277</v>
      </c>
      <c r="R506" s="14" t="s">
        <v>278</v>
      </c>
      <c r="S506" s="38" t="s">
        <v>279</v>
      </c>
      <c r="T506" s="54" t="n">
        <v>30</v>
      </c>
      <c r="U506" s="38" t="s">
        <v>280</v>
      </c>
      <c r="V506" s="54" t="n">
        <f aca="false">T506</f>
        <v>30</v>
      </c>
      <c r="W506" s="14" t="s">
        <v>281</v>
      </c>
      <c r="Y506" s="38" t="s">
        <v>132</v>
      </c>
      <c r="Z506" s="55" t="n">
        <f aca="false">Z512++Z520+Z523</f>
        <v>80.19009</v>
      </c>
    </row>
    <row r="507" customFormat="false" ht="15" hidden="false" customHeight="false" outlineLevel="0" collapsed="false">
      <c r="Q507" s="14" t="s">
        <v>282</v>
      </c>
      <c r="R507" s="14" t="s">
        <v>283</v>
      </c>
      <c r="V507" s="38" t="s">
        <v>121</v>
      </c>
      <c r="W507" s="38" t="s">
        <v>284</v>
      </c>
      <c r="X507" s="38" t="s">
        <v>285</v>
      </c>
      <c r="Y507" s="38" t="s">
        <v>286</v>
      </c>
      <c r="Z507" s="38" t="s">
        <v>287</v>
      </c>
    </row>
    <row r="508" customFormat="false" ht="15" hidden="false" customHeight="false" outlineLevel="0" collapsed="false">
      <c r="R508" s="56" t="s">
        <v>288</v>
      </c>
    </row>
    <row r="509" customFormat="false" ht="15" hidden="false" customHeight="false" outlineLevel="0" collapsed="false">
      <c r="R509" s="1" t="s">
        <v>289</v>
      </c>
      <c r="V509" s="57" t="s">
        <v>290</v>
      </c>
      <c r="W509" s="58" t="n">
        <v>1</v>
      </c>
      <c r="X509" s="59" t="n">
        <f aca="false">W509*8/$T$506</f>
        <v>0.266666666666667</v>
      </c>
      <c r="Y509" s="30" t="n">
        <v>28.94</v>
      </c>
      <c r="Z509" s="30" t="n">
        <f aca="false">X509*Y509</f>
        <v>7.71733333333333</v>
      </c>
    </row>
    <row r="510" customFormat="false" ht="15" hidden="false" customHeight="false" outlineLevel="0" collapsed="false">
      <c r="R510" s="1" t="s">
        <v>291</v>
      </c>
      <c r="V510" s="57" t="s">
        <v>290</v>
      </c>
      <c r="W510" s="58" t="n">
        <v>1</v>
      </c>
      <c r="X510" s="59" t="n">
        <f aca="false">W510*8/$T$506</f>
        <v>0.266666666666667</v>
      </c>
      <c r="Y510" s="30" t="n">
        <v>22.66</v>
      </c>
      <c r="Z510" s="30" t="n">
        <f aca="false">X510*Y510</f>
        <v>6.04266666666667</v>
      </c>
    </row>
    <row r="511" customFormat="false" ht="15" hidden="false" customHeight="false" outlineLevel="0" collapsed="false">
      <c r="R511" s="1" t="s">
        <v>292</v>
      </c>
      <c r="V511" s="57" t="s">
        <v>290</v>
      </c>
      <c r="W511" s="58" t="n">
        <v>3</v>
      </c>
      <c r="X511" s="59" t="n">
        <f aca="false">W511*8/$T$506</f>
        <v>0.8</v>
      </c>
      <c r="Y511" s="30" t="n">
        <v>20.51</v>
      </c>
      <c r="Z511" s="30" t="n">
        <f aca="false">X511*Y511</f>
        <v>16.408</v>
      </c>
    </row>
    <row r="512" customFormat="false" ht="15" hidden="false" customHeight="false" outlineLevel="0" collapsed="false">
      <c r="Z512" s="55" t="n">
        <f aca="false">SUM(Z509:Z511)</f>
        <v>30.168</v>
      </c>
    </row>
    <row r="513" customFormat="false" ht="15" hidden="false" customHeight="false" outlineLevel="0" collapsed="false">
      <c r="R513" s="56" t="s">
        <v>293</v>
      </c>
    </row>
    <row r="514" customFormat="false" ht="15" hidden="false" customHeight="false" outlineLevel="0" collapsed="false">
      <c r="R514" s="1" t="s">
        <v>294</v>
      </c>
      <c r="V514" s="57" t="s">
        <v>295</v>
      </c>
      <c r="X514" s="1" t="n">
        <v>0.25</v>
      </c>
      <c r="Y514" s="1" t="n">
        <v>2.64</v>
      </c>
      <c r="Z514" s="30" t="n">
        <f aca="false">X514*Y514</f>
        <v>0.66</v>
      </c>
    </row>
    <row r="515" customFormat="false" ht="15" hidden="false" customHeight="false" outlineLevel="0" collapsed="false">
      <c r="R515" s="1" t="s">
        <v>426</v>
      </c>
      <c r="V515" s="57" t="s">
        <v>148</v>
      </c>
      <c r="W515" s="58"/>
      <c r="X515" s="1" t="n">
        <v>1.05</v>
      </c>
      <c r="Y515" s="1" t="n">
        <v>25.25</v>
      </c>
      <c r="Z515" s="30" t="n">
        <f aca="false">X515*Y515</f>
        <v>26.5125</v>
      </c>
    </row>
    <row r="516" customFormat="false" ht="15" hidden="false" customHeight="false" outlineLevel="0" collapsed="false">
      <c r="R516" s="1" t="s">
        <v>300</v>
      </c>
      <c r="V516" s="57" t="s">
        <v>295</v>
      </c>
      <c r="W516" s="58"/>
      <c r="X516" s="1" t="n">
        <v>0.071</v>
      </c>
      <c r="Y516" s="1" t="n">
        <v>5.51</v>
      </c>
      <c r="Z516" s="30" t="n">
        <f aca="false">X516*Y516</f>
        <v>0.39121</v>
      </c>
    </row>
    <row r="517" customFormat="false" ht="15" hidden="false" customHeight="false" outlineLevel="0" collapsed="false">
      <c r="R517" s="1" t="s">
        <v>301</v>
      </c>
      <c r="V517" s="57" t="s">
        <v>427</v>
      </c>
      <c r="X517" s="1" t="n">
        <v>0.019</v>
      </c>
      <c r="Y517" s="1" t="n">
        <v>70.92</v>
      </c>
      <c r="Z517" s="30" t="n">
        <f aca="false">X517*Y517</f>
        <v>1.34748</v>
      </c>
    </row>
    <row r="518" customFormat="false" ht="15" hidden="false" customHeight="false" outlineLevel="0" collapsed="false">
      <c r="R518" s="1" t="s">
        <v>428</v>
      </c>
      <c r="V518" s="57" t="s">
        <v>429</v>
      </c>
      <c r="X518" s="1" t="n">
        <v>0.25</v>
      </c>
      <c r="Y518" s="1" t="n">
        <v>23.31</v>
      </c>
      <c r="Z518" s="30" t="n">
        <f aca="false">X518*Y518</f>
        <v>5.8275</v>
      </c>
    </row>
    <row r="519" customFormat="false" ht="15" hidden="false" customHeight="false" outlineLevel="0" collapsed="false">
      <c r="R519" s="1" t="s">
        <v>430</v>
      </c>
      <c r="V519" s="57" t="s">
        <v>431</v>
      </c>
      <c r="X519" s="1" t="n">
        <v>2.5</v>
      </c>
      <c r="Y519" s="1" t="n">
        <v>5.51</v>
      </c>
      <c r="Z519" s="30" t="n">
        <f aca="false">X519*Y519</f>
        <v>13.775</v>
      </c>
    </row>
    <row r="520" customFormat="false" ht="15" hidden="false" customHeight="false" outlineLevel="0" collapsed="false">
      <c r="Z520" s="55" t="n">
        <f aca="false">SUM(Z514:Z519)</f>
        <v>48.51369</v>
      </c>
    </row>
    <row r="521" customFormat="false" ht="15" hidden="false" customHeight="false" outlineLevel="0" collapsed="false">
      <c r="R521" s="56" t="s">
        <v>317</v>
      </c>
    </row>
    <row r="522" customFormat="false" ht="15" hidden="false" customHeight="false" outlineLevel="0" collapsed="false">
      <c r="R522" s="1" t="s">
        <v>309</v>
      </c>
      <c r="V522" s="57" t="s">
        <v>310</v>
      </c>
      <c r="X522" s="59" t="n">
        <v>5</v>
      </c>
      <c r="Y522" s="30" t="n">
        <f aca="false">Z512</f>
        <v>30.168</v>
      </c>
      <c r="Z522" s="30" t="n">
        <f aca="false">X522%*Y522</f>
        <v>1.5084</v>
      </c>
    </row>
    <row r="523" customFormat="false" ht="15" hidden="false" customHeight="false" outlineLevel="0" collapsed="false">
      <c r="Q523" s="62"/>
      <c r="R523" s="62"/>
      <c r="S523" s="62"/>
      <c r="T523" s="62"/>
      <c r="U523" s="62"/>
      <c r="V523" s="62"/>
      <c r="W523" s="62"/>
      <c r="X523" s="62"/>
      <c r="Y523" s="62"/>
      <c r="Z523" s="63" t="n">
        <f aca="false">SUM(Z522)</f>
        <v>1.5084</v>
      </c>
    </row>
    <row r="524" customFormat="false" ht="15" hidden="false" customHeight="false" outlineLevel="0" collapsed="false">
      <c r="V524" s="57"/>
      <c r="X524" s="59"/>
      <c r="Z524" s="30"/>
    </row>
    <row r="525" customFormat="false" ht="15" hidden="false" customHeight="false" outlineLevel="0" collapsed="false">
      <c r="Q525" s="14" t="s">
        <v>276</v>
      </c>
      <c r="R525" s="14"/>
      <c r="S525" s="14" t="s">
        <v>229</v>
      </c>
      <c r="T525" s="14"/>
      <c r="U525" s="14"/>
      <c r="V525" s="14"/>
      <c r="W525" s="14"/>
      <c r="X525" s="14"/>
      <c r="Y525" s="14"/>
    </row>
    <row r="526" customFormat="false" ht="15" hidden="false" customHeight="false" outlineLevel="0" collapsed="false">
      <c r="Q526" s="14" t="s">
        <v>277</v>
      </c>
      <c r="R526" s="14" t="s">
        <v>325</v>
      </c>
      <c r="S526" s="38" t="s">
        <v>279</v>
      </c>
      <c r="T526" s="54" t="n">
        <v>41</v>
      </c>
      <c r="U526" s="38" t="s">
        <v>280</v>
      </c>
      <c r="V526" s="54" t="n">
        <f aca="false">T526</f>
        <v>41</v>
      </c>
      <c r="W526" s="14" t="s">
        <v>281</v>
      </c>
      <c r="Y526" s="38" t="s">
        <v>148</v>
      </c>
      <c r="Z526" s="55" t="n">
        <f aca="false">Z530++Z533+Z536</f>
        <v>148.272048780488</v>
      </c>
    </row>
    <row r="527" customFormat="false" ht="15" hidden="false" customHeight="false" outlineLevel="0" collapsed="false">
      <c r="Q527" s="14" t="s">
        <v>282</v>
      </c>
      <c r="R527" s="14" t="s">
        <v>283</v>
      </c>
      <c r="V527" s="38" t="s">
        <v>121</v>
      </c>
      <c r="W527" s="38" t="s">
        <v>284</v>
      </c>
      <c r="X527" s="38" t="s">
        <v>285</v>
      </c>
      <c r="Y527" s="38" t="s">
        <v>286</v>
      </c>
      <c r="Z527" s="38" t="s">
        <v>287</v>
      </c>
    </row>
    <row r="528" customFormat="false" ht="15" hidden="false" customHeight="false" outlineLevel="0" collapsed="false">
      <c r="R528" s="56" t="s">
        <v>288</v>
      </c>
    </row>
    <row r="529" customFormat="false" ht="15" hidden="false" customHeight="false" outlineLevel="0" collapsed="false">
      <c r="R529" s="1" t="s">
        <v>292</v>
      </c>
      <c r="V529" s="57" t="s">
        <v>290</v>
      </c>
      <c r="W529" s="58" t="n">
        <v>1</v>
      </c>
      <c r="X529" s="59" t="n">
        <f aca="false">W529*8/$T$526</f>
        <v>0.195121951219512</v>
      </c>
      <c r="Y529" s="30" t="n">
        <v>20.51</v>
      </c>
      <c r="Z529" s="30" t="n">
        <f aca="false">X529*Y529</f>
        <v>4.0019512195122</v>
      </c>
    </row>
    <row r="530" customFormat="false" ht="15" hidden="false" customHeight="false" outlineLevel="0" collapsed="false">
      <c r="Z530" s="55" t="n">
        <f aca="false">SUM(Z529:Z529)</f>
        <v>4.0019512195122</v>
      </c>
    </row>
    <row r="531" customFormat="false" ht="15" hidden="false" customHeight="false" outlineLevel="0" collapsed="false">
      <c r="R531" s="56" t="s">
        <v>293</v>
      </c>
    </row>
    <row r="532" customFormat="false" ht="15" hidden="false" customHeight="false" outlineLevel="0" collapsed="false">
      <c r="R532" s="1" t="s">
        <v>414</v>
      </c>
      <c r="V532" s="57" t="s">
        <v>148</v>
      </c>
      <c r="X532" s="58" t="n">
        <v>1</v>
      </c>
      <c r="Y532" s="59" t="n">
        <v>144.07</v>
      </c>
      <c r="Z532" s="30" t="n">
        <f aca="false">X532*Y532</f>
        <v>144.07</v>
      </c>
    </row>
    <row r="533" customFormat="false" ht="15" hidden="false" customHeight="false" outlineLevel="0" collapsed="false">
      <c r="Z533" s="55" t="n">
        <f aca="false">SUM(Z532:Z532)</f>
        <v>144.07</v>
      </c>
    </row>
    <row r="534" customFormat="false" ht="15" hidden="false" customHeight="false" outlineLevel="0" collapsed="false">
      <c r="R534" s="56" t="s">
        <v>317</v>
      </c>
    </row>
    <row r="535" customFormat="false" ht="15" hidden="false" customHeight="false" outlineLevel="0" collapsed="false">
      <c r="R535" s="1" t="s">
        <v>309</v>
      </c>
      <c r="V535" s="57" t="s">
        <v>310</v>
      </c>
      <c r="X535" s="59" t="n">
        <v>5</v>
      </c>
      <c r="Y535" s="30" t="n">
        <f aca="false">Z530</f>
        <v>4.0019512195122</v>
      </c>
      <c r="Z535" s="30" t="n">
        <f aca="false">X535%*Y535</f>
        <v>0.20009756097561</v>
      </c>
    </row>
    <row r="536" customFormat="false" ht="15" hidden="false" customHeight="false" outlineLevel="0" collapsed="false">
      <c r="Q536" s="62"/>
      <c r="R536" s="62"/>
      <c r="S536" s="62"/>
      <c r="T536" s="62"/>
      <c r="U536" s="62"/>
      <c r="V536" s="62"/>
      <c r="W536" s="62"/>
      <c r="X536" s="62"/>
      <c r="Y536" s="62"/>
      <c r="Z536" s="63" t="n">
        <f aca="false">SUM(Z535:Z535)</f>
        <v>0.20009756097561</v>
      </c>
    </row>
    <row r="538" customFormat="false" ht="15" hidden="false" customHeight="false" outlineLevel="0" collapsed="false">
      <c r="Q538" s="14" t="s">
        <v>276</v>
      </c>
      <c r="R538" s="14"/>
      <c r="S538" s="14" t="s">
        <v>231</v>
      </c>
      <c r="T538" s="14"/>
      <c r="U538" s="14"/>
      <c r="V538" s="14"/>
      <c r="W538" s="14"/>
      <c r="X538" s="14"/>
      <c r="Y538" s="14"/>
    </row>
    <row r="539" customFormat="false" ht="15" hidden="false" customHeight="false" outlineLevel="0" collapsed="false">
      <c r="Q539" s="14" t="s">
        <v>277</v>
      </c>
      <c r="R539" s="14" t="s">
        <v>415</v>
      </c>
      <c r="S539" s="38" t="s">
        <v>279</v>
      </c>
      <c r="T539" s="54" t="n">
        <v>45</v>
      </c>
      <c r="U539" s="38" t="s">
        <v>280</v>
      </c>
      <c r="V539" s="54" t="n">
        <f aca="false">T539</f>
        <v>45</v>
      </c>
      <c r="W539" s="14" t="s">
        <v>281</v>
      </c>
      <c r="Y539" s="38" t="s">
        <v>202</v>
      </c>
      <c r="Z539" s="55" t="n">
        <f aca="false">Z545++Z551+Z554</f>
        <v>43.2081333333333</v>
      </c>
    </row>
    <row r="540" customFormat="false" ht="15" hidden="false" customHeight="false" outlineLevel="0" collapsed="false">
      <c r="Q540" s="14" t="s">
        <v>282</v>
      </c>
      <c r="R540" s="14" t="s">
        <v>283</v>
      </c>
      <c r="V540" s="38" t="s">
        <v>121</v>
      </c>
      <c r="W540" s="38" t="s">
        <v>284</v>
      </c>
      <c r="X540" s="38" t="s">
        <v>285</v>
      </c>
      <c r="Y540" s="38" t="s">
        <v>286</v>
      </c>
      <c r="Z540" s="38" t="s">
        <v>287</v>
      </c>
    </row>
    <row r="541" customFormat="false" ht="15" hidden="false" customHeight="false" outlineLevel="0" collapsed="false">
      <c r="R541" s="56" t="s">
        <v>288</v>
      </c>
    </row>
    <row r="542" customFormat="false" ht="15" hidden="false" customHeight="false" outlineLevel="0" collapsed="false">
      <c r="R542" s="1" t="s">
        <v>289</v>
      </c>
      <c r="V542" s="57" t="s">
        <v>290</v>
      </c>
      <c r="W542" s="58" t="n">
        <v>1</v>
      </c>
      <c r="X542" s="59" t="n">
        <f aca="false">W542*8/$T$539</f>
        <v>0.177777777777778</v>
      </c>
      <c r="Y542" s="30" t="n">
        <v>28.94</v>
      </c>
      <c r="Z542" s="30" t="n">
        <f aca="false">X542*Y542</f>
        <v>5.14488888888889</v>
      </c>
    </row>
    <row r="543" customFormat="false" ht="15" hidden="false" customHeight="false" outlineLevel="0" collapsed="false">
      <c r="R543" s="1" t="s">
        <v>291</v>
      </c>
      <c r="V543" s="57" t="s">
        <v>290</v>
      </c>
      <c r="W543" s="58" t="n">
        <v>1</v>
      </c>
      <c r="X543" s="59" t="n">
        <f aca="false">W543*8/$T$539</f>
        <v>0.177777777777778</v>
      </c>
      <c r="Y543" s="30" t="n">
        <v>22.66</v>
      </c>
      <c r="Z543" s="30" t="n">
        <f aca="false">X543*Y543</f>
        <v>4.02844444444444</v>
      </c>
    </row>
    <row r="544" customFormat="false" ht="15" hidden="false" customHeight="false" outlineLevel="0" collapsed="false">
      <c r="R544" s="1" t="s">
        <v>292</v>
      </c>
      <c r="V544" s="57" t="s">
        <v>290</v>
      </c>
      <c r="W544" s="58" t="n">
        <v>4</v>
      </c>
      <c r="X544" s="59" t="n">
        <f aca="false">W544*8/$T$539</f>
        <v>0.711111111111111</v>
      </c>
      <c r="Y544" s="30" t="n">
        <v>20.51</v>
      </c>
      <c r="Z544" s="30" t="n">
        <f aca="false">X544*Y544</f>
        <v>14.5848888888889</v>
      </c>
    </row>
    <row r="545" customFormat="false" ht="15" hidden="false" customHeight="false" outlineLevel="0" collapsed="false">
      <c r="Z545" s="55" t="n">
        <f aca="false">SUM(Z542:Z544)</f>
        <v>23.7582222222222</v>
      </c>
      <c r="AC545" s="14"/>
    </row>
    <row r="546" customFormat="false" ht="15" hidden="false" customHeight="false" outlineLevel="0" collapsed="false">
      <c r="R546" s="56" t="s">
        <v>293</v>
      </c>
    </row>
    <row r="547" customFormat="false" ht="15" hidden="false" customHeight="false" outlineLevel="0" collapsed="false">
      <c r="R547" s="1" t="s">
        <v>432</v>
      </c>
      <c r="V547" s="57" t="s">
        <v>418</v>
      </c>
      <c r="W547" s="58"/>
      <c r="X547" s="1" t="n">
        <v>0.1</v>
      </c>
      <c r="Y547" s="1" t="n">
        <v>0.42</v>
      </c>
      <c r="Z547" s="30" t="n">
        <f aca="false">X547*Y547</f>
        <v>0.042</v>
      </c>
    </row>
    <row r="548" customFormat="false" ht="15" hidden="false" customHeight="false" outlineLevel="0" collapsed="false">
      <c r="R548" s="1" t="s">
        <v>433</v>
      </c>
      <c r="V548" s="57" t="s">
        <v>148</v>
      </c>
      <c r="W548" s="58"/>
      <c r="X548" s="1" t="n">
        <v>0.5</v>
      </c>
      <c r="Y548" s="1" t="n">
        <v>10.17</v>
      </c>
      <c r="Z548" s="30" t="n">
        <f aca="false">X548*Y548</f>
        <v>5.085</v>
      </c>
    </row>
    <row r="549" customFormat="false" ht="15" hidden="false" customHeight="false" outlineLevel="0" collapsed="false">
      <c r="R549" s="1" t="s">
        <v>356</v>
      </c>
      <c r="V549" s="57" t="s">
        <v>350</v>
      </c>
      <c r="W549" s="58"/>
      <c r="X549" s="1" t="n">
        <v>0.5</v>
      </c>
      <c r="Y549" s="1" t="n">
        <v>14.41</v>
      </c>
      <c r="Z549" s="30" t="n">
        <f aca="false">X549*Y549</f>
        <v>7.205</v>
      </c>
    </row>
    <row r="550" customFormat="false" ht="15" hidden="false" customHeight="false" outlineLevel="0" collapsed="false">
      <c r="R550" s="1" t="s">
        <v>434</v>
      </c>
      <c r="V550" s="57" t="s">
        <v>148</v>
      </c>
      <c r="X550" s="1" t="n">
        <v>0.5</v>
      </c>
      <c r="Y550" s="1" t="n">
        <v>11.86</v>
      </c>
      <c r="Z550" s="30" t="n">
        <f aca="false">X550*Y550</f>
        <v>5.93</v>
      </c>
      <c r="AC550" s="14"/>
    </row>
    <row r="551" customFormat="false" ht="15" hidden="false" customHeight="false" outlineLevel="0" collapsed="false">
      <c r="V551" s="57"/>
      <c r="X551" s="59"/>
      <c r="Y551" s="30"/>
      <c r="Z551" s="55" t="n">
        <f aca="false">SUM(Z547:Z550)</f>
        <v>18.262</v>
      </c>
    </row>
    <row r="552" customFormat="false" ht="15" hidden="false" customHeight="false" outlineLevel="0" collapsed="false">
      <c r="R552" s="56" t="s">
        <v>308</v>
      </c>
    </row>
    <row r="553" customFormat="false" ht="15" hidden="false" customHeight="false" outlineLevel="0" collapsed="false">
      <c r="R553" s="1" t="s">
        <v>309</v>
      </c>
      <c r="V553" s="57" t="s">
        <v>310</v>
      </c>
      <c r="X553" s="59" t="n">
        <v>5</v>
      </c>
      <c r="Y553" s="30" t="n">
        <f aca="false">Z545</f>
        <v>23.7582222222222</v>
      </c>
      <c r="Z553" s="30" t="n">
        <f aca="false">X553%*Y553</f>
        <v>1.18791111111111</v>
      </c>
    </row>
    <row r="554" customFormat="false" ht="15" hidden="false" customHeight="false" outlineLevel="0" collapsed="false">
      <c r="Q554" s="62"/>
      <c r="R554" s="62"/>
      <c r="S554" s="62"/>
      <c r="T554" s="62"/>
      <c r="U554" s="62"/>
      <c r="V554" s="62"/>
      <c r="W554" s="62"/>
      <c r="X554" s="62"/>
      <c r="Y554" s="62"/>
      <c r="Z554" s="63" t="n">
        <f aca="false">SUM(Z553)</f>
        <v>1.18791111111111</v>
      </c>
    </row>
    <row r="555" customFormat="false" ht="15" hidden="false" customHeight="false" outlineLevel="0" collapsed="false">
      <c r="V555" s="57"/>
      <c r="X555" s="59"/>
      <c r="Y555" s="30"/>
      <c r="Z555" s="30"/>
    </row>
    <row r="556" customFormat="false" ht="15" hidden="false" customHeight="false" outlineLevel="0" collapsed="false">
      <c r="Q556" s="14" t="s">
        <v>276</v>
      </c>
      <c r="R556" s="14"/>
      <c r="S556" s="14" t="s">
        <v>233</v>
      </c>
      <c r="T556" s="14"/>
      <c r="U556" s="14"/>
      <c r="V556" s="14"/>
      <c r="W556" s="14"/>
      <c r="X556" s="14"/>
      <c r="Y556" s="14"/>
    </row>
    <row r="557" customFormat="false" ht="15" hidden="false" customHeight="false" outlineLevel="0" collapsed="false">
      <c r="Q557" s="14" t="s">
        <v>277</v>
      </c>
      <c r="R557" s="14" t="s">
        <v>415</v>
      </c>
      <c r="S557" s="38" t="s">
        <v>279</v>
      </c>
      <c r="T557" s="54" t="n">
        <v>250</v>
      </c>
      <c r="U557" s="38" t="s">
        <v>280</v>
      </c>
      <c r="V557" s="54" t="n">
        <f aca="false">T557</f>
        <v>250</v>
      </c>
      <c r="W557" s="14" t="s">
        <v>281</v>
      </c>
      <c r="Y557" s="38" t="s">
        <v>202</v>
      </c>
      <c r="Z557" s="55" t="n">
        <f aca="false">Z562++Z565+Z569</f>
        <v>13.786064</v>
      </c>
    </row>
    <row r="558" customFormat="false" ht="15" hidden="false" customHeight="false" outlineLevel="0" collapsed="false">
      <c r="Q558" s="14" t="s">
        <v>282</v>
      </c>
      <c r="R558" s="14" t="s">
        <v>283</v>
      </c>
      <c r="V558" s="38" t="s">
        <v>121</v>
      </c>
      <c r="W558" s="38" t="s">
        <v>284</v>
      </c>
      <c r="X558" s="38" t="s">
        <v>285</v>
      </c>
      <c r="Y558" s="38" t="s">
        <v>286</v>
      </c>
      <c r="Z558" s="38" t="s">
        <v>287</v>
      </c>
      <c r="AC558" s="14"/>
      <c r="AD558" s="14"/>
      <c r="AE558" s="14"/>
      <c r="AF558" s="14"/>
      <c r="AG558" s="14"/>
      <c r="AH558" s="14"/>
    </row>
    <row r="559" customFormat="false" ht="15" hidden="false" customHeight="false" outlineLevel="0" collapsed="false">
      <c r="R559" s="56" t="s">
        <v>288</v>
      </c>
      <c r="AC559" s="14"/>
    </row>
    <row r="560" customFormat="false" ht="15" hidden="false" customHeight="false" outlineLevel="0" collapsed="false">
      <c r="R560" s="1" t="s">
        <v>435</v>
      </c>
      <c r="V560" s="57" t="s">
        <v>290</v>
      </c>
      <c r="W560" s="58" t="n">
        <v>2</v>
      </c>
      <c r="X560" s="59" t="n">
        <f aca="false">W560*8/$T$557</f>
        <v>0.064</v>
      </c>
      <c r="Y560" s="30" t="n">
        <v>28.94</v>
      </c>
      <c r="Z560" s="30" t="n">
        <f aca="false">X560*Y560</f>
        <v>1.85216</v>
      </c>
    </row>
    <row r="561" customFormat="false" ht="15" hidden="false" customHeight="false" outlineLevel="0" collapsed="false">
      <c r="R561" s="1" t="s">
        <v>292</v>
      </c>
      <c r="V561" s="57" t="s">
        <v>290</v>
      </c>
      <c r="W561" s="58" t="n">
        <v>1</v>
      </c>
      <c r="X561" s="59" t="n">
        <f aca="false">W561*8/$T$557</f>
        <v>0.032</v>
      </c>
      <c r="Y561" s="30" t="n">
        <v>20.51</v>
      </c>
      <c r="Z561" s="30" t="n">
        <f aca="false">X561*Y561</f>
        <v>0.65632</v>
      </c>
    </row>
    <row r="562" customFormat="false" ht="15" hidden="false" customHeight="false" outlineLevel="0" collapsed="false">
      <c r="Z562" s="55" t="n">
        <f aca="false">SUM(Z560:Z561)</f>
        <v>2.50848</v>
      </c>
      <c r="AC562" s="14"/>
    </row>
    <row r="563" customFormat="false" ht="15" hidden="false" customHeight="false" outlineLevel="0" collapsed="false">
      <c r="R563" s="56" t="s">
        <v>293</v>
      </c>
    </row>
    <row r="564" customFormat="false" ht="15" hidden="false" customHeight="false" outlineLevel="0" collapsed="false">
      <c r="R564" s="1" t="s">
        <v>436</v>
      </c>
      <c r="V564" s="57" t="s">
        <v>437</v>
      </c>
      <c r="W564" s="58"/>
      <c r="X564" s="59" t="n">
        <v>0.24</v>
      </c>
      <c r="Y564" s="1" t="n">
        <v>14.83</v>
      </c>
      <c r="Z564" s="30" t="n">
        <f aca="false">X564*Y564</f>
        <v>3.5592</v>
      </c>
      <c r="AC564" s="14"/>
    </row>
    <row r="565" customFormat="false" ht="15" hidden="false" customHeight="false" outlineLevel="0" collapsed="false">
      <c r="V565" s="57"/>
      <c r="X565" s="59"/>
      <c r="Y565" s="30"/>
      <c r="Z565" s="55" t="n">
        <f aca="false">SUM(Z564)</f>
        <v>3.5592</v>
      </c>
    </row>
    <row r="566" customFormat="false" ht="15" hidden="false" customHeight="false" outlineLevel="0" collapsed="false">
      <c r="R566" s="56" t="s">
        <v>308</v>
      </c>
    </row>
    <row r="567" customFormat="false" ht="15" hidden="false" customHeight="false" outlineLevel="0" collapsed="false">
      <c r="R567" s="1" t="s">
        <v>309</v>
      </c>
      <c r="V567" s="57" t="s">
        <v>310</v>
      </c>
      <c r="X567" s="59" t="n">
        <v>5</v>
      </c>
      <c r="Y567" s="30" t="n">
        <f aca="false">Z562</f>
        <v>2.50848</v>
      </c>
      <c r="Z567" s="30" t="n">
        <f aca="false">X567%*Y567</f>
        <v>0.125424</v>
      </c>
    </row>
    <row r="568" customFormat="false" ht="15" hidden="false" customHeight="false" outlineLevel="0" collapsed="false">
      <c r="R568" s="1" t="s">
        <v>438</v>
      </c>
      <c r="V568" s="57" t="s">
        <v>337</v>
      </c>
      <c r="W568" s="58" t="n">
        <v>2</v>
      </c>
      <c r="X568" s="59" t="n">
        <f aca="false">W568*8/$T$557</f>
        <v>0.064</v>
      </c>
      <c r="Y568" s="30" t="n">
        <v>118.64</v>
      </c>
      <c r="Z568" s="30" t="n">
        <f aca="false">X568*Y568</f>
        <v>7.59296</v>
      </c>
    </row>
    <row r="569" customFormat="false" ht="15" hidden="false" customHeight="false" outlineLevel="0" collapsed="false">
      <c r="Q569" s="62"/>
      <c r="R569" s="62"/>
      <c r="S569" s="62"/>
      <c r="T569" s="62"/>
      <c r="U569" s="62"/>
      <c r="V569" s="62"/>
      <c r="W569" s="62"/>
      <c r="X569" s="62"/>
      <c r="Y569" s="62"/>
      <c r="Z569" s="63" t="n">
        <f aca="false">SUM(Z567:Z568)</f>
        <v>7.718384</v>
      </c>
    </row>
    <row r="571" customFormat="false" ht="15" hidden="false" customHeight="false" outlineLevel="0" collapsed="false">
      <c r="Q571" s="14" t="s">
        <v>276</v>
      </c>
      <c r="R571" s="14"/>
      <c r="S571" s="14" t="s">
        <v>237</v>
      </c>
      <c r="T571" s="14"/>
      <c r="U571" s="14"/>
      <c r="V571" s="14"/>
      <c r="W571" s="14"/>
      <c r="X571" s="14"/>
      <c r="Y571" s="14"/>
    </row>
    <row r="572" customFormat="false" ht="15" hidden="false" customHeight="false" outlineLevel="0" collapsed="false">
      <c r="Q572" s="14" t="s">
        <v>277</v>
      </c>
      <c r="R572" s="14" t="s">
        <v>332</v>
      </c>
      <c r="S572" s="38" t="s">
        <v>279</v>
      </c>
      <c r="T572" s="54" t="n">
        <v>1</v>
      </c>
      <c r="U572" s="38" t="s">
        <v>280</v>
      </c>
      <c r="V572" s="54" t="n">
        <f aca="false">T572</f>
        <v>1</v>
      </c>
      <c r="W572" s="14" t="s">
        <v>281</v>
      </c>
      <c r="Y572" s="38" t="s">
        <v>156</v>
      </c>
      <c r="Z572" s="55" t="n">
        <f aca="false">Z577++Z580+Z583</f>
        <v>68.271</v>
      </c>
    </row>
    <row r="573" customFormat="false" ht="15" hidden="false" customHeight="false" outlineLevel="0" collapsed="false">
      <c r="Q573" s="14" t="s">
        <v>282</v>
      </c>
      <c r="R573" s="14" t="s">
        <v>283</v>
      </c>
      <c r="V573" s="38" t="s">
        <v>121</v>
      </c>
      <c r="W573" s="38" t="s">
        <v>284</v>
      </c>
      <c r="X573" s="38" t="s">
        <v>285</v>
      </c>
      <c r="Y573" s="38" t="s">
        <v>286</v>
      </c>
      <c r="Z573" s="38" t="s">
        <v>287</v>
      </c>
    </row>
    <row r="574" customFormat="false" ht="15" hidden="false" customHeight="false" outlineLevel="0" collapsed="false">
      <c r="R574" s="56" t="s">
        <v>288</v>
      </c>
    </row>
    <row r="575" customFormat="false" ht="15" hidden="false" customHeight="false" outlineLevel="0" collapsed="false">
      <c r="V575" s="57"/>
      <c r="W575" s="58"/>
      <c r="X575" s="59"/>
      <c r="Y575" s="30"/>
      <c r="Z575" s="30"/>
    </row>
    <row r="576" customFormat="false" ht="15" hidden="false" customHeight="false" outlineLevel="0" collapsed="false">
      <c r="R576" s="1" t="s">
        <v>292</v>
      </c>
      <c r="V576" s="57" t="s">
        <v>290</v>
      </c>
      <c r="W576" s="58" t="n">
        <v>0.25</v>
      </c>
      <c r="X576" s="59" t="n">
        <f aca="false">W576*8/$T$572</f>
        <v>2</v>
      </c>
      <c r="Y576" s="30" t="n">
        <v>20.51</v>
      </c>
      <c r="Z576" s="30" t="n">
        <f aca="false">X576*Y576</f>
        <v>41.02</v>
      </c>
    </row>
    <row r="577" customFormat="false" ht="15" hidden="false" customHeight="false" outlineLevel="0" collapsed="false">
      <c r="Z577" s="55" t="n">
        <f aca="false">SUM(Z576)</f>
        <v>41.02</v>
      </c>
    </row>
    <row r="578" customFormat="false" ht="15" hidden="false" customHeight="false" outlineLevel="0" collapsed="false">
      <c r="R578" s="56" t="s">
        <v>293</v>
      </c>
    </row>
    <row r="579" customFormat="false" ht="15" hidden="false" customHeight="false" outlineLevel="0" collapsed="false">
      <c r="R579" s="1" t="s">
        <v>439</v>
      </c>
      <c r="V579" s="57" t="s">
        <v>148</v>
      </c>
      <c r="W579" s="58"/>
      <c r="X579" s="59" t="n">
        <v>10</v>
      </c>
      <c r="Y579" s="1" t="n">
        <v>2.52</v>
      </c>
      <c r="Z579" s="30" t="n">
        <f aca="false">X579*Y579</f>
        <v>25.2</v>
      </c>
    </row>
    <row r="580" customFormat="false" ht="15" hidden="false" customHeight="false" outlineLevel="0" collapsed="false">
      <c r="V580" s="57"/>
      <c r="X580" s="59"/>
      <c r="Y580" s="30"/>
      <c r="Z580" s="55" t="n">
        <f aca="false">SUM(Z579)</f>
        <v>25.2</v>
      </c>
    </row>
    <row r="581" customFormat="false" ht="15" hidden="false" customHeight="false" outlineLevel="0" collapsed="false">
      <c r="R581" s="56" t="s">
        <v>308</v>
      </c>
    </row>
    <row r="582" customFormat="false" ht="15" hidden="false" customHeight="false" outlineLevel="0" collapsed="false">
      <c r="R582" s="1" t="s">
        <v>309</v>
      </c>
      <c r="V582" s="57" t="s">
        <v>310</v>
      </c>
      <c r="X582" s="59" t="n">
        <v>5</v>
      </c>
      <c r="Y582" s="30" t="n">
        <f aca="false">Z577</f>
        <v>41.02</v>
      </c>
      <c r="Z582" s="30" t="n">
        <f aca="false">X582%*Y582</f>
        <v>2.051</v>
      </c>
    </row>
    <row r="583" customFormat="false" ht="15" hidden="false" customHeight="false" outlineLevel="0" collapsed="false">
      <c r="Q583" s="62"/>
      <c r="R583" s="62"/>
      <c r="S583" s="62"/>
      <c r="T583" s="62"/>
      <c r="U583" s="62"/>
      <c r="V583" s="62"/>
      <c r="W583" s="62"/>
      <c r="X583" s="62"/>
      <c r="Y583" s="62"/>
      <c r="Z583" s="63" t="n">
        <f aca="false">SUM(Z582)</f>
        <v>2.051</v>
      </c>
    </row>
    <row r="585" customFormat="false" ht="15" hidden="false" customHeight="false" outlineLevel="0" collapsed="false">
      <c r="Q585" s="14" t="s">
        <v>276</v>
      </c>
      <c r="R585" s="14"/>
      <c r="S585" s="14" t="s">
        <v>239</v>
      </c>
      <c r="T585" s="14"/>
      <c r="U585" s="14"/>
      <c r="V585" s="14"/>
      <c r="W585" s="14"/>
      <c r="X585" s="14"/>
      <c r="Y585" s="14"/>
    </row>
    <row r="586" customFormat="false" ht="15" hidden="false" customHeight="false" outlineLevel="0" collapsed="false">
      <c r="Q586" s="14" t="s">
        <v>277</v>
      </c>
      <c r="R586" s="14" t="s">
        <v>415</v>
      </c>
      <c r="S586" s="38" t="s">
        <v>279</v>
      </c>
      <c r="T586" s="54" t="n">
        <v>250</v>
      </c>
      <c r="U586" s="38" t="s">
        <v>280</v>
      </c>
      <c r="V586" s="54" t="n">
        <f aca="false">T586</f>
        <v>250</v>
      </c>
      <c r="W586" s="14" t="s">
        <v>281</v>
      </c>
      <c r="Y586" s="38" t="s">
        <v>202</v>
      </c>
      <c r="Z586" s="55" t="n">
        <f aca="false">Z591++Z594+Z598</f>
        <v>13.786064</v>
      </c>
    </row>
    <row r="587" customFormat="false" ht="15" hidden="false" customHeight="false" outlineLevel="0" collapsed="false">
      <c r="Q587" s="14" t="s">
        <v>282</v>
      </c>
      <c r="R587" s="14" t="s">
        <v>283</v>
      </c>
      <c r="V587" s="38" t="s">
        <v>121</v>
      </c>
      <c r="W587" s="38" t="s">
        <v>284</v>
      </c>
      <c r="X587" s="38" t="s">
        <v>285</v>
      </c>
      <c r="Y587" s="38" t="s">
        <v>286</v>
      </c>
      <c r="Z587" s="38" t="s">
        <v>287</v>
      </c>
    </row>
    <row r="588" customFormat="false" ht="15" hidden="false" customHeight="false" outlineLevel="0" collapsed="false">
      <c r="R588" s="56" t="s">
        <v>288</v>
      </c>
    </row>
    <row r="589" customFormat="false" ht="15" hidden="false" customHeight="false" outlineLevel="0" collapsed="false">
      <c r="R589" s="1" t="s">
        <v>435</v>
      </c>
      <c r="V589" s="57" t="s">
        <v>290</v>
      </c>
      <c r="W589" s="58" t="n">
        <v>2</v>
      </c>
      <c r="X589" s="59" t="n">
        <f aca="false">W589*8/$T$586</f>
        <v>0.064</v>
      </c>
      <c r="Y589" s="30" t="n">
        <v>28.94</v>
      </c>
      <c r="Z589" s="30" t="n">
        <f aca="false">X589*Y589</f>
        <v>1.85216</v>
      </c>
    </row>
    <row r="590" customFormat="false" ht="15" hidden="false" customHeight="false" outlineLevel="0" collapsed="false">
      <c r="R590" s="1" t="s">
        <v>292</v>
      </c>
      <c r="V590" s="57" t="s">
        <v>290</v>
      </c>
      <c r="W590" s="58" t="n">
        <v>1</v>
      </c>
      <c r="X590" s="59" t="n">
        <f aca="false">W590*8/$T$586</f>
        <v>0.032</v>
      </c>
      <c r="Y590" s="30" t="n">
        <v>20.51</v>
      </c>
      <c r="Z590" s="30" t="n">
        <f aca="false">X590*Y590</f>
        <v>0.65632</v>
      </c>
    </row>
    <row r="591" customFormat="false" ht="15" hidden="false" customHeight="false" outlineLevel="0" collapsed="false">
      <c r="Z591" s="55" t="n">
        <f aca="false">SUM(Z589:Z590)</f>
        <v>2.50848</v>
      </c>
    </row>
    <row r="592" customFormat="false" ht="15" hidden="false" customHeight="false" outlineLevel="0" collapsed="false">
      <c r="R592" s="56" t="s">
        <v>293</v>
      </c>
    </row>
    <row r="593" customFormat="false" ht="15" hidden="false" customHeight="false" outlineLevel="0" collapsed="false">
      <c r="R593" s="1" t="s">
        <v>436</v>
      </c>
      <c r="V593" s="57" t="s">
        <v>437</v>
      </c>
      <c r="W593" s="58"/>
      <c r="X593" s="59" t="n">
        <v>0.24</v>
      </c>
      <c r="Y593" s="1" t="n">
        <v>14.83</v>
      </c>
      <c r="Z593" s="30" t="n">
        <f aca="false">X593*Y593</f>
        <v>3.5592</v>
      </c>
    </row>
    <row r="594" customFormat="false" ht="15" hidden="false" customHeight="false" outlineLevel="0" collapsed="false">
      <c r="V594" s="57"/>
      <c r="X594" s="59"/>
      <c r="Y594" s="30"/>
      <c r="Z594" s="55" t="n">
        <f aca="false">SUM(Z593)</f>
        <v>3.5592</v>
      </c>
    </row>
    <row r="595" customFormat="false" ht="15" hidden="false" customHeight="false" outlineLevel="0" collapsed="false">
      <c r="R595" s="56" t="s">
        <v>308</v>
      </c>
    </row>
    <row r="596" customFormat="false" ht="15" hidden="false" customHeight="false" outlineLevel="0" collapsed="false">
      <c r="R596" s="1" t="s">
        <v>309</v>
      </c>
      <c r="V596" s="57" t="s">
        <v>310</v>
      </c>
      <c r="X596" s="59" t="n">
        <v>5</v>
      </c>
      <c r="Y596" s="30" t="n">
        <f aca="false">Z591</f>
        <v>2.50848</v>
      </c>
      <c r="Z596" s="30" t="n">
        <f aca="false">X596%*Y596</f>
        <v>0.125424</v>
      </c>
    </row>
    <row r="597" customFormat="false" ht="15" hidden="false" customHeight="false" outlineLevel="0" collapsed="false">
      <c r="R597" s="1" t="s">
        <v>438</v>
      </c>
      <c r="V597" s="57" t="s">
        <v>337</v>
      </c>
      <c r="W597" s="58" t="n">
        <v>2</v>
      </c>
      <c r="X597" s="59" t="n">
        <f aca="false">W597*8/$T$557</f>
        <v>0.064</v>
      </c>
      <c r="Y597" s="30" t="n">
        <v>118.64</v>
      </c>
      <c r="Z597" s="30" t="n">
        <f aca="false">X597*Y597</f>
        <v>7.59296</v>
      </c>
    </row>
    <row r="598" customFormat="false" ht="15" hidden="false" customHeight="false" outlineLevel="0" collapsed="false">
      <c r="Q598" s="62"/>
      <c r="R598" s="62"/>
      <c r="S598" s="62"/>
      <c r="T598" s="62"/>
      <c r="U598" s="62"/>
      <c r="V598" s="62"/>
      <c r="W598" s="62"/>
      <c r="X598" s="62"/>
      <c r="Y598" s="62"/>
      <c r="Z598" s="63" t="n">
        <f aca="false">SUM(Z596:Z597)</f>
        <v>7.718384</v>
      </c>
    </row>
    <row r="600" customFormat="false" ht="15" hidden="false" customHeight="false" outlineLevel="0" collapsed="false">
      <c r="Q600" s="14" t="s">
        <v>276</v>
      </c>
      <c r="R600" s="14"/>
      <c r="S600" s="14" t="s">
        <v>243</v>
      </c>
      <c r="T600" s="14"/>
      <c r="U600" s="14"/>
      <c r="V600" s="14"/>
      <c r="W600" s="14"/>
      <c r="X600" s="14"/>
      <c r="Y600" s="14"/>
    </row>
    <row r="601" customFormat="false" ht="15" hidden="false" customHeight="false" outlineLevel="0" collapsed="false">
      <c r="Q601" s="14" t="s">
        <v>277</v>
      </c>
      <c r="R601" s="14" t="s">
        <v>325</v>
      </c>
      <c r="S601" s="38" t="s">
        <v>279</v>
      </c>
      <c r="T601" s="54" t="n">
        <v>5</v>
      </c>
      <c r="U601" s="38" t="s">
        <v>280</v>
      </c>
      <c r="V601" s="54" t="n">
        <f aca="false">T601</f>
        <v>5</v>
      </c>
      <c r="W601" s="14" t="s">
        <v>281</v>
      </c>
      <c r="Y601" s="38" t="s">
        <v>148</v>
      </c>
      <c r="Z601" s="55" t="n">
        <f aca="false">Z605++Z611+Z614</f>
        <v>402.0068</v>
      </c>
    </row>
    <row r="602" customFormat="false" ht="15" hidden="false" customHeight="false" outlineLevel="0" collapsed="false">
      <c r="Q602" s="14" t="s">
        <v>282</v>
      </c>
      <c r="R602" s="14" t="s">
        <v>283</v>
      </c>
      <c r="V602" s="38" t="s">
        <v>121</v>
      </c>
      <c r="W602" s="38" t="s">
        <v>284</v>
      </c>
      <c r="X602" s="38" t="s">
        <v>285</v>
      </c>
      <c r="Y602" s="38" t="s">
        <v>286</v>
      </c>
      <c r="Z602" s="38" t="s">
        <v>287</v>
      </c>
    </row>
    <row r="603" customFormat="false" ht="15" hidden="false" customHeight="false" outlineLevel="0" collapsed="false">
      <c r="R603" s="56" t="s">
        <v>288</v>
      </c>
    </row>
    <row r="604" customFormat="false" ht="15" hidden="false" customHeight="false" outlineLevel="0" collapsed="false">
      <c r="R604" s="1" t="s">
        <v>292</v>
      </c>
      <c r="V604" s="57" t="s">
        <v>290</v>
      </c>
      <c r="W604" s="58" t="n">
        <v>1</v>
      </c>
      <c r="X604" s="59" t="n">
        <f aca="false">W604*8/$T$601</f>
        <v>1.6</v>
      </c>
      <c r="Y604" s="30" t="n">
        <v>20.51</v>
      </c>
      <c r="Z604" s="30" t="n">
        <f aca="false">X604*Y604</f>
        <v>32.816</v>
      </c>
    </row>
    <row r="605" customFormat="false" ht="15" hidden="false" customHeight="false" outlineLevel="0" collapsed="false">
      <c r="Z605" s="55" t="n">
        <f aca="false">SUM(Z604:Z604)</f>
        <v>32.816</v>
      </c>
    </row>
    <row r="606" customFormat="false" ht="15" hidden="false" customHeight="false" outlineLevel="0" collapsed="false">
      <c r="R606" s="56" t="s">
        <v>293</v>
      </c>
    </row>
    <row r="607" customFormat="false" ht="15" hidden="false" customHeight="false" outlineLevel="0" collapsed="false">
      <c r="R607" s="1" t="s">
        <v>440</v>
      </c>
      <c r="V607" s="57" t="s">
        <v>418</v>
      </c>
      <c r="X607" s="59" t="n">
        <v>2</v>
      </c>
      <c r="Y607" s="30" t="n">
        <v>8.22</v>
      </c>
      <c r="Z607" s="30" t="n">
        <f aca="false">X607*Y607</f>
        <v>16.44</v>
      </c>
    </row>
    <row r="608" customFormat="false" ht="15" hidden="false" customHeight="false" outlineLevel="0" collapsed="false">
      <c r="R608" s="1" t="s">
        <v>441</v>
      </c>
      <c r="V608" s="57" t="s">
        <v>148</v>
      </c>
      <c r="W608" s="58"/>
      <c r="X608" s="59" t="n">
        <v>1</v>
      </c>
      <c r="Y608" s="30" t="n">
        <v>216.34</v>
      </c>
      <c r="Z608" s="30" t="n">
        <f aca="false">X608*Y608</f>
        <v>216.34</v>
      </c>
    </row>
    <row r="609" customFormat="false" ht="15" hidden="false" customHeight="false" outlineLevel="0" collapsed="false">
      <c r="R609" s="1" t="s">
        <v>442</v>
      </c>
      <c r="V609" s="57" t="s">
        <v>148</v>
      </c>
      <c r="X609" s="59" t="n">
        <v>25</v>
      </c>
      <c r="Y609" s="30" t="n">
        <v>1.8</v>
      </c>
      <c r="Z609" s="30" t="n">
        <f aca="false">X609*Y609</f>
        <v>45</v>
      </c>
    </row>
    <row r="610" customFormat="false" ht="15" hidden="false" customHeight="false" outlineLevel="0" collapsed="false">
      <c r="R610" s="1" t="s">
        <v>443</v>
      </c>
      <c r="V610" s="57" t="s">
        <v>372</v>
      </c>
      <c r="X610" s="59" t="n">
        <v>0.5</v>
      </c>
      <c r="Y610" s="30" t="n">
        <v>179.54</v>
      </c>
      <c r="Z610" s="30" t="n">
        <f aca="false">X610*Y610</f>
        <v>89.77</v>
      </c>
    </row>
    <row r="611" customFormat="false" ht="15" hidden="false" customHeight="false" outlineLevel="0" collapsed="false">
      <c r="V611" s="57"/>
      <c r="X611" s="59"/>
      <c r="Y611" s="30"/>
      <c r="Z611" s="55" t="n">
        <f aca="false">SUM(Z607:Z610)</f>
        <v>367.55</v>
      </c>
    </row>
    <row r="612" customFormat="false" ht="15" hidden="false" customHeight="false" outlineLevel="0" collapsed="false">
      <c r="R612" s="56" t="s">
        <v>308</v>
      </c>
    </row>
    <row r="613" customFormat="false" ht="15" hidden="false" customHeight="false" outlineLevel="0" collapsed="false">
      <c r="R613" s="1" t="s">
        <v>309</v>
      </c>
      <c r="V613" s="57" t="s">
        <v>310</v>
      </c>
      <c r="X613" s="59" t="n">
        <v>5</v>
      </c>
      <c r="Y613" s="30" t="n">
        <f aca="false">Z605</f>
        <v>32.816</v>
      </c>
      <c r="Z613" s="30" t="n">
        <f aca="false">X613%*Y613</f>
        <v>1.6408</v>
      </c>
    </row>
    <row r="614" customFormat="false" ht="15" hidden="false" customHeight="false" outlineLevel="0" collapsed="false">
      <c r="Q614" s="62"/>
      <c r="R614" s="62"/>
      <c r="S614" s="62"/>
      <c r="T614" s="62"/>
      <c r="U614" s="62"/>
      <c r="V614" s="62"/>
      <c r="W614" s="62"/>
      <c r="X614" s="62"/>
      <c r="Y614" s="62"/>
      <c r="Z614" s="63" t="n">
        <f aca="false">SUM(Z613:Z613)</f>
        <v>1.6408</v>
      </c>
    </row>
    <row r="616" customFormat="false" ht="15" hidden="false" customHeight="false" outlineLevel="0" collapsed="false">
      <c r="Q616" s="14" t="s">
        <v>276</v>
      </c>
      <c r="R616" s="14"/>
      <c r="S616" s="14" t="s">
        <v>1269</v>
      </c>
      <c r="T616" s="14"/>
      <c r="U616" s="14"/>
      <c r="V616" s="14"/>
      <c r="W616" s="14"/>
      <c r="X616" s="14"/>
      <c r="Y616" s="14"/>
    </row>
    <row r="617" customFormat="false" ht="15" hidden="false" customHeight="false" outlineLevel="0" collapsed="false">
      <c r="Q617" s="14" t="s">
        <v>277</v>
      </c>
      <c r="R617" s="14" t="s">
        <v>278</v>
      </c>
      <c r="S617" s="38" t="s">
        <v>279</v>
      </c>
      <c r="T617" s="54" t="n">
        <v>150</v>
      </c>
      <c r="U617" s="38" t="s">
        <v>280</v>
      </c>
      <c r="V617" s="54" t="n">
        <f aca="false">T617</f>
        <v>150</v>
      </c>
      <c r="W617" s="14" t="s">
        <v>281</v>
      </c>
      <c r="Y617" s="38" t="s">
        <v>132</v>
      </c>
      <c r="Z617" s="55" t="n">
        <f aca="false">Z622+Z626</f>
        <v>6.94930666666667</v>
      </c>
    </row>
    <row r="618" customFormat="false" ht="15" hidden="false" customHeight="false" outlineLevel="0" collapsed="false">
      <c r="Q618" s="14" t="s">
        <v>282</v>
      </c>
      <c r="R618" s="14" t="s">
        <v>283</v>
      </c>
      <c r="V618" s="38" t="s">
        <v>121</v>
      </c>
      <c r="W618" s="38" t="s">
        <v>284</v>
      </c>
      <c r="X618" s="38" t="s">
        <v>285</v>
      </c>
      <c r="Y618" s="38" t="s">
        <v>286</v>
      </c>
      <c r="Z618" s="38" t="s">
        <v>287</v>
      </c>
    </row>
    <row r="619" customFormat="false" ht="15" hidden="false" customHeight="false" outlineLevel="0" collapsed="false">
      <c r="R619" s="56" t="s">
        <v>288</v>
      </c>
    </row>
    <row r="620" customFormat="false" ht="15" hidden="false" customHeight="false" outlineLevel="0" collapsed="false">
      <c r="R620" s="1" t="s">
        <v>435</v>
      </c>
      <c r="V620" s="57" t="s">
        <v>290</v>
      </c>
      <c r="W620" s="58" t="n">
        <v>0.5</v>
      </c>
      <c r="X620" s="59" t="n">
        <f aca="false">W620*8/$T$617</f>
        <v>0.0266666666666667</v>
      </c>
      <c r="Y620" s="30" t="n">
        <v>28.94</v>
      </c>
      <c r="Z620" s="30" t="n">
        <f aca="false">X620*Y620</f>
        <v>0.771733333333333</v>
      </c>
    </row>
    <row r="621" customFormat="false" ht="15" hidden="false" customHeight="false" outlineLevel="0" collapsed="false">
      <c r="R621" s="1" t="s">
        <v>292</v>
      </c>
      <c r="V621" s="57" t="s">
        <v>290</v>
      </c>
      <c r="W621" s="58" t="n">
        <v>2</v>
      </c>
      <c r="X621" s="59" t="n">
        <f aca="false">W621*8/$T$617</f>
        <v>0.106666666666667</v>
      </c>
      <c r="Y621" s="30" t="n">
        <v>20.51</v>
      </c>
      <c r="Z621" s="30" t="n">
        <f aca="false">X621*Y621</f>
        <v>2.18773333333333</v>
      </c>
    </row>
    <row r="622" customFormat="false" ht="15" hidden="false" customHeight="false" outlineLevel="0" collapsed="false">
      <c r="Z622" s="55" t="n">
        <f aca="false">SUM(Z620:Z621)</f>
        <v>2.95946666666667</v>
      </c>
    </row>
    <row r="623" customFormat="false" ht="15" hidden="false" customHeight="false" outlineLevel="0" collapsed="false">
      <c r="R623" s="56" t="s">
        <v>308</v>
      </c>
    </row>
    <row r="624" customFormat="false" ht="15" hidden="false" customHeight="false" outlineLevel="0" collapsed="false">
      <c r="R624" s="1" t="s">
        <v>309</v>
      </c>
      <c r="V624" s="57" t="s">
        <v>310</v>
      </c>
      <c r="X624" s="59" t="n">
        <v>5</v>
      </c>
      <c r="Y624" s="30" t="n">
        <f aca="false">Z622</f>
        <v>2.95946666666667</v>
      </c>
      <c r="Z624" s="30" t="n">
        <f aca="false">X624%*Y624</f>
        <v>0.147973333333333</v>
      </c>
    </row>
    <row r="625" customFormat="false" ht="15" hidden="false" customHeight="false" outlineLevel="0" collapsed="false">
      <c r="R625" s="1" t="s">
        <v>444</v>
      </c>
      <c r="V625" s="57" t="s">
        <v>337</v>
      </c>
      <c r="W625" s="58" t="n">
        <v>0.5</v>
      </c>
      <c r="X625" s="59" t="n">
        <f aca="false">W625*8/$T$617</f>
        <v>0.0266666666666667</v>
      </c>
      <c r="Y625" s="30" t="n">
        <v>144.07</v>
      </c>
      <c r="Z625" s="30" t="n">
        <f aca="false">X625*Y625</f>
        <v>3.84186666666667</v>
      </c>
    </row>
    <row r="626" customFormat="false" ht="15" hidden="false" customHeight="false" outlineLevel="0" collapsed="false">
      <c r="Q626" s="62"/>
      <c r="R626" s="62"/>
      <c r="S626" s="62"/>
      <c r="T626" s="62"/>
      <c r="U626" s="62"/>
      <c r="V626" s="62"/>
      <c r="W626" s="62"/>
      <c r="X626" s="62"/>
      <c r="Y626" s="62"/>
      <c r="Z626" s="63" t="n">
        <f aca="false">SUM(Z624:Z625)</f>
        <v>3.98984</v>
      </c>
    </row>
    <row r="628" customFormat="false" ht="15" hidden="false" customHeight="false" outlineLevel="0" collapsed="false">
      <c r="Q628" s="14" t="s">
        <v>276</v>
      </c>
      <c r="R628" s="14"/>
      <c r="S628" s="14" t="s">
        <v>249</v>
      </c>
      <c r="T628" s="14"/>
      <c r="U628" s="14"/>
      <c r="V628" s="14"/>
      <c r="W628" s="14"/>
      <c r="X628" s="14"/>
      <c r="Y628" s="14"/>
    </row>
    <row r="629" customFormat="false" ht="15" hidden="false" customHeight="false" outlineLevel="0" collapsed="false">
      <c r="Q629" s="14" t="s">
        <v>277</v>
      </c>
      <c r="R629" s="14" t="s">
        <v>415</v>
      </c>
      <c r="S629" s="38" t="s">
        <v>279</v>
      </c>
      <c r="T629" s="54" t="n">
        <v>250</v>
      </c>
      <c r="U629" s="38" t="s">
        <v>280</v>
      </c>
      <c r="V629" s="54" t="n">
        <f aca="false">T629</f>
        <v>250</v>
      </c>
      <c r="W629" s="14" t="s">
        <v>281</v>
      </c>
      <c r="Y629" s="38" t="s">
        <v>202</v>
      </c>
      <c r="Z629" s="55" t="n">
        <f aca="false">Z634++Z637+Z642</f>
        <v>24.086838</v>
      </c>
    </row>
    <row r="630" customFormat="false" ht="15" hidden="false" customHeight="false" outlineLevel="0" collapsed="false">
      <c r="Q630" s="14" t="s">
        <v>282</v>
      </c>
      <c r="R630" s="14" t="s">
        <v>283</v>
      </c>
      <c r="V630" s="38" t="s">
        <v>121</v>
      </c>
      <c r="W630" s="38" t="s">
        <v>284</v>
      </c>
      <c r="X630" s="38" t="s">
        <v>285</v>
      </c>
      <c r="Y630" s="38" t="s">
        <v>286</v>
      </c>
      <c r="Z630" s="38" t="s">
        <v>287</v>
      </c>
    </row>
    <row r="631" customFormat="false" ht="15" hidden="false" customHeight="false" outlineLevel="0" collapsed="false">
      <c r="R631" s="56" t="s">
        <v>288</v>
      </c>
    </row>
    <row r="632" customFormat="false" ht="15" hidden="false" customHeight="false" outlineLevel="0" collapsed="false">
      <c r="R632" s="1" t="s">
        <v>435</v>
      </c>
      <c r="V632" s="57" t="s">
        <v>290</v>
      </c>
      <c r="W632" s="58" t="n">
        <v>3</v>
      </c>
      <c r="X632" s="59" t="n">
        <f aca="false">W632*8/$T$629</f>
        <v>0.096</v>
      </c>
      <c r="Y632" s="30" t="n">
        <v>28.94</v>
      </c>
      <c r="Z632" s="30" t="n">
        <f aca="false">X632*Y632</f>
        <v>2.77824</v>
      </c>
    </row>
    <row r="633" customFormat="false" ht="15" hidden="false" customHeight="false" outlineLevel="0" collapsed="false">
      <c r="R633" s="1" t="s">
        <v>292</v>
      </c>
      <c r="V633" s="57" t="s">
        <v>290</v>
      </c>
      <c r="W633" s="58" t="n">
        <v>1</v>
      </c>
      <c r="X633" s="59" t="n">
        <f aca="false">W633*8/$T$629</f>
        <v>0.032</v>
      </c>
      <c r="Y633" s="30" t="n">
        <v>20.51</v>
      </c>
      <c r="Z633" s="30" t="n">
        <f aca="false">X633*Y633</f>
        <v>0.65632</v>
      </c>
    </row>
    <row r="634" customFormat="false" ht="15" hidden="false" customHeight="false" outlineLevel="0" collapsed="false">
      <c r="Z634" s="55" t="n">
        <f aca="false">SUM(Z632:Z633)</f>
        <v>3.43456</v>
      </c>
    </row>
    <row r="635" customFormat="false" ht="15" hidden="false" customHeight="false" outlineLevel="0" collapsed="false">
      <c r="R635" s="56" t="s">
        <v>293</v>
      </c>
    </row>
    <row r="636" customFormat="false" ht="15" hidden="false" customHeight="false" outlineLevel="0" collapsed="false">
      <c r="R636" s="1" t="s">
        <v>436</v>
      </c>
      <c r="V636" s="57" t="s">
        <v>437</v>
      </c>
      <c r="W636" s="58"/>
      <c r="X636" s="59" t="n">
        <v>0.357</v>
      </c>
      <c r="Y636" s="1" t="n">
        <v>14.83</v>
      </c>
      <c r="Z636" s="30" t="n">
        <f aca="false">X636*Y636</f>
        <v>5.29431</v>
      </c>
    </row>
    <row r="637" customFormat="false" ht="15" hidden="false" customHeight="false" outlineLevel="0" collapsed="false">
      <c r="V637" s="57"/>
      <c r="X637" s="59"/>
      <c r="Y637" s="30"/>
      <c r="Z637" s="55" t="n">
        <f aca="false">SUM(Z636)</f>
        <v>5.29431</v>
      </c>
    </row>
    <row r="638" customFormat="false" ht="15" hidden="false" customHeight="false" outlineLevel="0" collapsed="false">
      <c r="R638" s="56" t="s">
        <v>308</v>
      </c>
    </row>
    <row r="639" customFormat="false" ht="15" hidden="false" customHeight="false" outlineLevel="0" collapsed="false">
      <c r="R639" s="1" t="s">
        <v>309</v>
      </c>
      <c r="V639" s="57" t="s">
        <v>310</v>
      </c>
      <c r="X639" s="59" t="n">
        <v>5</v>
      </c>
      <c r="Y639" s="30" t="n">
        <f aca="false">Z634</f>
        <v>3.43456</v>
      </c>
      <c r="Z639" s="30" t="n">
        <f aca="false">X639%*Y639</f>
        <v>0.171728</v>
      </c>
    </row>
    <row r="640" customFormat="false" ht="15" hidden="false" customHeight="false" outlineLevel="0" collapsed="false">
      <c r="R640" s="1" t="s">
        <v>438</v>
      </c>
      <c r="V640" s="57" t="s">
        <v>337</v>
      </c>
      <c r="W640" s="58" t="n">
        <v>2</v>
      </c>
      <c r="X640" s="59" t="n">
        <f aca="false">W640*8/$T$629</f>
        <v>0.064</v>
      </c>
      <c r="Y640" s="30" t="n">
        <v>118.64</v>
      </c>
      <c r="Z640" s="30" t="n">
        <f aca="false">X640*Y640</f>
        <v>7.59296</v>
      </c>
    </row>
    <row r="641" customFormat="false" ht="15" hidden="false" customHeight="false" outlineLevel="0" collapsed="false">
      <c r="R641" s="1" t="s">
        <v>445</v>
      </c>
      <c r="V641" s="57" t="s">
        <v>337</v>
      </c>
      <c r="W641" s="58" t="n">
        <v>1</v>
      </c>
      <c r="X641" s="59" t="n">
        <f aca="false">W641*8/$T$629</f>
        <v>0.032</v>
      </c>
      <c r="Y641" s="30" t="n">
        <v>237.29</v>
      </c>
      <c r="Z641" s="30" t="n">
        <f aca="false">X641*Y641</f>
        <v>7.59328</v>
      </c>
    </row>
    <row r="642" customFormat="false" ht="15" hidden="false" customHeight="false" outlineLevel="0" collapsed="false">
      <c r="Q642" s="62"/>
      <c r="R642" s="62"/>
      <c r="S642" s="62"/>
      <c r="T642" s="62"/>
      <c r="U642" s="62"/>
      <c r="V642" s="62"/>
      <c r="W642" s="62"/>
      <c r="X642" s="62"/>
      <c r="Y642" s="62"/>
      <c r="Z642" s="63" t="n">
        <f aca="false">SUM(Z639:Z641)</f>
        <v>15.357968</v>
      </c>
    </row>
    <row r="644" customFormat="false" ht="15" hidden="false" customHeight="false" outlineLevel="0" collapsed="false">
      <c r="Q644" s="14" t="s">
        <v>276</v>
      </c>
      <c r="R644" s="14"/>
      <c r="S644" s="14" t="s">
        <v>251</v>
      </c>
      <c r="T644" s="14"/>
      <c r="U644" s="14"/>
      <c r="V644" s="14"/>
      <c r="W644" s="14"/>
      <c r="X644" s="14"/>
      <c r="Y644" s="14"/>
    </row>
    <row r="645" customFormat="false" ht="15" hidden="false" customHeight="false" outlineLevel="0" collapsed="false">
      <c r="Q645" s="14" t="s">
        <v>277</v>
      </c>
      <c r="R645" s="14" t="s">
        <v>278</v>
      </c>
      <c r="S645" s="38" t="s">
        <v>279</v>
      </c>
      <c r="T645" s="54" t="n">
        <v>50</v>
      </c>
      <c r="U645" s="38" t="s">
        <v>280</v>
      </c>
      <c r="V645" s="54" t="n">
        <f aca="false">T645</f>
        <v>50</v>
      </c>
      <c r="W645" s="14" t="s">
        <v>281</v>
      </c>
      <c r="Y645" s="38" t="s">
        <v>132</v>
      </c>
      <c r="Z645" s="55" t="n">
        <f aca="false">Z649+Z653+Z656</f>
        <v>7.69136</v>
      </c>
    </row>
    <row r="646" customFormat="false" ht="15" hidden="false" customHeight="false" outlineLevel="0" collapsed="false">
      <c r="Q646" s="14" t="s">
        <v>282</v>
      </c>
      <c r="R646" s="14" t="s">
        <v>283</v>
      </c>
      <c r="V646" s="38" t="s">
        <v>121</v>
      </c>
      <c r="W646" s="38" t="s">
        <v>284</v>
      </c>
      <c r="X646" s="38" t="s">
        <v>285</v>
      </c>
      <c r="Y646" s="38" t="s">
        <v>286</v>
      </c>
      <c r="Z646" s="38" t="s">
        <v>287</v>
      </c>
    </row>
    <row r="647" customFormat="false" ht="15" hidden="false" customHeight="false" outlineLevel="0" collapsed="false">
      <c r="R647" s="56" t="s">
        <v>288</v>
      </c>
    </row>
    <row r="648" customFormat="false" ht="15" hidden="false" customHeight="false" outlineLevel="0" collapsed="false">
      <c r="R648" s="1" t="s">
        <v>292</v>
      </c>
      <c r="V648" s="57" t="s">
        <v>290</v>
      </c>
      <c r="W648" s="58" t="n">
        <v>2</v>
      </c>
      <c r="X648" s="59" t="n">
        <f aca="false">W648*8/$T$645</f>
        <v>0.32</v>
      </c>
      <c r="Y648" s="30" t="n">
        <v>20.51</v>
      </c>
      <c r="Z648" s="30" t="n">
        <f aca="false">X648*Y648</f>
        <v>6.5632</v>
      </c>
    </row>
    <row r="649" customFormat="false" ht="15" hidden="false" customHeight="false" outlineLevel="0" collapsed="false">
      <c r="Z649" s="55" t="n">
        <f aca="false">SUM(Z648:Z648)</f>
        <v>6.5632</v>
      </c>
    </row>
    <row r="650" customFormat="false" ht="15" hidden="false" customHeight="false" outlineLevel="0" collapsed="false">
      <c r="R650" s="56" t="s">
        <v>293</v>
      </c>
    </row>
    <row r="651" customFormat="false" ht="15" hidden="false" customHeight="false" outlineLevel="0" collapsed="false">
      <c r="R651" s="1" t="s">
        <v>446</v>
      </c>
      <c r="V651" s="57" t="s">
        <v>295</v>
      </c>
      <c r="X651" s="59" t="n">
        <v>0.5</v>
      </c>
      <c r="Y651" s="1" t="n">
        <v>0.38</v>
      </c>
      <c r="Z651" s="30" t="n">
        <f aca="false">X651*Y651</f>
        <v>0.19</v>
      </c>
    </row>
    <row r="652" customFormat="false" ht="15" hidden="false" customHeight="false" outlineLevel="0" collapsed="false">
      <c r="R652" s="1" t="s">
        <v>447</v>
      </c>
      <c r="V652" s="57" t="s">
        <v>295</v>
      </c>
      <c r="W652" s="58"/>
      <c r="X652" s="59" t="n">
        <v>0.5</v>
      </c>
      <c r="Y652" s="1" t="n">
        <v>1.22</v>
      </c>
      <c r="Z652" s="30" t="n">
        <f aca="false">X652*Y652</f>
        <v>0.61</v>
      </c>
    </row>
    <row r="653" customFormat="false" ht="15" hidden="false" customHeight="false" outlineLevel="0" collapsed="false">
      <c r="V653" s="57"/>
      <c r="X653" s="59"/>
      <c r="Y653" s="30"/>
      <c r="Z653" s="55" t="n">
        <f aca="false">SUM(Z651:Z652)</f>
        <v>0.8</v>
      </c>
    </row>
    <row r="654" customFormat="false" ht="15" hidden="false" customHeight="false" outlineLevel="0" collapsed="false">
      <c r="R654" s="56" t="s">
        <v>308</v>
      </c>
    </row>
    <row r="655" customFormat="false" ht="15" hidden="false" customHeight="false" outlineLevel="0" collapsed="false">
      <c r="R655" s="1" t="s">
        <v>309</v>
      </c>
      <c r="V655" s="57" t="s">
        <v>310</v>
      </c>
      <c r="X655" s="59" t="n">
        <v>5</v>
      </c>
      <c r="Y655" s="30" t="n">
        <f aca="false">Z649</f>
        <v>6.5632</v>
      </c>
      <c r="Z655" s="30" t="n">
        <f aca="false">X655%*Y655</f>
        <v>0.32816</v>
      </c>
    </row>
    <row r="656" customFormat="false" ht="15" hidden="false" customHeight="false" outlineLevel="0" collapsed="false">
      <c r="Q656" s="62"/>
      <c r="R656" s="62"/>
      <c r="S656" s="62"/>
      <c r="T656" s="62"/>
      <c r="U656" s="62"/>
      <c r="V656" s="62"/>
      <c r="W656" s="62"/>
      <c r="X656" s="62"/>
      <c r="Y656" s="62"/>
      <c r="Z656" s="63" t="n">
        <f aca="false">SUM(Z655)</f>
        <v>0.32816</v>
      </c>
    </row>
    <row r="657" customFormat="false" ht="15" hidden="false" customHeight="false" outlineLevel="0" collapsed="false">
      <c r="V657" s="57"/>
      <c r="W657" s="58"/>
      <c r="X657" s="59"/>
      <c r="Y657" s="30"/>
      <c r="Z657" s="30"/>
    </row>
    <row r="658" customFormat="false" ht="15" hidden="false" customHeight="false" outlineLevel="0" collapsed="false">
      <c r="Q658" s="14" t="s">
        <v>276</v>
      </c>
      <c r="R658" s="14"/>
      <c r="S658" s="14" t="s">
        <v>448</v>
      </c>
      <c r="T658" s="14"/>
      <c r="U658" s="14"/>
      <c r="V658" s="14"/>
      <c r="W658" s="14"/>
      <c r="X658" s="14"/>
      <c r="Y658" s="14"/>
    </row>
    <row r="659" customFormat="false" ht="15" hidden="false" customHeight="false" outlineLevel="0" collapsed="false">
      <c r="Q659" s="14" t="s">
        <v>277</v>
      </c>
      <c r="R659" s="14" t="s">
        <v>278</v>
      </c>
      <c r="S659" s="38" t="s">
        <v>279</v>
      </c>
      <c r="T659" s="54" t="n">
        <v>100</v>
      </c>
      <c r="U659" s="38" t="s">
        <v>280</v>
      </c>
      <c r="V659" s="54" t="n">
        <f aca="false">T659</f>
        <v>100</v>
      </c>
      <c r="W659" s="14" t="s">
        <v>281</v>
      </c>
      <c r="Y659" s="38" t="s">
        <v>132</v>
      </c>
      <c r="Z659" s="55" t="n">
        <f aca="false">Z664+Z667+Z671</f>
        <v>8.03264</v>
      </c>
    </row>
    <row r="660" customFormat="false" ht="14.25" hidden="false" customHeight="true" outlineLevel="0" collapsed="false">
      <c r="Q660" s="14" t="s">
        <v>282</v>
      </c>
      <c r="R660" s="14" t="s">
        <v>283</v>
      </c>
      <c r="V660" s="38" t="s">
        <v>121</v>
      </c>
      <c r="W660" s="38" t="s">
        <v>284</v>
      </c>
      <c r="X660" s="38" t="s">
        <v>285</v>
      </c>
      <c r="Y660" s="38" t="s">
        <v>286</v>
      </c>
      <c r="Z660" s="38" t="s">
        <v>287</v>
      </c>
    </row>
    <row r="661" customFormat="false" ht="15" hidden="false" customHeight="false" outlineLevel="0" collapsed="false">
      <c r="R661" s="56" t="s">
        <v>288</v>
      </c>
    </row>
    <row r="662" customFormat="false" ht="15" hidden="false" customHeight="false" outlineLevel="0" collapsed="false">
      <c r="R662" s="1" t="s">
        <v>404</v>
      </c>
      <c r="V662" s="57" t="s">
        <v>290</v>
      </c>
      <c r="W662" s="58" t="n">
        <v>1</v>
      </c>
      <c r="X662" s="59" t="n">
        <f aca="false">W662*8/$T$659</f>
        <v>0.08</v>
      </c>
      <c r="Y662" s="30" t="n">
        <v>28.94</v>
      </c>
      <c r="Z662" s="30" t="n">
        <f aca="false">X662*Y662</f>
        <v>2.3152</v>
      </c>
    </row>
    <row r="663" customFormat="false" ht="15" hidden="false" customHeight="false" outlineLevel="0" collapsed="false">
      <c r="R663" s="1" t="s">
        <v>292</v>
      </c>
      <c r="V663" s="57" t="s">
        <v>290</v>
      </c>
      <c r="W663" s="58" t="n">
        <v>2</v>
      </c>
      <c r="X663" s="59" t="n">
        <f aca="false">W663*8/$T$659</f>
        <v>0.16</v>
      </c>
      <c r="Y663" s="30" t="n">
        <v>20.51</v>
      </c>
      <c r="Z663" s="30" t="n">
        <f aca="false">X663*Y663</f>
        <v>3.2816</v>
      </c>
    </row>
    <row r="664" customFormat="false" ht="15" hidden="false" customHeight="false" outlineLevel="0" collapsed="false">
      <c r="Z664" s="55" t="n">
        <f aca="false">SUM(Z662:Z663)</f>
        <v>5.5968</v>
      </c>
    </row>
    <row r="665" customFormat="false" ht="15" hidden="false" customHeight="false" outlineLevel="0" collapsed="false">
      <c r="R665" s="56" t="s">
        <v>293</v>
      </c>
    </row>
    <row r="666" customFormat="false" ht="15" hidden="false" customHeight="false" outlineLevel="0" collapsed="false">
      <c r="R666" s="1" t="s">
        <v>450</v>
      </c>
      <c r="V666" s="57" t="s">
        <v>437</v>
      </c>
      <c r="X666" s="59" t="n">
        <v>0.08</v>
      </c>
      <c r="Y666" s="1" t="n">
        <v>14.24</v>
      </c>
      <c r="Z666" s="30" t="n">
        <f aca="false">X666*Y666</f>
        <v>1.1392</v>
      </c>
    </row>
    <row r="667" customFormat="false" ht="15" hidden="false" customHeight="false" outlineLevel="0" collapsed="false">
      <c r="V667" s="57"/>
      <c r="X667" s="59"/>
      <c r="Y667" s="30"/>
      <c r="Z667" s="55" t="n">
        <f aca="false">SUM(Z666:Z666)</f>
        <v>1.1392</v>
      </c>
    </row>
    <row r="668" customFormat="false" ht="15" hidden="false" customHeight="false" outlineLevel="0" collapsed="false">
      <c r="R668" s="56" t="s">
        <v>308</v>
      </c>
    </row>
    <row r="669" customFormat="false" ht="15" hidden="false" customHeight="false" outlineLevel="0" collapsed="false">
      <c r="R669" s="1" t="s">
        <v>309</v>
      </c>
      <c r="V669" s="57" t="s">
        <v>310</v>
      </c>
      <c r="X669" s="59" t="n">
        <v>5</v>
      </c>
      <c r="Y669" s="30" t="n">
        <f aca="false">Z664</f>
        <v>5.5968</v>
      </c>
      <c r="Z669" s="30" t="n">
        <f aca="false">X669%*Y669</f>
        <v>0.27984</v>
      </c>
    </row>
    <row r="670" customFormat="false" ht="15" hidden="false" customHeight="false" outlineLevel="0" collapsed="false">
      <c r="R670" s="1" t="s">
        <v>451</v>
      </c>
      <c r="V670" s="57" t="s">
        <v>337</v>
      </c>
      <c r="W670" s="58" t="n">
        <v>1</v>
      </c>
      <c r="X670" s="59" t="n">
        <f aca="false">W670*8/$T$659</f>
        <v>0.08</v>
      </c>
      <c r="Y670" s="30" t="n">
        <v>12.71</v>
      </c>
      <c r="Z670" s="30" t="n">
        <f aca="false">X670*Y670</f>
        <v>1.0168</v>
      </c>
    </row>
    <row r="671" customFormat="false" ht="15" hidden="false" customHeight="false" outlineLevel="0" collapsed="false">
      <c r="Q671" s="62"/>
      <c r="R671" s="62"/>
      <c r="S671" s="62"/>
      <c r="T671" s="62"/>
      <c r="U671" s="62"/>
      <c r="V671" s="62"/>
      <c r="W671" s="62"/>
      <c r="X671" s="62"/>
      <c r="Y671" s="62"/>
      <c r="Z671" s="63" t="n">
        <f aca="false">SUM(Z669:Z670)</f>
        <v>1.29664</v>
      </c>
    </row>
    <row r="673" customFormat="false" ht="15" hidden="false" customHeight="false" outlineLevel="0" collapsed="false">
      <c r="Q673" s="14" t="s">
        <v>333</v>
      </c>
      <c r="R673" s="14"/>
      <c r="S673" s="14" t="s">
        <v>1270</v>
      </c>
      <c r="T673" s="14"/>
      <c r="U673" s="14"/>
      <c r="V673" s="14"/>
      <c r="W673" s="14"/>
      <c r="X673" s="14"/>
      <c r="Y673" s="14"/>
    </row>
    <row r="674" customFormat="false" ht="15" hidden="false" customHeight="false" outlineLevel="0" collapsed="false">
      <c r="Q674" s="14" t="s">
        <v>277</v>
      </c>
      <c r="R674" s="14" t="s">
        <v>278</v>
      </c>
      <c r="S674" s="38" t="s">
        <v>279</v>
      </c>
      <c r="T674" s="54" t="n">
        <v>90</v>
      </c>
      <c r="U674" s="38" t="s">
        <v>280</v>
      </c>
      <c r="V674" s="54" t="n">
        <f aca="false">T674</f>
        <v>90</v>
      </c>
      <c r="W674" s="14" t="s">
        <v>281</v>
      </c>
      <c r="Y674" s="38" t="s">
        <v>132</v>
      </c>
      <c r="Z674" s="55" t="n">
        <f aca="false">Z679+Z682</f>
        <v>4.61533333333333</v>
      </c>
    </row>
    <row r="675" customFormat="false" ht="15" hidden="false" customHeight="false" outlineLevel="0" collapsed="false">
      <c r="Q675" s="14" t="s">
        <v>282</v>
      </c>
      <c r="R675" s="14" t="s">
        <v>283</v>
      </c>
      <c r="V675" s="38" t="s">
        <v>121</v>
      </c>
      <c r="W675" s="38" t="s">
        <v>284</v>
      </c>
      <c r="X675" s="38" t="s">
        <v>285</v>
      </c>
      <c r="Y675" s="38" t="s">
        <v>286</v>
      </c>
      <c r="Z675" s="38" t="s">
        <v>287</v>
      </c>
    </row>
    <row r="676" customFormat="false" ht="15" hidden="false" customHeight="false" outlineLevel="0" collapsed="false">
      <c r="R676" s="56" t="s">
        <v>288</v>
      </c>
    </row>
    <row r="677" customFormat="false" ht="15" hidden="false" customHeight="false" outlineLevel="0" collapsed="false">
      <c r="R677" s="1" t="s">
        <v>289</v>
      </c>
      <c r="V677" s="57" t="s">
        <v>290</v>
      </c>
      <c r="W677" s="58" t="n">
        <v>1</v>
      </c>
      <c r="X677" s="59" t="n">
        <f aca="false">W677*8/$T$674</f>
        <v>0.0888888888888889</v>
      </c>
      <c r="Y677" s="30" t="n">
        <v>28.94</v>
      </c>
      <c r="Z677" s="30" t="n">
        <f aca="false">X677*Y677</f>
        <v>2.57244444444444</v>
      </c>
    </row>
    <row r="678" customFormat="false" ht="15" hidden="false" customHeight="false" outlineLevel="0" collapsed="false">
      <c r="R678" s="1" t="s">
        <v>292</v>
      </c>
      <c r="V678" s="57" t="s">
        <v>290</v>
      </c>
      <c r="W678" s="58" t="n">
        <v>1</v>
      </c>
      <c r="X678" s="59" t="n">
        <f aca="false">W678*8/$T$674</f>
        <v>0.0888888888888889</v>
      </c>
      <c r="Y678" s="30" t="n">
        <v>20.51</v>
      </c>
      <c r="Z678" s="30" t="n">
        <f aca="false">X678*Y678</f>
        <v>1.82311111111111</v>
      </c>
    </row>
    <row r="679" customFormat="false" ht="15" hidden="false" customHeight="false" outlineLevel="0" collapsed="false">
      <c r="Z679" s="55" t="n">
        <f aca="false">SUM(Z677:Z678)</f>
        <v>4.39555555555556</v>
      </c>
    </row>
    <row r="680" customFormat="false" ht="15" hidden="false" customHeight="false" outlineLevel="0" collapsed="false">
      <c r="R680" s="56" t="s">
        <v>317</v>
      </c>
    </row>
    <row r="681" customFormat="false" ht="15" hidden="false" customHeight="false" outlineLevel="0" collapsed="false">
      <c r="R681" s="1" t="s">
        <v>309</v>
      </c>
      <c r="V681" s="57" t="s">
        <v>310</v>
      </c>
      <c r="X681" s="59" t="n">
        <v>5</v>
      </c>
      <c r="Y681" s="30" t="n">
        <f aca="false">Z679</f>
        <v>4.39555555555556</v>
      </c>
      <c r="Z681" s="30" t="n">
        <f aca="false">X681%*Y681</f>
        <v>0.219777777777778</v>
      </c>
    </row>
    <row r="682" customFormat="false" ht="15" hidden="false" customHeight="false" outlineLevel="0" collapsed="false">
      <c r="Q682" s="62"/>
      <c r="R682" s="62"/>
      <c r="S682" s="62"/>
      <c r="T682" s="62"/>
      <c r="U682" s="62"/>
      <c r="V682" s="62"/>
      <c r="W682" s="62"/>
      <c r="X682" s="62"/>
      <c r="Y682" s="62"/>
      <c r="Z682" s="63" t="n">
        <f aca="false">SUM(Z681:Z681)</f>
        <v>0.219777777777778</v>
      </c>
    </row>
    <row r="684" customFormat="false" ht="15" hidden="false" customHeight="false" outlineLevel="0" collapsed="false">
      <c r="Q684" s="14" t="s">
        <v>333</v>
      </c>
      <c r="R684" s="14"/>
      <c r="S684" s="14" t="s">
        <v>1271</v>
      </c>
      <c r="T684" s="14"/>
      <c r="U684" s="14"/>
      <c r="V684" s="14"/>
      <c r="W684" s="14"/>
      <c r="X684" s="14"/>
      <c r="Y684" s="14"/>
    </row>
    <row r="685" customFormat="false" ht="15" hidden="false" customHeight="false" outlineLevel="0" collapsed="false">
      <c r="Q685" s="14" t="s">
        <v>277</v>
      </c>
      <c r="R685" s="14" t="s">
        <v>278</v>
      </c>
      <c r="S685" s="38" t="s">
        <v>279</v>
      </c>
      <c r="T685" s="54" t="n">
        <v>90</v>
      </c>
      <c r="U685" s="38" t="s">
        <v>280</v>
      </c>
      <c r="V685" s="54" t="n">
        <f aca="false">T685</f>
        <v>90</v>
      </c>
      <c r="W685" s="14" t="s">
        <v>281</v>
      </c>
      <c r="Y685" s="38" t="s">
        <v>132</v>
      </c>
      <c r="Z685" s="55" t="n">
        <f aca="false">Z690+Z693</f>
        <v>4.61533333333333</v>
      </c>
    </row>
    <row r="686" customFormat="false" ht="15" hidden="false" customHeight="false" outlineLevel="0" collapsed="false">
      <c r="Q686" s="14" t="s">
        <v>282</v>
      </c>
      <c r="R686" s="14" t="s">
        <v>283</v>
      </c>
      <c r="V686" s="38" t="s">
        <v>121</v>
      </c>
      <c r="W686" s="38" t="s">
        <v>284</v>
      </c>
      <c r="X686" s="38" t="s">
        <v>285</v>
      </c>
      <c r="Y686" s="38" t="s">
        <v>286</v>
      </c>
      <c r="Z686" s="38" t="s">
        <v>287</v>
      </c>
    </row>
    <row r="687" customFormat="false" ht="15" hidden="false" customHeight="false" outlineLevel="0" collapsed="false">
      <c r="R687" s="56" t="s">
        <v>288</v>
      </c>
    </row>
    <row r="688" customFormat="false" ht="15" hidden="false" customHeight="false" outlineLevel="0" collapsed="false">
      <c r="R688" s="1" t="s">
        <v>289</v>
      </c>
      <c r="V688" s="57" t="s">
        <v>290</v>
      </c>
      <c r="W688" s="58" t="n">
        <v>1</v>
      </c>
      <c r="X688" s="59" t="n">
        <f aca="false">W688*8/$T$685</f>
        <v>0.0888888888888889</v>
      </c>
      <c r="Y688" s="30" t="n">
        <v>28.94</v>
      </c>
      <c r="Z688" s="30" t="n">
        <f aca="false">X688*Y688</f>
        <v>2.57244444444444</v>
      </c>
    </row>
    <row r="689" customFormat="false" ht="15" hidden="false" customHeight="false" outlineLevel="0" collapsed="false">
      <c r="R689" s="1" t="s">
        <v>292</v>
      </c>
      <c r="V689" s="57" t="s">
        <v>290</v>
      </c>
      <c r="W689" s="58" t="n">
        <v>1</v>
      </c>
      <c r="X689" s="59" t="n">
        <f aca="false">W689*8/$T$685</f>
        <v>0.0888888888888889</v>
      </c>
      <c r="Y689" s="30" t="n">
        <v>20.51</v>
      </c>
      <c r="Z689" s="30" t="n">
        <f aca="false">X689*Y689</f>
        <v>1.82311111111111</v>
      </c>
    </row>
    <row r="690" customFormat="false" ht="15" hidden="false" customHeight="false" outlineLevel="0" collapsed="false">
      <c r="Z690" s="55" t="n">
        <f aca="false">SUM(Z688:Z689)</f>
        <v>4.39555555555556</v>
      </c>
    </row>
    <row r="691" customFormat="false" ht="15" hidden="false" customHeight="false" outlineLevel="0" collapsed="false">
      <c r="R691" s="56" t="s">
        <v>317</v>
      </c>
    </row>
    <row r="692" customFormat="false" ht="15" hidden="false" customHeight="false" outlineLevel="0" collapsed="false">
      <c r="R692" s="1" t="s">
        <v>309</v>
      </c>
      <c r="V692" s="57" t="s">
        <v>310</v>
      </c>
      <c r="X692" s="59" t="n">
        <v>5</v>
      </c>
      <c r="Y692" s="30" t="n">
        <f aca="false">Z690</f>
        <v>4.39555555555556</v>
      </c>
      <c r="Z692" s="30" t="n">
        <f aca="false">X692%*Y692</f>
        <v>0.219777777777778</v>
      </c>
    </row>
    <row r="693" customFormat="false" ht="15" hidden="false" customHeight="false" outlineLevel="0" collapsed="false">
      <c r="Q693" s="62"/>
      <c r="R693" s="62"/>
      <c r="S693" s="62"/>
      <c r="T693" s="62"/>
      <c r="U693" s="62"/>
      <c r="V693" s="62"/>
      <c r="W693" s="62"/>
      <c r="X693" s="62"/>
      <c r="Y693" s="62"/>
      <c r="Z693" s="63" t="n">
        <f aca="false">SUM(Z692:Z692)</f>
        <v>0.219777777777778</v>
      </c>
    </row>
    <row r="695" customFormat="false" ht="15" hidden="false" customHeight="false" outlineLevel="0" collapsed="false">
      <c r="Q695" s="14" t="s">
        <v>333</v>
      </c>
      <c r="R695" s="14"/>
      <c r="S695" s="14" t="s">
        <v>1272</v>
      </c>
      <c r="T695" s="14"/>
      <c r="U695" s="14"/>
      <c r="V695" s="14"/>
      <c r="W695" s="14"/>
      <c r="X695" s="14"/>
      <c r="Y695" s="14"/>
    </row>
    <row r="696" customFormat="false" ht="15" hidden="false" customHeight="false" outlineLevel="0" collapsed="false">
      <c r="Q696" s="14" t="s">
        <v>277</v>
      </c>
      <c r="R696" s="14" t="s">
        <v>278</v>
      </c>
      <c r="S696" s="38" t="s">
        <v>279</v>
      </c>
      <c r="T696" s="54" t="n">
        <v>70</v>
      </c>
      <c r="U696" s="38" t="s">
        <v>280</v>
      </c>
      <c r="V696" s="54" t="n">
        <f aca="false">T696</f>
        <v>70</v>
      </c>
      <c r="W696" s="14" t="s">
        <v>281</v>
      </c>
      <c r="Y696" s="38" t="s">
        <v>132</v>
      </c>
      <c r="Z696" s="55" t="n">
        <f aca="false">Z702+Z705</f>
        <v>7.4226</v>
      </c>
    </row>
    <row r="697" customFormat="false" ht="15" hidden="false" customHeight="false" outlineLevel="0" collapsed="false">
      <c r="Q697" s="14" t="s">
        <v>282</v>
      </c>
      <c r="R697" s="14" t="s">
        <v>283</v>
      </c>
      <c r="V697" s="38" t="s">
        <v>121</v>
      </c>
      <c r="W697" s="38" t="s">
        <v>284</v>
      </c>
      <c r="X697" s="38" t="s">
        <v>285</v>
      </c>
      <c r="Y697" s="38" t="s">
        <v>286</v>
      </c>
      <c r="Z697" s="38" t="s">
        <v>287</v>
      </c>
    </row>
    <row r="698" customFormat="false" ht="15" hidden="false" customHeight="false" outlineLevel="0" collapsed="false">
      <c r="R698" s="56" t="s">
        <v>288</v>
      </c>
    </row>
    <row r="699" customFormat="false" ht="15" hidden="false" customHeight="false" outlineLevel="0" collapsed="false">
      <c r="R699" s="1" t="s">
        <v>289</v>
      </c>
      <c r="V699" s="57" t="s">
        <v>290</v>
      </c>
      <c r="W699" s="58" t="n">
        <v>1</v>
      </c>
      <c r="X699" s="59" t="n">
        <f aca="false">W699*8/$T$696</f>
        <v>0.114285714285714</v>
      </c>
      <c r="Y699" s="30" t="n">
        <v>28.94</v>
      </c>
      <c r="Z699" s="30" t="n">
        <f aca="false">X699*Y699</f>
        <v>3.30742857142857</v>
      </c>
    </row>
    <row r="700" customFormat="false" ht="15" hidden="false" customHeight="false" outlineLevel="0" collapsed="false">
      <c r="R700" s="1" t="s">
        <v>291</v>
      </c>
      <c r="V700" s="57" t="s">
        <v>290</v>
      </c>
      <c r="W700" s="58" t="n">
        <v>1</v>
      </c>
      <c r="X700" s="59" t="n">
        <f aca="false">W700*8/$T$696</f>
        <v>0.114285714285714</v>
      </c>
      <c r="Y700" s="30" t="n">
        <v>22.66</v>
      </c>
      <c r="Z700" s="30" t="n">
        <f aca="false">X700*Y700</f>
        <v>2.58971428571429</v>
      </c>
    </row>
    <row r="701" customFormat="false" ht="15" hidden="false" customHeight="false" outlineLevel="0" collapsed="false">
      <c r="R701" s="1" t="s">
        <v>292</v>
      </c>
      <c r="V701" s="57" t="s">
        <v>290</v>
      </c>
      <c r="W701" s="58" t="n">
        <v>0.5</v>
      </c>
      <c r="X701" s="59" t="n">
        <f aca="false">W701*8/$T$696</f>
        <v>0.0571428571428571</v>
      </c>
      <c r="Y701" s="30" t="n">
        <v>20.51</v>
      </c>
      <c r="Z701" s="30" t="n">
        <f aca="false">X701*Y701</f>
        <v>1.172</v>
      </c>
    </row>
    <row r="702" customFormat="false" ht="15" hidden="false" customHeight="false" outlineLevel="0" collapsed="false">
      <c r="Z702" s="55" t="n">
        <f aca="false">SUM(Z699:Z701)</f>
        <v>7.06914285714286</v>
      </c>
    </row>
    <row r="703" customFormat="false" ht="15" hidden="false" customHeight="false" outlineLevel="0" collapsed="false">
      <c r="R703" s="56" t="s">
        <v>317</v>
      </c>
    </row>
    <row r="704" customFormat="false" ht="15" hidden="false" customHeight="false" outlineLevel="0" collapsed="false">
      <c r="R704" s="1" t="s">
        <v>309</v>
      </c>
      <c r="V704" s="57" t="s">
        <v>310</v>
      </c>
      <c r="X704" s="59" t="n">
        <v>5</v>
      </c>
      <c r="Y704" s="30" t="n">
        <f aca="false">Z702</f>
        <v>7.06914285714286</v>
      </c>
      <c r="Z704" s="30" t="n">
        <f aca="false">X704%*Y704</f>
        <v>0.353457142857143</v>
      </c>
    </row>
    <row r="705" customFormat="false" ht="15" hidden="false" customHeight="false" outlineLevel="0" collapsed="false">
      <c r="Q705" s="62"/>
      <c r="R705" s="62"/>
      <c r="S705" s="62"/>
      <c r="T705" s="62"/>
      <c r="U705" s="62"/>
      <c r="V705" s="62"/>
      <c r="W705" s="62"/>
      <c r="X705" s="62"/>
      <c r="Y705" s="62"/>
      <c r="Z705" s="63" t="n">
        <f aca="false">SUM(Z704:Z704)</f>
        <v>0.353457142857143</v>
      </c>
    </row>
    <row r="707" customFormat="false" ht="15" hidden="false" customHeight="false" outlineLevel="0" collapsed="false">
      <c r="Q707" s="14" t="s">
        <v>333</v>
      </c>
      <c r="R707" s="14"/>
      <c r="S707" s="14" t="s">
        <v>1273</v>
      </c>
      <c r="T707" s="14"/>
      <c r="U707" s="14"/>
      <c r="V707" s="14"/>
      <c r="W707" s="14"/>
      <c r="X707" s="14"/>
      <c r="Y707" s="14"/>
    </row>
    <row r="708" customFormat="false" ht="15" hidden="false" customHeight="false" outlineLevel="0" collapsed="false">
      <c r="Q708" s="14" t="s">
        <v>277</v>
      </c>
      <c r="R708" s="14" t="s">
        <v>278</v>
      </c>
      <c r="S708" s="38" t="s">
        <v>279</v>
      </c>
      <c r="T708" s="54" t="n">
        <v>65</v>
      </c>
      <c r="U708" s="38" t="s">
        <v>280</v>
      </c>
      <c r="V708" s="54" t="n">
        <f aca="false">T708</f>
        <v>65</v>
      </c>
      <c r="W708" s="14" t="s">
        <v>281</v>
      </c>
      <c r="Y708" s="38" t="s">
        <v>132</v>
      </c>
      <c r="Z708" s="55" t="n">
        <f aca="false">Z713+Z717</f>
        <v>9.54436923076923</v>
      </c>
    </row>
    <row r="709" customFormat="false" ht="15" hidden="false" customHeight="false" outlineLevel="0" collapsed="false">
      <c r="Q709" s="14" t="s">
        <v>282</v>
      </c>
      <c r="R709" s="14" t="s">
        <v>283</v>
      </c>
      <c r="V709" s="38" t="s">
        <v>121</v>
      </c>
      <c r="W709" s="38" t="s">
        <v>284</v>
      </c>
      <c r="X709" s="38" t="s">
        <v>285</v>
      </c>
      <c r="Y709" s="38" t="s">
        <v>286</v>
      </c>
      <c r="Z709" s="38" t="s">
        <v>287</v>
      </c>
    </row>
    <row r="710" customFormat="false" ht="15" hidden="false" customHeight="false" outlineLevel="0" collapsed="false">
      <c r="R710" s="56" t="s">
        <v>288</v>
      </c>
    </row>
    <row r="711" customFormat="false" ht="15" hidden="false" customHeight="false" outlineLevel="0" collapsed="false">
      <c r="R711" s="1" t="s">
        <v>289</v>
      </c>
      <c r="V711" s="57" t="s">
        <v>290</v>
      </c>
      <c r="W711" s="58" t="n">
        <v>1</v>
      </c>
      <c r="X711" s="59" t="n">
        <f aca="false">W711*8/$T$708</f>
        <v>0.123076923076923</v>
      </c>
      <c r="Y711" s="30" t="n">
        <v>28.94</v>
      </c>
      <c r="Z711" s="30" t="n">
        <f aca="false">X711*Y711</f>
        <v>3.56184615384615</v>
      </c>
    </row>
    <row r="712" customFormat="false" ht="15" hidden="false" customHeight="false" outlineLevel="0" collapsed="false">
      <c r="R712" s="1" t="s">
        <v>292</v>
      </c>
      <c r="V712" s="57" t="s">
        <v>290</v>
      </c>
      <c r="W712" s="58" t="n">
        <v>2</v>
      </c>
      <c r="X712" s="59" t="n">
        <f aca="false">W712*8/$T$708</f>
        <v>0.246153846153846</v>
      </c>
      <c r="Y712" s="30" t="n">
        <v>20.51</v>
      </c>
      <c r="Z712" s="30" t="n">
        <f aca="false">X712*Y712</f>
        <v>5.04861538461539</v>
      </c>
    </row>
    <row r="713" customFormat="false" ht="15" hidden="false" customHeight="false" outlineLevel="0" collapsed="false">
      <c r="Z713" s="55" t="n">
        <f aca="false">SUM(Z711:Z712)</f>
        <v>8.61046153846154</v>
      </c>
    </row>
    <row r="714" customFormat="false" ht="15" hidden="false" customHeight="false" outlineLevel="0" collapsed="false">
      <c r="R714" s="56" t="s">
        <v>317</v>
      </c>
    </row>
    <row r="715" customFormat="false" ht="15" hidden="false" customHeight="false" outlineLevel="0" collapsed="false">
      <c r="R715" s="1" t="s">
        <v>309</v>
      </c>
      <c r="V715" s="57" t="s">
        <v>310</v>
      </c>
      <c r="X715" s="59" t="n">
        <v>5</v>
      </c>
      <c r="Y715" s="30" t="n">
        <f aca="false">Z713</f>
        <v>8.61046153846154</v>
      </c>
      <c r="Z715" s="30" t="n">
        <f aca="false">X715%*Y715</f>
        <v>0.430523076923077</v>
      </c>
    </row>
    <row r="716" customFormat="false" ht="15" hidden="false" customHeight="false" outlineLevel="0" collapsed="false">
      <c r="R716" s="1" t="s">
        <v>1274</v>
      </c>
      <c r="V716" s="57" t="s">
        <v>337</v>
      </c>
      <c r="W716" s="58" t="n">
        <v>1</v>
      </c>
      <c r="X716" s="59" t="n">
        <f aca="false">W716*8/$T$708</f>
        <v>0.123076923076923</v>
      </c>
      <c r="Y716" s="30" t="n">
        <v>4.09</v>
      </c>
      <c r="Z716" s="30" t="n">
        <f aca="false">X716*Y716</f>
        <v>0.503384615384615</v>
      </c>
    </row>
    <row r="717" customFormat="false" ht="15" hidden="false" customHeight="false" outlineLevel="0" collapsed="false">
      <c r="Q717" s="62"/>
      <c r="R717" s="62"/>
      <c r="S717" s="62"/>
      <c r="T717" s="62"/>
      <c r="U717" s="62"/>
      <c r="V717" s="62"/>
      <c r="W717" s="62"/>
      <c r="X717" s="62"/>
      <c r="Y717" s="62"/>
      <c r="Z717" s="63" t="n">
        <f aca="false">SUM(Z715:Z716)</f>
        <v>0.933907692307692</v>
      </c>
    </row>
    <row r="719" customFormat="false" ht="15" hidden="false" customHeight="false" outlineLevel="0" collapsed="false">
      <c r="Q719" s="14" t="s">
        <v>333</v>
      </c>
      <c r="R719" s="14"/>
      <c r="S719" s="14" t="s">
        <v>1275</v>
      </c>
      <c r="T719" s="14"/>
      <c r="U719" s="14"/>
      <c r="V719" s="14"/>
      <c r="W719" s="14"/>
      <c r="X719" s="14"/>
      <c r="Y719" s="14"/>
    </row>
    <row r="720" customFormat="false" ht="15" hidden="false" customHeight="false" outlineLevel="0" collapsed="false">
      <c r="Q720" s="14" t="s">
        <v>277</v>
      </c>
      <c r="R720" s="14" t="s">
        <v>325</v>
      </c>
      <c r="S720" s="38" t="s">
        <v>279</v>
      </c>
      <c r="T720" s="54" t="n">
        <v>15</v>
      </c>
      <c r="U720" s="38" t="s">
        <v>280</v>
      </c>
      <c r="V720" s="54" t="n">
        <f aca="false">T720</f>
        <v>15</v>
      </c>
      <c r="W720" s="14" t="s">
        <v>281</v>
      </c>
      <c r="Y720" s="38" t="s">
        <v>148</v>
      </c>
      <c r="Z720" s="55" t="n">
        <f aca="false">Z725+Z728</f>
        <v>27.692</v>
      </c>
    </row>
    <row r="721" customFormat="false" ht="15" hidden="false" customHeight="false" outlineLevel="0" collapsed="false">
      <c r="Q721" s="14" t="s">
        <v>282</v>
      </c>
      <c r="R721" s="14" t="s">
        <v>283</v>
      </c>
      <c r="V721" s="38" t="s">
        <v>121</v>
      </c>
      <c r="W721" s="38" t="s">
        <v>284</v>
      </c>
      <c r="X721" s="38" t="s">
        <v>285</v>
      </c>
      <c r="Y721" s="38" t="s">
        <v>286</v>
      </c>
      <c r="Z721" s="38" t="s">
        <v>287</v>
      </c>
    </row>
    <row r="722" customFormat="false" ht="15" hidden="false" customHeight="false" outlineLevel="0" collapsed="false">
      <c r="R722" s="56" t="s">
        <v>288</v>
      </c>
    </row>
    <row r="723" customFormat="false" ht="15" hidden="false" customHeight="false" outlineLevel="0" collapsed="false">
      <c r="R723" s="1" t="s">
        <v>289</v>
      </c>
      <c r="V723" s="57" t="s">
        <v>290</v>
      </c>
      <c r="W723" s="58" t="n">
        <v>1</v>
      </c>
      <c r="X723" s="59" t="n">
        <f aca="false">W723*8/$T$720</f>
        <v>0.533333333333333</v>
      </c>
      <c r="Y723" s="30" t="n">
        <v>28.94</v>
      </c>
      <c r="Z723" s="30" t="n">
        <f aca="false">X723*Y723</f>
        <v>15.4346666666667</v>
      </c>
    </row>
    <row r="724" customFormat="false" ht="15" hidden="false" customHeight="false" outlineLevel="0" collapsed="false">
      <c r="R724" s="1" t="s">
        <v>292</v>
      </c>
      <c r="V724" s="57" t="s">
        <v>290</v>
      </c>
      <c r="W724" s="58" t="n">
        <v>1</v>
      </c>
      <c r="X724" s="59" t="n">
        <f aca="false">W724*8/$T$720</f>
        <v>0.533333333333333</v>
      </c>
      <c r="Y724" s="30" t="n">
        <v>20.51</v>
      </c>
      <c r="Z724" s="30" t="n">
        <f aca="false">X724*Y724</f>
        <v>10.9386666666667</v>
      </c>
    </row>
    <row r="725" customFormat="false" ht="15" hidden="false" customHeight="false" outlineLevel="0" collapsed="false">
      <c r="Z725" s="55" t="n">
        <f aca="false">SUM(Z723:Z724)</f>
        <v>26.3733333333333</v>
      </c>
    </row>
    <row r="726" customFormat="false" ht="15" hidden="false" customHeight="false" outlineLevel="0" collapsed="false">
      <c r="R726" s="56" t="s">
        <v>317</v>
      </c>
    </row>
    <row r="727" customFormat="false" ht="15" hidden="false" customHeight="false" outlineLevel="0" collapsed="false">
      <c r="R727" s="1" t="s">
        <v>309</v>
      </c>
      <c r="V727" s="57" t="s">
        <v>310</v>
      </c>
      <c r="X727" s="59" t="n">
        <v>5</v>
      </c>
      <c r="Y727" s="30" t="n">
        <f aca="false">Z725</f>
        <v>26.3733333333333</v>
      </c>
      <c r="Z727" s="30" t="n">
        <f aca="false">X727%*Y727</f>
        <v>1.31866666666667</v>
      </c>
    </row>
    <row r="728" customFormat="false" ht="15" hidden="false" customHeight="false" outlineLevel="0" collapsed="false">
      <c r="Q728" s="62"/>
      <c r="R728" s="62"/>
      <c r="S728" s="62"/>
      <c r="T728" s="62"/>
      <c r="U728" s="62"/>
      <c r="V728" s="62"/>
      <c r="W728" s="62"/>
      <c r="X728" s="62"/>
      <c r="Y728" s="62"/>
      <c r="Z728" s="63" t="n">
        <f aca="false">SUM(Z727:Z727)</f>
        <v>1.31866666666667</v>
      </c>
    </row>
    <row r="730" customFormat="false" ht="15" hidden="false" customHeight="false" outlineLevel="0" collapsed="false">
      <c r="Q730" s="14" t="s">
        <v>333</v>
      </c>
      <c r="R730" s="14"/>
      <c r="S730" s="14" t="s">
        <v>1276</v>
      </c>
      <c r="T730" s="14"/>
      <c r="U730" s="14"/>
      <c r="V730" s="14"/>
      <c r="W730" s="14"/>
      <c r="X730" s="14"/>
      <c r="Y730" s="14"/>
    </row>
    <row r="731" customFormat="false" ht="15" hidden="false" customHeight="false" outlineLevel="0" collapsed="false">
      <c r="Q731" s="14" t="s">
        <v>277</v>
      </c>
      <c r="R731" s="14" t="s">
        <v>325</v>
      </c>
      <c r="S731" s="38" t="s">
        <v>279</v>
      </c>
      <c r="T731" s="54" t="n">
        <v>15</v>
      </c>
      <c r="U731" s="38" t="s">
        <v>280</v>
      </c>
      <c r="V731" s="54" t="n">
        <f aca="false">T731</f>
        <v>15</v>
      </c>
      <c r="W731" s="14" t="s">
        <v>281</v>
      </c>
      <c r="Y731" s="38" t="s">
        <v>148</v>
      </c>
      <c r="Z731" s="55" t="n">
        <f aca="false">Z736+Z739</f>
        <v>27.692</v>
      </c>
    </row>
    <row r="732" customFormat="false" ht="15" hidden="false" customHeight="false" outlineLevel="0" collapsed="false">
      <c r="Q732" s="14" t="s">
        <v>282</v>
      </c>
      <c r="R732" s="14" t="s">
        <v>283</v>
      </c>
      <c r="V732" s="38" t="s">
        <v>121</v>
      </c>
      <c r="W732" s="38" t="s">
        <v>284</v>
      </c>
      <c r="X732" s="38" t="s">
        <v>285</v>
      </c>
      <c r="Y732" s="38" t="s">
        <v>286</v>
      </c>
      <c r="Z732" s="38" t="s">
        <v>287</v>
      </c>
    </row>
    <row r="733" customFormat="false" ht="15" hidden="false" customHeight="false" outlineLevel="0" collapsed="false">
      <c r="R733" s="56" t="s">
        <v>288</v>
      </c>
    </row>
    <row r="734" customFormat="false" ht="15" hidden="false" customHeight="false" outlineLevel="0" collapsed="false">
      <c r="R734" s="1" t="s">
        <v>289</v>
      </c>
      <c r="V734" s="57" t="s">
        <v>290</v>
      </c>
      <c r="W734" s="58" t="n">
        <v>1</v>
      </c>
      <c r="X734" s="59" t="n">
        <f aca="false">W734*8/$T$731</f>
        <v>0.533333333333333</v>
      </c>
      <c r="Y734" s="30" t="n">
        <v>28.94</v>
      </c>
      <c r="Z734" s="30" t="n">
        <f aca="false">X734*Y734</f>
        <v>15.4346666666667</v>
      </c>
    </row>
    <row r="735" customFormat="false" ht="15" hidden="false" customHeight="false" outlineLevel="0" collapsed="false">
      <c r="R735" s="1" t="s">
        <v>292</v>
      </c>
      <c r="V735" s="57" t="s">
        <v>290</v>
      </c>
      <c r="W735" s="58" t="n">
        <v>1</v>
      </c>
      <c r="X735" s="59" t="n">
        <f aca="false">W735*8/$T$731</f>
        <v>0.533333333333333</v>
      </c>
      <c r="Y735" s="30" t="n">
        <v>20.51</v>
      </c>
      <c r="Z735" s="30" t="n">
        <f aca="false">X735*Y735</f>
        <v>10.9386666666667</v>
      </c>
    </row>
    <row r="736" customFormat="false" ht="15" hidden="false" customHeight="false" outlineLevel="0" collapsed="false">
      <c r="Z736" s="55" t="n">
        <f aca="false">SUM(Z734:Z735)</f>
        <v>26.3733333333333</v>
      </c>
    </row>
    <row r="737" customFormat="false" ht="15" hidden="false" customHeight="false" outlineLevel="0" collapsed="false">
      <c r="R737" s="56" t="s">
        <v>317</v>
      </c>
    </row>
    <row r="738" customFormat="false" ht="15" hidden="false" customHeight="false" outlineLevel="0" collapsed="false">
      <c r="R738" s="1" t="s">
        <v>309</v>
      </c>
      <c r="V738" s="57" t="s">
        <v>310</v>
      </c>
      <c r="X738" s="59" t="n">
        <v>5</v>
      </c>
      <c r="Y738" s="30" t="n">
        <f aca="false">Z736</f>
        <v>26.3733333333333</v>
      </c>
      <c r="Z738" s="30" t="n">
        <f aca="false">X738%*Y738</f>
        <v>1.31866666666667</v>
      </c>
    </row>
    <row r="739" customFormat="false" ht="15" hidden="false" customHeight="false" outlineLevel="0" collapsed="false">
      <c r="Q739" s="62"/>
      <c r="R739" s="62"/>
      <c r="S739" s="62"/>
      <c r="T739" s="62"/>
      <c r="U739" s="62"/>
      <c r="V739" s="62"/>
      <c r="W739" s="62"/>
      <c r="X739" s="62"/>
      <c r="Y739" s="62"/>
      <c r="Z739" s="63" t="n">
        <f aca="false">SUM(Z738:Z738)</f>
        <v>1.31866666666667</v>
      </c>
    </row>
    <row r="741" customFormat="false" ht="15" hidden="false" customHeight="false" outlineLevel="0" collapsed="false">
      <c r="Q741" s="14" t="s">
        <v>333</v>
      </c>
      <c r="R741" s="14"/>
      <c r="S741" s="14" t="s">
        <v>1277</v>
      </c>
      <c r="T741" s="14"/>
      <c r="U741" s="14"/>
      <c r="V741" s="14"/>
      <c r="W741" s="14"/>
      <c r="X741" s="14"/>
      <c r="Y741" s="14"/>
    </row>
    <row r="742" customFormat="false" ht="15" hidden="false" customHeight="false" outlineLevel="0" collapsed="false">
      <c r="Q742" s="14" t="s">
        <v>277</v>
      </c>
      <c r="R742" s="14" t="s">
        <v>278</v>
      </c>
      <c r="S742" s="38" t="s">
        <v>279</v>
      </c>
      <c r="T742" s="54" t="n">
        <v>90</v>
      </c>
      <c r="U742" s="38" t="s">
        <v>280</v>
      </c>
      <c r="V742" s="54" t="n">
        <f aca="false">T742</f>
        <v>90</v>
      </c>
      <c r="W742" s="14" t="s">
        <v>281</v>
      </c>
      <c r="Y742" s="38" t="s">
        <v>132</v>
      </c>
      <c r="Z742" s="55" t="n">
        <f aca="false">Z747+Z751</f>
        <v>4.97888888888889</v>
      </c>
    </row>
    <row r="743" customFormat="false" ht="15" hidden="false" customHeight="false" outlineLevel="0" collapsed="false">
      <c r="Q743" s="14" t="s">
        <v>282</v>
      </c>
      <c r="R743" s="14" t="s">
        <v>283</v>
      </c>
      <c r="V743" s="38" t="s">
        <v>121</v>
      </c>
      <c r="W743" s="38" t="s">
        <v>284</v>
      </c>
      <c r="X743" s="38" t="s">
        <v>285</v>
      </c>
      <c r="Y743" s="38" t="s">
        <v>286</v>
      </c>
      <c r="Z743" s="38" t="s">
        <v>287</v>
      </c>
    </row>
    <row r="744" customFormat="false" ht="15" hidden="false" customHeight="false" outlineLevel="0" collapsed="false">
      <c r="R744" s="56" t="s">
        <v>288</v>
      </c>
    </row>
    <row r="745" customFormat="false" ht="15" hidden="false" customHeight="false" outlineLevel="0" collapsed="false">
      <c r="R745" s="1" t="s">
        <v>289</v>
      </c>
      <c r="V745" s="57" t="s">
        <v>290</v>
      </c>
      <c r="W745" s="58" t="n">
        <v>1</v>
      </c>
      <c r="X745" s="59" t="n">
        <f aca="false">W745*8/$T$742</f>
        <v>0.0888888888888889</v>
      </c>
      <c r="Y745" s="30" t="n">
        <v>28.94</v>
      </c>
      <c r="Z745" s="30" t="n">
        <f aca="false">X745*Y745</f>
        <v>2.57244444444444</v>
      </c>
    </row>
    <row r="746" customFormat="false" ht="15" hidden="false" customHeight="false" outlineLevel="0" collapsed="false">
      <c r="R746" s="1" t="s">
        <v>292</v>
      </c>
      <c r="V746" s="57" t="s">
        <v>290</v>
      </c>
      <c r="W746" s="58" t="n">
        <v>1</v>
      </c>
      <c r="X746" s="59" t="n">
        <f aca="false">W746*8/$T$742</f>
        <v>0.0888888888888889</v>
      </c>
      <c r="Y746" s="30" t="n">
        <v>20.51</v>
      </c>
      <c r="Z746" s="30" t="n">
        <f aca="false">X746*Y746</f>
        <v>1.82311111111111</v>
      </c>
    </row>
    <row r="747" customFormat="false" ht="15" hidden="false" customHeight="false" outlineLevel="0" collapsed="false">
      <c r="Z747" s="55" t="n">
        <f aca="false">SUM(Z745:Z746)</f>
        <v>4.39555555555556</v>
      </c>
    </row>
    <row r="748" customFormat="false" ht="15" hidden="false" customHeight="false" outlineLevel="0" collapsed="false">
      <c r="R748" s="56" t="s">
        <v>317</v>
      </c>
    </row>
    <row r="749" customFormat="false" ht="15" hidden="false" customHeight="false" outlineLevel="0" collapsed="false">
      <c r="R749" s="1" t="s">
        <v>309</v>
      </c>
      <c r="V749" s="57" t="s">
        <v>310</v>
      </c>
      <c r="X749" s="59" t="n">
        <v>5</v>
      </c>
      <c r="Y749" s="30" t="n">
        <f aca="false">Z747</f>
        <v>4.39555555555556</v>
      </c>
      <c r="Z749" s="30" t="n">
        <f aca="false">X749%*Y749</f>
        <v>0.219777777777778</v>
      </c>
    </row>
    <row r="750" customFormat="false" ht="15" hidden="false" customHeight="false" outlineLevel="0" collapsed="false">
      <c r="R750" s="1" t="s">
        <v>1274</v>
      </c>
      <c r="V750" s="57" t="s">
        <v>337</v>
      </c>
      <c r="W750" s="58" t="n">
        <v>1</v>
      </c>
      <c r="X750" s="59" t="n">
        <f aca="false">W750*8/$T$742</f>
        <v>0.0888888888888889</v>
      </c>
      <c r="Y750" s="30" t="n">
        <v>4.09</v>
      </c>
      <c r="Z750" s="30" t="n">
        <f aca="false">X750*Y750</f>
        <v>0.363555555555556</v>
      </c>
    </row>
    <row r="751" customFormat="false" ht="15" hidden="false" customHeight="false" outlineLevel="0" collapsed="false">
      <c r="Q751" s="62"/>
      <c r="R751" s="62"/>
      <c r="S751" s="62"/>
      <c r="T751" s="62"/>
      <c r="U751" s="62"/>
      <c r="V751" s="62"/>
      <c r="W751" s="62"/>
      <c r="X751" s="62"/>
      <c r="Y751" s="62"/>
      <c r="Z751" s="63" t="n">
        <f aca="false">SUM(Z749:Z750)</f>
        <v>0.583333333333333</v>
      </c>
    </row>
    <row r="753" customFormat="false" ht="15" hidden="false" customHeight="false" outlineLevel="0" collapsed="false">
      <c r="Q753" s="14" t="s">
        <v>333</v>
      </c>
      <c r="R753" s="14"/>
      <c r="S753" s="14" t="s">
        <v>1278</v>
      </c>
      <c r="T753" s="14"/>
      <c r="U753" s="14"/>
      <c r="V753" s="14"/>
      <c r="W753" s="14"/>
      <c r="X753" s="14"/>
      <c r="Y753" s="14"/>
    </row>
    <row r="754" customFormat="false" ht="15" hidden="false" customHeight="false" outlineLevel="0" collapsed="false">
      <c r="Q754" s="14" t="s">
        <v>277</v>
      </c>
      <c r="R754" s="14" t="s">
        <v>278</v>
      </c>
      <c r="S754" s="38" t="s">
        <v>279</v>
      </c>
      <c r="T754" s="54" t="n">
        <v>75</v>
      </c>
      <c r="U754" s="38" t="s">
        <v>280</v>
      </c>
      <c r="V754" s="54" t="n">
        <f aca="false">T754</f>
        <v>75</v>
      </c>
      <c r="W754" s="14" t="s">
        <v>281</v>
      </c>
      <c r="Y754" s="38" t="s">
        <v>132</v>
      </c>
      <c r="Z754" s="55" t="n">
        <f aca="false">Z759+Z762</f>
        <v>5.5384</v>
      </c>
    </row>
    <row r="755" customFormat="false" ht="15" hidden="false" customHeight="false" outlineLevel="0" collapsed="false">
      <c r="Q755" s="14" t="s">
        <v>282</v>
      </c>
      <c r="R755" s="14" t="s">
        <v>283</v>
      </c>
      <c r="V755" s="38" t="s">
        <v>121</v>
      </c>
      <c r="W755" s="38" t="s">
        <v>284</v>
      </c>
      <c r="X755" s="38" t="s">
        <v>285</v>
      </c>
      <c r="Y755" s="38" t="s">
        <v>286</v>
      </c>
      <c r="Z755" s="38" t="s">
        <v>287</v>
      </c>
    </row>
    <row r="756" customFormat="false" ht="15" hidden="false" customHeight="false" outlineLevel="0" collapsed="false">
      <c r="R756" s="56" t="s">
        <v>288</v>
      </c>
    </row>
    <row r="757" customFormat="false" ht="15" hidden="false" customHeight="false" outlineLevel="0" collapsed="false">
      <c r="R757" s="1" t="s">
        <v>289</v>
      </c>
      <c r="V757" s="57" t="s">
        <v>290</v>
      </c>
      <c r="W757" s="58" t="n">
        <v>1</v>
      </c>
      <c r="X757" s="59" t="n">
        <f aca="false">W757*8/$T$754</f>
        <v>0.106666666666667</v>
      </c>
      <c r="Y757" s="30" t="n">
        <v>28.94</v>
      </c>
      <c r="Z757" s="30" t="n">
        <f aca="false">X757*Y757</f>
        <v>3.08693333333333</v>
      </c>
    </row>
    <row r="758" customFormat="false" ht="15" hidden="false" customHeight="false" outlineLevel="0" collapsed="false">
      <c r="R758" s="1" t="s">
        <v>292</v>
      </c>
      <c r="V758" s="57" t="s">
        <v>290</v>
      </c>
      <c r="W758" s="58" t="n">
        <v>1</v>
      </c>
      <c r="X758" s="59" t="n">
        <f aca="false">W758*8/$T$754</f>
        <v>0.106666666666667</v>
      </c>
      <c r="Y758" s="30" t="n">
        <v>20.51</v>
      </c>
      <c r="Z758" s="30" t="n">
        <f aca="false">X758*Y758</f>
        <v>2.18773333333333</v>
      </c>
    </row>
    <row r="759" customFormat="false" ht="15" hidden="false" customHeight="false" outlineLevel="0" collapsed="false">
      <c r="Z759" s="55" t="n">
        <f aca="false">SUM(Z757:Z758)</f>
        <v>5.27466666666667</v>
      </c>
    </row>
    <row r="760" customFormat="false" ht="15" hidden="false" customHeight="false" outlineLevel="0" collapsed="false">
      <c r="R760" s="56" t="s">
        <v>317</v>
      </c>
    </row>
    <row r="761" customFormat="false" ht="15" hidden="false" customHeight="false" outlineLevel="0" collapsed="false">
      <c r="R761" s="1" t="s">
        <v>309</v>
      </c>
      <c r="V761" s="57" t="s">
        <v>310</v>
      </c>
      <c r="X761" s="59" t="n">
        <v>5</v>
      </c>
      <c r="Y761" s="30" t="n">
        <f aca="false">Z759</f>
        <v>5.27466666666667</v>
      </c>
      <c r="Z761" s="30" t="n">
        <f aca="false">X761%*Y761</f>
        <v>0.263733333333333</v>
      </c>
    </row>
    <row r="762" customFormat="false" ht="15" hidden="false" customHeight="false" outlineLevel="0" collapsed="false">
      <c r="Q762" s="62"/>
      <c r="R762" s="62"/>
      <c r="S762" s="62"/>
      <c r="T762" s="62"/>
      <c r="U762" s="62"/>
      <c r="V762" s="62"/>
      <c r="W762" s="62"/>
      <c r="X762" s="62"/>
      <c r="Y762" s="62"/>
      <c r="Z762" s="63" t="n">
        <f aca="false">SUM(Z761:Z761)</f>
        <v>0.263733333333333</v>
      </c>
    </row>
    <row r="764" customFormat="false" ht="15" hidden="false" customHeight="false" outlineLevel="0" collapsed="false">
      <c r="Q764" s="14" t="s">
        <v>333</v>
      </c>
      <c r="R764" s="14"/>
      <c r="S764" s="14" t="s">
        <v>1279</v>
      </c>
      <c r="T764" s="14"/>
      <c r="U764" s="14"/>
      <c r="V764" s="14"/>
      <c r="W764" s="14"/>
      <c r="X764" s="14"/>
      <c r="Y764" s="14"/>
    </row>
    <row r="765" customFormat="false" ht="15" hidden="false" customHeight="false" outlineLevel="0" collapsed="false">
      <c r="Q765" s="14" t="s">
        <v>277</v>
      </c>
      <c r="R765" s="14" t="s">
        <v>278</v>
      </c>
      <c r="S765" s="38" t="s">
        <v>279</v>
      </c>
      <c r="T765" s="54" t="n">
        <v>75</v>
      </c>
      <c r="U765" s="38" t="s">
        <v>280</v>
      </c>
      <c r="V765" s="54" t="n">
        <f aca="false">T765</f>
        <v>75</v>
      </c>
      <c r="W765" s="14" t="s">
        <v>281</v>
      </c>
      <c r="Y765" s="38" t="s">
        <v>132</v>
      </c>
      <c r="Z765" s="55" t="n">
        <f aca="false">Z770+Z773</f>
        <v>5.5384</v>
      </c>
    </row>
    <row r="766" customFormat="false" ht="15" hidden="false" customHeight="false" outlineLevel="0" collapsed="false">
      <c r="Q766" s="14" t="s">
        <v>282</v>
      </c>
      <c r="R766" s="14" t="s">
        <v>283</v>
      </c>
      <c r="V766" s="38" t="s">
        <v>121</v>
      </c>
      <c r="W766" s="38" t="s">
        <v>284</v>
      </c>
      <c r="X766" s="38" t="s">
        <v>285</v>
      </c>
      <c r="Y766" s="38" t="s">
        <v>286</v>
      </c>
      <c r="Z766" s="38" t="s">
        <v>287</v>
      </c>
    </row>
    <row r="767" customFormat="false" ht="15" hidden="false" customHeight="false" outlineLevel="0" collapsed="false">
      <c r="R767" s="56" t="s">
        <v>288</v>
      </c>
    </row>
    <row r="768" customFormat="false" ht="15" hidden="false" customHeight="false" outlineLevel="0" collapsed="false">
      <c r="R768" s="1" t="s">
        <v>289</v>
      </c>
      <c r="V768" s="57" t="s">
        <v>290</v>
      </c>
      <c r="W768" s="58" t="n">
        <v>1</v>
      </c>
      <c r="X768" s="59" t="n">
        <f aca="false">W768*8/$T$765</f>
        <v>0.106666666666667</v>
      </c>
      <c r="Y768" s="30" t="n">
        <v>28.94</v>
      </c>
      <c r="Z768" s="30" t="n">
        <f aca="false">X768*Y768</f>
        <v>3.08693333333333</v>
      </c>
    </row>
    <row r="769" customFormat="false" ht="15" hidden="false" customHeight="false" outlineLevel="0" collapsed="false">
      <c r="R769" s="1" t="s">
        <v>292</v>
      </c>
      <c r="V769" s="57" t="s">
        <v>290</v>
      </c>
      <c r="W769" s="58" t="n">
        <v>1</v>
      </c>
      <c r="X769" s="59" t="n">
        <f aca="false">W769*8/$T$765</f>
        <v>0.106666666666667</v>
      </c>
      <c r="Y769" s="30" t="n">
        <v>20.51</v>
      </c>
      <c r="Z769" s="30" t="n">
        <f aca="false">X769*Y769</f>
        <v>2.18773333333333</v>
      </c>
    </row>
    <row r="770" customFormat="false" ht="15" hidden="false" customHeight="false" outlineLevel="0" collapsed="false">
      <c r="Z770" s="55" t="n">
        <f aca="false">SUM(Z768:Z769)</f>
        <v>5.27466666666667</v>
      </c>
    </row>
    <row r="771" customFormat="false" ht="15" hidden="false" customHeight="false" outlineLevel="0" collapsed="false">
      <c r="R771" s="56" t="s">
        <v>317</v>
      </c>
    </row>
    <row r="772" customFormat="false" ht="15" hidden="false" customHeight="false" outlineLevel="0" collapsed="false">
      <c r="R772" s="1" t="s">
        <v>309</v>
      </c>
      <c r="V772" s="57" t="s">
        <v>310</v>
      </c>
      <c r="X772" s="59" t="n">
        <v>5</v>
      </c>
      <c r="Y772" s="30" t="n">
        <f aca="false">Z770</f>
        <v>5.27466666666667</v>
      </c>
      <c r="Z772" s="30" t="n">
        <f aca="false">X772%*Y772</f>
        <v>0.263733333333333</v>
      </c>
    </row>
    <row r="773" customFormat="false" ht="15" hidden="false" customHeight="false" outlineLevel="0" collapsed="false">
      <c r="Q773" s="62"/>
      <c r="R773" s="62"/>
      <c r="S773" s="62"/>
      <c r="T773" s="62"/>
      <c r="U773" s="62"/>
      <c r="V773" s="62"/>
      <c r="W773" s="62"/>
      <c r="X773" s="62"/>
      <c r="Y773" s="62"/>
      <c r="Z773" s="63" t="n">
        <f aca="false">SUM(Z772:Z772)</f>
        <v>0.263733333333333</v>
      </c>
    </row>
    <row r="775" customFormat="false" ht="15" hidden="false" customHeight="false" outlineLevel="0" collapsed="false">
      <c r="Q775" s="14" t="s">
        <v>333</v>
      </c>
      <c r="R775" s="14"/>
      <c r="S775" s="14" t="s">
        <v>1280</v>
      </c>
      <c r="T775" s="14"/>
      <c r="U775" s="14"/>
      <c r="V775" s="14"/>
      <c r="W775" s="14"/>
      <c r="X775" s="14"/>
      <c r="Y775" s="14"/>
    </row>
    <row r="776" customFormat="false" ht="15" hidden="false" customHeight="false" outlineLevel="0" collapsed="false">
      <c r="Q776" s="14" t="s">
        <v>277</v>
      </c>
      <c r="R776" s="14" t="s">
        <v>278</v>
      </c>
      <c r="S776" s="38" t="s">
        <v>279</v>
      </c>
      <c r="T776" s="54" t="n">
        <v>40</v>
      </c>
      <c r="U776" s="38" t="s">
        <v>280</v>
      </c>
      <c r="V776" s="54" t="n">
        <f aca="false">T776</f>
        <v>40</v>
      </c>
      <c r="W776" s="14" t="s">
        <v>281</v>
      </c>
      <c r="Y776" s="38" t="s">
        <v>132</v>
      </c>
      <c r="Z776" s="55" t="n">
        <f aca="false">Z781+Z784</f>
        <v>10.3845</v>
      </c>
    </row>
    <row r="777" customFormat="false" ht="15" hidden="false" customHeight="false" outlineLevel="0" collapsed="false">
      <c r="Q777" s="14" t="s">
        <v>282</v>
      </c>
      <c r="R777" s="14" t="s">
        <v>283</v>
      </c>
      <c r="V777" s="38" t="s">
        <v>121</v>
      </c>
      <c r="W777" s="38" t="s">
        <v>284</v>
      </c>
      <c r="X777" s="38" t="s">
        <v>285</v>
      </c>
      <c r="Y777" s="38" t="s">
        <v>286</v>
      </c>
      <c r="Z777" s="38" t="s">
        <v>287</v>
      </c>
    </row>
    <row r="778" customFormat="false" ht="15" hidden="false" customHeight="false" outlineLevel="0" collapsed="false">
      <c r="R778" s="56" t="s">
        <v>288</v>
      </c>
    </row>
    <row r="779" customFormat="false" ht="15" hidden="false" customHeight="false" outlineLevel="0" collapsed="false">
      <c r="R779" s="1" t="s">
        <v>289</v>
      </c>
      <c r="V779" s="57" t="s">
        <v>290</v>
      </c>
      <c r="W779" s="58" t="n">
        <v>1</v>
      </c>
      <c r="X779" s="59" t="n">
        <f aca="false">W779*8/$T$776</f>
        <v>0.2</v>
      </c>
      <c r="Y779" s="30" t="n">
        <v>28.94</v>
      </c>
      <c r="Z779" s="30" t="n">
        <f aca="false">X779*Y779</f>
        <v>5.788</v>
      </c>
    </row>
    <row r="780" customFormat="false" ht="15" hidden="false" customHeight="false" outlineLevel="0" collapsed="false">
      <c r="R780" s="1" t="s">
        <v>292</v>
      </c>
      <c r="V780" s="57" t="s">
        <v>290</v>
      </c>
      <c r="W780" s="58" t="n">
        <v>1</v>
      </c>
      <c r="X780" s="59" t="n">
        <f aca="false">W780*8/$T$776</f>
        <v>0.2</v>
      </c>
      <c r="Y780" s="30" t="n">
        <v>20.51</v>
      </c>
      <c r="Z780" s="30" t="n">
        <f aca="false">X780*Y780</f>
        <v>4.102</v>
      </c>
    </row>
    <row r="781" customFormat="false" ht="15" hidden="false" customHeight="false" outlineLevel="0" collapsed="false">
      <c r="Z781" s="55" t="n">
        <f aca="false">SUM(Z779:Z780)</f>
        <v>9.89</v>
      </c>
    </row>
    <row r="782" customFormat="false" ht="15" hidden="false" customHeight="false" outlineLevel="0" collapsed="false">
      <c r="R782" s="56" t="s">
        <v>317</v>
      </c>
    </row>
    <row r="783" customFormat="false" ht="15" hidden="false" customHeight="false" outlineLevel="0" collapsed="false">
      <c r="R783" s="1" t="s">
        <v>309</v>
      </c>
      <c r="V783" s="57" t="s">
        <v>310</v>
      </c>
      <c r="X783" s="59" t="n">
        <v>5</v>
      </c>
      <c r="Y783" s="30" t="n">
        <f aca="false">Z781</f>
        <v>9.89</v>
      </c>
      <c r="Z783" s="30" t="n">
        <f aca="false">X783%*Y783</f>
        <v>0.4945</v>
      </c>
    </row>
    <row r="784" customFormat="false" ht="15" hidden="false" customHeight="false" outlineLevel="0" collapsed="false">
      <c r="Q784" s="62"/>
      <c r="R784" s="62"/>
      <c r="S784" s="62"/>
      <c r="T784" s="62"/>
      <c r="U784" s="62"/>
      <c r="V784" s="62"/>
      <c r="W784" s="62"/>
      <c r="X784" s="62"/>
      <c r="Y784" s="62"/>
      <c r="Z784" s="63" t="n">
        <f aca="false">SUM(Z783:Z783)</f>
        <v>0.4945</v>
      </c>
    </row>
    <row r="786" customFormat="false" ht="15" hidden="false" customHeight="false" outlineLevel="0" collapsed="false">
      <c r="Q786" s="14" t="s">
        <v>333</v>
      </c>
      <c r="R786" s="14"/>
      <c r="S786" s="14" t="s">
        <v>1281</v>
      </c>
      <c r="T786" s="14"/>
      <c r="U786" s="14"/>
      <c r="V786" s="14"/>
      <c r="W786" s="14"/>
      <c r="X786" s="14"/>
      <c r="Y786" s="14"/>
    </row>
    <row r="787" customFormat="false" ht="15" hidden="false" customHeight="false" outlineLevel="0" collapsed="false">
      <c r="Q787" s="14" t="s">
        <v>277</v>
      </c>
      <c r="R787" s="14" t="s">
        <v>278</v>
      </c>
      <c r="S787" s="38" t="s">
        <v>279</v>
      </c>
      <c r="T787" s="54" t="n">
        <v>40</v>
      </c>
      <c r="U787" s="38" t="s">
        <v>280</v>
      </c>
      <c r="V787" s="54" t="n">
        <f aca="false">T787</f>
        <v>40</v>
      </c>
      <c r="W787" s="14" t="s">
        <v>281</v>
      </c>
      <c r="Y787" s="38" t="s">
        <v>132</v>
      </c>
      <c r="Z787" s="55" t="n">
        <f aca="false">Z792+Z795</f>
        <v>10.3845</v>
      </c>
    </row>
    <row r="788" customFormat="false" ht="15" hidden="false" customHeight="false" outlineLevel="0" collapsed="false">
      <c r="Q788" s="14" t="s">
        <v>282</v>
      </c>
      <c r="R788" s="14" t="s">
        <v>283</v>
      </c>
      <c r="V788" s="38" t="s">
        <v>121</v>
      </c>
      <c r="W788" s="38" t="s">
        <v>284</v>
      </c>
      <c r="X788" s="38" t="s">
        <v>285</v>
      </c>
      <c r="Y788" s="38" t="s">
        <v>286</v>
      </c>
      <c r="Z788" s="38" t="s">
        <v>287</v>
      </c>
    </row>
    <row r="789" customFormat="false" ht="15" hidden="false" customHeight="false" outlineLevel="0" collapsed="false">
      <c r="R789" s="56" t="s">
        <v>288</v>
      </c>
    </row>
    <row r="790" customFormat="false" ht="15" hidden="false" customHeight="false" outlineLevel="0" collapsed="false">
      <c r="R790" s="1" t="s">
        <v>289</v>
      </c>
      <c r="V790" s="57" t="s">
        <v>290</v>
      </c>
      <c r="W790" s="58" t="n">
        <v>1</v>
      </c>
      <c r="X790" s="59" t="n">
        <f aca="false">W790*8/$T$787</f>
        <v>0.2</v>
      </c>
      <c r="Y790" s="30" t="n">
        <v>28.94</v>
      </c>
      <c r="Z790" s="30" t="n">
        <f aca="false">X790*Y790</f>
        <v>5.788</v>
      </c>
    </row>
    <row r="791" customFormat="false" ht="15" hidden="false" customHeight="false" outlineLevel="0" collapsed="false">
      <c r="R791" s="1" t="s">
        <v>292</v>
      </c>
      <c r="V791" s="57" t="s">
        <v>290</v>
      </c>
      <c r="W791" s="58" t="n">
        <v>1</v>
      </c>
      <c r="X791" s="59" t="n">
        <f aca="false">W791*8/$T$787</f>
        <v>0.2</v>
      </c>
      <c r="Y791" s="30" t="n">
        <v>20.51</v>
      </c>
      <c r="Z791" s="30" t="n">
        <f aca="false">X791*Y791</f>
        <v>4.102</v>
      </c>
    </row>
    <row r="792" customFormat="false" ht="15" hidden="false" customHeight="false" outlineLevel="0" collapsed="false">
      <c r="Z792" s="55" t="n">
        <f aca="false">SUM(Z790:Z791)</f>
        <v>9.89</v>
      </c>
    </row>
    <row r="793" customFormat="false" ht="15" hidden="false" customHeight="false" outlineLevel="0" collapsed="false">
      <c r="R793" s="56" t="s">
        <v>317</v>
      </c>
    </row>
    <row r="794" customFormat="false" ht="15" hidden="false" customHeight="false" outlineLevel="0" collapsed="false">
      <c r="R794" s="1" t="s">
        <v>309</v>
      </c>
      <c r="V794" s="57" t="s">
        <v>310</v>
      </c>
      <c r="X794" s="59" t="n">
        <v>5</v>
      </c>
      <c r="Y794" s="30" t="n">
        <f aca="false">Z792</f>
        <v>9.89</v>
      </c>
      <c r="Z794" s="30" t="n">
        <f aca="false">X794%*Y794</f>
        <v>0.4945</v>
      </c>
    </row>
    <row r="795" customFormat="false" ht="15" hidden="false" customHeight="false" outlineLevel="0" collapsed="false">
      <c r="Q795" s="62"/>
      <c r="R795" s="62"/>
      <c r="S795" s="62"/>
      <c r="T795" s="62"/>
      <c r="U795" s="62"/>
      <c r="V795" s="62"/>
      <c r="W795" s="62"/>
      <c r="X795" s="62"/>
      <c r="Y795" s="62"/>
      <c r="Z795" s="63" t="n">
        <f aca="false">SUM(Z794:Z794)</f>
        <v>0.4945</v>
      </c>
    </row>
    <row r="797" customFormat="false" ht="15" hidden="false" customHeight="false" outlineLevel="0" collapsed="false">
      <c r="Q797" s="14" t="s">
        <v>333</v>
      </c>
      <c r="R797" s="14"/>
      <c r="S797" s="14" t="s">
        <v>1282</v>
      </c>
      <c r="T797" s="14"/>
      <c r="U797" s="14"/>
      <c r="V797" s="14"/>
      <c r="W797" s="14"/>
      <c r="X797" s="14"/>
      <c r="Y797" s="14"/>
    </row>
    <row r="798" customFormat="false" ht="15" hidden="false" customHeight="false" outlineLevel="0" collapsed="false">
      <c r="Q798" s="14" t="s">
        <v>277</v>
      </c>
      <c r="R798" s="14" t="s">
        <v>325</v>
      </c>
      <c r="S798" s="38" t="s">
        <v>279</v>
      </c>
      <c r="T798" s="54" t="n">
        <v>33</v>
      </c>
      <c r="U798" s="38" t="s">
        <v>280</v>
      </c>
      <c r="V798" s="54" t="n">
        <f aca="false">T798</f>
        <v>33</v>
      </c>
      <c r="W798" s="14" t="s">
        <v>281</v>
      </c>
      <c r="Y798" s="38" t="s">
        <v>148</v>
      </c>
      <c r="Z798" s="55" t="n">
        <f aca="false">Z803+Z806</f>
        <v>28.2494545454545</v>
      </c>
    </row>
    <row r="799" customFormat="false" ht="15" hidden="false" customHeight="false" outlineLevel="0" collapsed="false">
      <c r="Q799" s="14" t="s">
        <v>282</v>
      </c>
      <c r="R799" s="14" t="s">
        <v>283</v>
      </c>
      <c r="V799" s="38" t="s">
        <v>121</v>
      </c>
      <c r="W799" s="38" t="s">
        <v>284</v>
      </c>
      <c r="X799" s="38" t="s">
        <v>285</v>
      </c>
      <c r="Y799" s="38" t="s">
        <v>286</v>
      </c>
      <c r="Z799" s="38" t="s">
        <v>287</v>
      </c>
    </row>
    <row r="800" customFormat="false" ht="15" hidden="false" customHeight="false" outlineLevel="0" collapsed="false">
      <c r="R800" s="56" t="s">
        <v>288</v>
      </c>
    </row>
    <row r="801" customFormat="false" ht="15" hidden="false" customHeight="false" outlineLevel="0" collapsed="false">
      <c r="R801" s="1" t="s">
        <v>289</v>
      </c>
      <c r="V801" s="57" t="s">
        <v>290</v>
      </c>
      <c r="W801" s="58" t="n">
        <v>1</v>
      </c>
      <c r="X801" s="59" t="n">
        <f aca="false">W801*8/$T$798</f>
        <v>0.242424242424242</v>
      </c>
      <c r="Y801" s="30" t="n">
        <v>28.94</v>
      </c>
      <c r="Z801" s="30" t="n">
        <f aca="false">X801*Y801</f>
        <v>7.01575757575758</v>
      </c>
    </row>
    <row r="802" customFormat="false" ht="15" hidden="false" customHeight="false" outlineLevel="0" collapsed="false">
      <c r="R802" s="1" t="s">
        <v>292</v>
      </c>
      <c r="V802" s="57" t="s">
        <v>290</v>
      </c>
      <c r="W802" s="58" t="n">
        <v>4</v>
      </c>
      <c r="X802" s="59" t="n">
        <f aca="false">W802*8/$T$798</f>
        <v>0.96969696969697</v>
      </c>
      <c r="Y802" s="30" t="n">
        <v>20.51</v>
      </c>
      <c r="Z802" s="30" t="n">
        <f aca="false">X802*Y802</f>
        <v>19.8884848484849</v>
      </c>
    </row>
    <row r="803" customFormat="false" ht="15" hidden="false" customHeight="false" outlineLevel="0" collapsed="false">
      <c r="Z803" s="55" t="n">
        <f aca="false">SUM(Z801:Z802)</f>
        <v>26.9042424242424</v>
      </c>
    </row>
    <row r="804" customFormat="false" ht="15" hidden="false" customHeight="false" outlineLevel="0" collapsed="false">
      <c r="R804" s="56" t="s">
        <v>317</v>
      </c>
    </row>
    <row r="805" customFormat="false" ht="15" hidden="false" customHeight="false" outlineLevel="0" collapsed="false">
      <c r="R805" s="1" t="s">
        <v>309</v>
      </c>
      <c r="V805" s="57" t="s">
        <v>310</v>
      </c>
      <c r="X805" s="59" t="n">
        <v>5</v>
      </c>
      <c r="Y805" s="30" t="n">
        <f aca="false">Z803</f>
        <v>26.9042424242424</v>
      </c>
      <c r="Z805" s="30" t="n">
        <f aca="false">X805%*Y805</f>
        <v>1.34521212121212</v>
      </c>
    </row>
    <row r="806" customFormat="false" ht="15" hidden="false" customHeight="false" outlineLevel="0" collapsed="false">
      <c r="Q806" s="62"/>
      <c r="R806" s="62"/>
      <c r="S806" s="62"/>
      <c r="T806" s="62"/>
      <c r="U806" s="62"/>
      <c r="V806" s="62"/>
      <c r="W806" s="62"/>
      <c r="X806" s="62"/>
      <c r="Y806" s="62"/>
      <c r="Z806" s="63" t="n">
        <f aca="false">SUM(Z805:Z805)</f>
        <v>1.34521212121212</v>
      </c>
    </row>
    <row r="808" customFormat="false" ht="15" hidden="false" customHeight="false" outlineLevel="0" collapsed="false">
      <c r="Q808" s="14" t="s">
        <v>333</v>
      </c>
      <c r="R808" s="14"/>
      <c r="S808" s="14" t="s">
        <v>1283</v>
      </c>
      <c r="T808" s="14"/>
      <c r="U808" s="14"/>
      <c r="V808" s="14"/>
      <c r="W808" s="14"/>
      <c r="X808" s="14"/>
      <c r="Y808" s="14"/>
    </row>
    <row r="809" customFormat="false" ht="15" hidden="false" customHeight="false" outlineLevel="0" collapsed="false">
      <c r="Q809" s="14" t="s">
        <v>277</v>
      </c>
      <c r="R809" s="14" t="s">
        <v>325</v>
      </c>
      <c r="S809" s="38" t="s">
        <v>279</v>
      </c>
      <c r="T809" s="54" t="n">
        <v>20</v>
      </c>
      <c r="U809" s="38" t="s">
        <v>280</v>
      </c>
      <c r="V809" s="54" t="n">
        <f aca="false">T809</f>
        <v>20</v>
      </c>
      <c r="W809" s="14" t="s">
        <v>281</v>
      </c>
      <c r="Y809" s="38" t="s">
        <v>148</v>
      </c>
      <c r="Z809" s="55" t="n">
        <f aca="false">Z814+Z819</f>
        <v>20.1474</v>
      </c>
    </row>
    <row r="810" customFormat="false" ht="15" hidden="false" customHeight="false" outlineLevel="0" collapsed="false">
      <c r="Q810" s="14" t="s">
        <v>282</v>
      </c>
      <c r="R810" s="14" t="s">
        <v>283</v>
      </c>
      <c r="V810" s="38" t="s">
        <v>121</v>
      </c>
      <c r="W810" s="38" t="s">
        <v>284</v>
      </c>
      <c r="X810" s="38" t="s">
        <v>285</v>
      </c>
      <c r="Y810" s="38" t="s">
        <v>286</v>
      </c>
      <c r="Z810" s="38" t="s">
        <v>287</v>
      </c>
    </row>
    <row r="811" customFormat="false" ht="15" hidden="false" customHeight="false" outlineLevel="0" collapsed="false">
      <c r="R811" s="56" t="s">
        <v>288</v>
      </c>
    </row>
    <row r="812" customFormat="false" ht="15" hidden="false" customHeight="false" outlineLevel="0" collapsed="false">
      <c r="R812" s="1" t="s">
        <v>291</v>
      </c>
      <c r="V812" s="57" t="s">
        <v>290</v>
      </c>
      <c r="W812" s="58" t="n">
        <v>1</v>
      </c>
      <c r="X812" s="59" t="n">
        <f aca="false">W812*8/$T$809</f>
        <v>0.4</v>
      </c>
      <c r="Y812" s="30" t="n">
        <v>22.66</v>
      </c>
      <c r="Z812" s="30" t="n">
        <f aca="false">X812*Y812</f>
        <v>9.064</v>
      </c>
    </row>
    <row r="813" customFormat="false" ht="15" hidden="false" customHeight="false" outlineLevel="0" collapsed="false">
      <c r="R813" s="1" t="s">
        <v>292</v>
      </c>
      <c r="V813" s="57" t="s">
        <v>290</v>
      </c>
      <c r="W813" s="58" t="n">
        <v>1</v>
      </c>
      <c r="X813" s="59" t="n">
        <f aca="false">W813*8/$T$809</f>
        <v>0.4</v>
      </c>
      <c r="Y813" s="30" t="n">
        <v>20.51</v>
      </c>
      <c r="Z813" s="30" t="n">
        <f aca="false">X813*Y813</f>
        <v>8.204</v>
      </c>
    </row>
    <row r="814" customFormat="false" ht="15" hidden="false" customHeight="false" outlineLevel="0" collapsed="false">
      <c r="Z814" s="55" t="n">
        <f aca="false">SUM(Z812:Z813)</f>
        <v>17.268</v>
      </c>
    </row>
    <row r="815" customFormat="false" ht="15" hidden="false" customHeight="false" outlineLevel="0" collapsed="false">
      <c r="R815" s="56" t="s">
        <v>317</v>
      </c>
    </row>
    <row r="816" customFormat="false" ht="15" hidden="false" customHeight="false" outlineLevel="0" collapsed="false">
      <c r="R816" s="1" t="s">
        <v>309</v>
      </c>
      <c r="V816" s="57" t="s">
        <v>310</v>
      </c>
      <c r="X816" s="59" t="n">
        <v>5</v>
      </c>
      <c r="Y816" s="30" t="n">
        <f aca="false">Z814</f>
        <v>17.268</v>
      </c>
      <c r="Z816" s="30" t="n">
        <f aca="false">X816%*Y816</f>
        <v>0.8634</v>
      </c>
    </row>
    <row r="817" customFormat="false" ht="15" hidden="false" customHeight="false" outlineLevel="0" collapsed="false">
      <c r="R817" s="1" t="s">
        <v>1284</v>
      </c>
      <c r="V817" s="57" t="s">
        <v>337</v>
      </c>
      <c r="W817" s="58" t="n">
        <v>0.5</v>
      </c>
      <c r="X817" s="59" t="n">
        <f aca="false">W817*8/$T$809</f>
        <v>0.2</v>
      </c>
      <c r="Y817" s="30" t="n">
        <v>4.09</v>
      </c>
      <c r="Z817" s="30" t="n">
        <f aca="false">X817*Y817</f>
        <v>0.818</v>
      </c>
    </row>
    <row r="818" customFormat="false" ht="15" hidden="false" customHeight="false" outlineLevel="0" collapsed="false">
      <c r="R818" s="1" t="s">
        <v>1285</v>
      </c>
      <c r="V818" s="57" t="s">
        <v>337</v>
      </c>
      <c r="W818" s="58" t="n">
        <v>0.5</v>
      </c>
      <c r="X818" s="59" t="n">
        <f aca="false">W818*8/$T$809</f>
        <v>0.2</v>
      </c>
      <c r="Y818" s="30" t="n">
        <v>5.99</v>
      </c>
      <c r="Z818" s="30" t="n">
        <f aca="false">X818*Y818</f>
        <v>1.198</v>
      </c>
    </row>
    <row r="819" customFormat="false" ht="15" hidden="false" customHeight="false" outlineLevel="0" collapsed="false">
      <c r="Q819" s="62"/>
      <c r="R819" s="62"/>
      <c r="S819" s="62"/>
      <c r="T819" s="62"/>
      <c r="U819" s="62"/>
      <c r="V819" s="62"/>
      <c r="W819" s="62"/>
      <c r="X819" s="62"/>
      <c r="Y819" s="62"/>
      <c r="Z819" s="63" t="n">
        <f aca="false">SUM(Z816:Z818)</f>
        <v>2.8794</v>
      </c>
    </row>
    <row r="821" customFormat="false" ht="15" hidden="false" customHeight="false" outlineLevel="0" collapsed="false">
      <c r="Q821" s="14" t="s">
        <v>333</v>
      </c>
      <c r="R821" s="14"/>
      <c r="S821" s="14" t="s">
        <v>1286</v>
      </c>
      <c r="T821" s="14"/>
      <c r="U821" s="14"/>
      <c r="V821" s="14"/>
      <c r="W821" s="14"/>
      <c r="X821" s="14"/>
      <c r="Y821" s="14"/>
    </row>
    <row r="822" customFormat="false" ht="15" hidden="false" customHeight="false" outlineLevel="0" collapsed="false">
      <c r="Q822" s="14" t="s">
        <v>277</v>
      </c>
      <c r="R822" s="14" t="s">
        <v>278</v>
      </c>
      <c r="S822" s="38" t="s">
        <v>279</v>
      </c>
      <c r="T822" s="54" t="n">
        <v>60</v>
      </c>
      <c r="U822" s="38" t="s">
        <v>280</v>
      </c>
      <c r="V822" s="54" t="n">
        <f aca="false">T822</f>
        <v>60</v>
      </c>
      <c r="W822" s="14" t="s">
        <v>281</v>
      </c>
      <c r="Y822" s="38" t="s">
        <v>132</v>
      </c>
      <c r="Z822" s="55" t="n">
        <f aca="false">Z827+Z830</f>
        <v>6.923</v>
      </c>
    </row>
    <row r="823" customFormat="false" ht="15" hidden="false" customHeight="false" outlineLevel="0" collapsed="false">
      <c r="Q823" s="14" t="s">
        <v>282</v>
      </c>
      <c r="R823" s="14" t="s">
        <v>283</v>
      </c>
      <c r="V823" s="38" t="s">
        <v>121</v>
      </c>
      <c r="W823" s="38" t="s">
        <v>284</v>
      </c>
      <c r="X823" s="38" t="s">
        <v>285</v>
      </c>
      <c r="Y823" s="38" t="s">
        <v>286</v>
      </c>
      <c r="Z823" s="38" t="s">
        <v>287</v>
      </c>
    </row>
    <row r="824" customFormat="false" ht="15" hidden="false" customHeight="false" outlineLevel="0" collapsed="false">
      <c r="R824" s="56" t="s">
        <v>288</v>
      </c>
    </row>
    <row r="825" customFormat="false" ht="15" hidden="false" customHeight="false" outlineLevel="0" collapsed="false">
      <c r="R825" s="1" t="s">
        <v>289</v>
      </c>
      <c r="V825" s="57" t="s">
        <v>290</v>
      </c>
      <c r="W825" s="58" t="n">
        <v>1</v>
      </c>
      <c r="X825" s="59" t="n">
        <f aca="false">W825*8/$T$822</f>
        <v>0.133333333333333</v>
      </c>
      <c r="Y825" s="30" t="n">
        <v>28.94</v>
      </c>
      <c r="Z825" s="30" t="n">
        <f aca="false">X825*Y825</f>
        <v>3.85866666666667</v>
      </c>
    </row>
    <row r="826" customFormat="false" ht="15" hidden="false" customHeight="false" outlineLevel="0" collapsed="false">
      <c r="R826" s="1" t="s">
        <v>292</v>
      </c>
      <c r="V826" s="57" t="s">
        <v>290</v>
      </c>
      <c r="W826" s="58" t="n">
        <v>1</v>
      </c>
      <c r="X826" s="59" t="n">
        <f aca="false">W826*8/$T$822</f>
        <v>0.133333333333333</v>
      </c>
      <c r="Y826" s="30" t="n">
        <v>20.51</v>
      </c>
      <c r="Z826" s="30" t="n">
        <f aca="false">X826*Y826</f>
        <v>2.73466666666667</v>
      </c>
    </row>
    <row r="827" customFormat="false" ht="15" hidden="false" customHeight="false" outlineLevel="0" collapsed="false">
      <c r="Z827" s="55" t="n">
        <f aca="false">SUM(Z825:Z826)</f>
        <v>6.59333333333333</v>
      </c>
    </row>
    <row r="828" customFormat="false" ht="15" hidden="false" customHeight="false" outlineLevel="0" collapsed="false">
      <c r="R828" s="56" t="s">
        <v>317</v>
      </c>
    </row>
    <row r="829" customFormat="false" ht="15" hidden="false" customHeight="false" outlineLevel="0" collapsed="false">
      <c r="R829" s="1" t="s">
        <v>309</v>
      </c>
      <c r="V829" s="57" t="s">
        <v>310</v>
      </c>
      <c r="X829" s="59" t="n">
        <v>5</v>
      </c>
      <c r="Y829" s="30" t="n">
        <f aca="false">Z827</f>
        <v>6.59333333333333</v>
      </c>
      <c r="Z829" s="30" t="n">
        <f aca="false">X829%*Y829</f>
        <v>0.329666666666667</v>
      </c>
    </row>
    <row r="830" customFormat="false" ht="15" hidden="false" customHeight="false" outlineLevel="0" collapsed="false">
      <c r="Q830" s="62"/>
      <c r="R830" s="62"/>
      <c r="S830" s="62"/>
      <c r="T830" s="62"/>
      <c r="U830" s="62"/>
      <c r="V830" s="62"/>
      <c r="W830" s="62"/>
      <c r="X830" s="62"/>
      <c r="Y830" s="62"/>
      <c r="Z830" s="63" t="n">
        <f aca="false">SUM(Z829:Z829)</f>
        <v>0.329666666666667</v>
      </c>
    </row>
    <row r="832" customFormat="false" ht="15" hidden="false" customHeight="false" outlineLevel="0" collapsed="false">
      <c r="Q832" s="14" t="s">
        <v>333</v>
      </c>
      <c r="R832" s="14"/>
      <c r="S832" s="14" t="s">
        <v>1287</v>
      </c>
      <c r="T832" s="14"/>
      <c r="U832" s="14"/>
      <c r="V832" s="14"/>
      <c r="W832" s="14"/>
      <c r="X832" s="14"/>
      <c r="Y832" s="14"/>
    </row>
    <row r="833" customFormat="false" ht="15" hidden="false" customHeight="false" outlineLevel="0" collapsed="false">
      <c r="Q833" s="14" t="s">
        <v>277</v>
      </c>
      <c r="R833" s="14" t="s">
        <v>325</v>
      </c>
      <c r="S833" s="38" t="s">
        <v>279</v>
      </c>
      <c r="T833" s="54" t="n">
        <v>16</v>
      </c>
      <c r="U833" s="38" t="s">
        <v>280</v>
      </c>
      <c r="V833" s="54" t="n">
        <f aca="false">T833</f>
        <v>16</v>
      </c>
      <c r="W833" s="14" t="s">
        <v>281</v>
      </c>
      <c r="Y833" s="38" t="s">
        <v>148</v>
      </c>
      <c r="Z833" s="55" t="n">
        <f aca="false">Z838+Z841</f>
        <v>22.66425</v>
      </c>
    </row>
    <row r="834" customFormat="false" ht="15" hidden="false" customHeight="false" outlineLevel="0" collapsed="false">
      <c r="Q834" s="14" t="s">
        <v>282</v>
      </c>
      <c r="R834" s="14" t="s">
        <v>283</v>
      </c>
      <c r="V834" s="38" t="s">
        <v>121</v>
      </c>
      <c r="W834" s="38" t="s">
        <v>284</v>
      </c>
      <c r="X834" s="38" t="s">
        <v>285</v>
      </c>
      <c r="Y834" s="38" t="s">
        <v>286</v>
      </c>
      <c r="Z834" s="38" t="s">
        <v>287</v>
      </c>
    </row>
    <row r="835" customFormat="false" ht="15" hidden="false" customHeight="false" outlineLevel="0" collapsed="false">
      <c r="R835" s="56" t="s">
        <v>288</v>
      </c>
    </row>
    <row r="836" customFormat="false" ht="15" hidden="false" customHeight="false" outlineLevel="0" collapsed="false">
      <c r="R836" s="1" t="s">
        <v>291</v>
      </c>
      <c r="V836" s="57" t="s">
        <v>290</v>
      </c>
      <c r="W836" s="58" t="n">
        <v>1</v>
      </c>
      <c r="X836" s="59" t="n">
        <f aca="false">W836*8/$T$833</f>
        <v>0.5</v>
      </c>
      <c r="Y836" s="30" t="n">
        <v>22.66</v>
      </c>
      <c r="Z836" s="30" t="n">
        <f aca="false">X836*Y836</f>
        <v>11.33</v>
      </c>
    </row>
    <row r="837" customFormat="false" ht="15" hidden="false" customHeight="false" outlineLevel="0" collapsed="false">
      <c r="R837" s="1" t="s">
        <v>292</v>
      </c>
      <c r="V837" s="57" t="s">
        <v>290</v>
      </c>
      <c r="W837" s="58" t="n">
        <v>1</v>
      </c>
      <c r="X837" s="59" t="n">
        <f aca="false">W837*8/$T$833</f>
        <v>0.5</v>
      </c>
      <c r="Y837" s="30" t="n">
        <v>20.51</v>
      </c>
      <c r="Z837" s="30" t="n">
        <f aca="false">X837*Y837</f>
        <v>10.255</v>
      </c>
    </row>
    <row r="838" customFormat="false" ht="15" hidden="false" customHeight="false" outlineLevel="0" collapsed="false">
      <c r="Z838" s="55" t="n">
        <f aca="false">SUM(Z836:Z837)</f>
        <v>21.585</v>
      </c>
    </row>
    <row r="839" customFormat="false" ht="15" hidden="false" customHeight="false" outlineLevel="0" collapsed="false">
      <c r="R839" s="56" t="s">
        <v>317</v>
      </c>
    </row>
    <row r="840" customFormat="false" ht="15" hidden="false" customHeight="false" outlineLevel="0" collapsed="false">
      <c r="R840" s="1" t="s">
        <v>309</v>
      </c>
      <c r="V840" s="57" t="s">
        <v>310</v>
      </c>
      <c r="X840" s="59" t="n">
        <v>5</v>
      </c>
      <c r="Y840" s="30" t="n">
        <f aca="false">Z838</f>
        <v>21.585</v>
      </c>
      <c r="Z840" s="30" t="n">
        <f aca="false">X840%*Y840</f>
        <v>1.07925</v>
      </c>
    </row>
    <row r="841" customFormat="false" ht="15" hidden="false" customHeight="false" outlineLevel="0" collapsed="false">
      <c r="Q841" s="62"/>
      <c r="R841" s="62"/>
      <c r="S841" s="62"/>
      <c r="T841" s="62"/>
      <c r="U841" s="62"/>
      <c r="V841" s="62"/>
      <c r="W841" s="62"/>
      <c r="X841" s="62"/>
      <c r="Y841" s="62"/>
      <c r="Z841" s="63" t="n">
        <f aca="false">SUM(Z840:Z840)</f>
        <v>1.07925</v>
      </c>
    </row>
    <row r="843" customFormat="false" ht="15" hidden="false" customHeight="false" outlineLevel="0" collapsed="false">
      <c r="Q843" s="14" t="s">
        <v>333</v>
      </c>
      <c r="R843" s="14"/>
      <c r="S843" s="14" t="s">
        <v>1288</v>
      </c>
      <c r="T843" s="14"/>
      <c r="U843" s="14"/>
      <c r="V843" s="14"/>
      <c r="W843" s="14"/>
      <c r="X843" s="14"/>
      <c r="Y843" s="14"/>
    </row>
    <row r="844" customFormat="false" ht="15" hidden="false" customHeight="false" outlineLevel="0" collapsed="false">
      <c r="Q844" s="14" t="s">
        <v>277</v>
      </c>
      <c r="R844" s="14" t="s">
        <v>278</v>
      </c>
      <c r="S844" s="38" t="s">
        <v>279</v>
      </c>
      <c r="T844" s="54" t="n">
        <v>40</v>
      </c>
      <c r="U844" s="38" t="s">
        <v>280</v>
      </c>
      <c r="V844" s="54" t="n">
        <f aca="false">T844</f>
        <v>40</v>
      </c>
      <c r="W844" s="14" t="s">
        <v>281</v>
      </c>
      <c r="Y844" s="38" t="s">
        <v>132</v>
      </c>
      <c r="Z844" s="55" t="n">
        <f aca="false">Z850+Z856</f>
        <v>51.2002</v>
      </c>
    </row>
    <row r="845" customFormat="false" ht="15" hidden="false" customHeight="false" outlineLevel="0" collapsed="false">
      <c r="Q845" s="14" t="s">
        <v>282</v>
      </c>
      <c r="R845" s="14" t="s">
        <v>283</v>
      </c>
      <c r="V845" s="38" t="s">
        <v>121</v>
      </c>
      <c r="W845" s="38" t="s">
        <v>284</v>
      </c>
      <c r="X845" s="38" t="s">
        <v>285</v>
      </c>
      <c r="Y845" s="38" t="s">
        <v>286</v>
      </c>
      <c r="Z845" s="38" t="s">
        <v>287</v>
      </c>
    </row>
    <row r="846" customFormat="false" ht="15" hidden="false" customHeight="false" outlineLevel="0" collapsed="false">
      <c r="R846" s="56" t="s">
        <v>288</v>
      </c>
    </row>
    <row r="847" customFormat="false" ht="15" hidden="false" customHeight="false" outlineLevel="0" collapsed="false">
      <c r="R847" s="1" t="s">
        <v>289</v>
      </c>
      <c r="V847" s="57" t="s">
        <v>290</v>
      </c>
      <c r="W847" s="58" t="n">
        <v>1</v>
      </c>
      <c r="X847" s="59" t="n">
        <f aca="false">W847*8/$T$844</f>
        <v>0.2</v>
      </c>
      <c r="Y847" s="30" t="n">
        <v>28.94</v>
      </c>
      <c r="Z847" s="30" t="n">
        <f aca="false">X847*Y847</f>
        <v>5.788</v>
      </c>
    </row>
    <row r="848" customFormat="false" ht="15" hidden="false" customHeight="false" outlineLevel="0" collapsed="false">
      <c r="R848" s="1" t="s">
        <v>291</v>
      </c>
      <c r="V848" s="57" t="s">
        <v>290</v>
      </c>
      <c r="W848" s="58" t="n">
        <v>1</v>
      </c>
      <c r="X848" s="59" t="n">
        <f aca="false">W848*8/$T$844</f>
        <v>0.2</v>
      </c>
      <c r="Y848" s="30" t="n">
        <v>22.66</v>
      </c>
      <c r="Z848" s="30" t="n">
        <f aca="false">X848*Y848</f>
        <v>4.532</v>
      </c>
    </row>
    <row r="849" customFormat="false" ht="15" hidden="false" customHeight="false" outlineLevel="0" collapsed="false">
      <c r="R849" s="1" t="s">
        <v>292</v>
      </c>
      <c r="V849" s="57" t="s">
        <v>290</v>
      </c>
      <c r="W849" s="58" t="n">
        <v>2</v>
      </c>
      <c r="X849" s="59" t="n">
        <f aca="false">W849*8/$T$844</f>
        <v>0.4</v>
      </c>
      <c r="Y849" s="30" t="n">
        <v>20.51</v>
      </c>
      <c r="Z849" s="30" t="n">
        <f aca="false">X849*Y849</f>
        <v>8.204</v>
      </c>
    </row>
    <row r="850" customFormat="false" ht="15" hidden="false" customHeight="false" outlineLevel="0" collapsed="false">
      <c r="Z850" s="55" t="n">
        <f aca="false">SUM(Z847:Z849)</f>
        <v>18.524</v>
      </c>
    </row>
    <row r="851" customFormat="false" ht="15" hidden="false" customHeight="false" outlineLevel="0" collapsed="false">
      <c r="R851" s="56" t="s">
        <v>317</v>
      </c>
    </row>
    <row r="852" customFormat="false" ht="15" hidden="false" customHeight="false" outlineLevel="0" collapsed="false">
      <c r="R852" s="1" t="s">
        <v>309</v>
      </c>
      <c r="V852" s="57" t="s">
        <v>310</v>
      </c>
      <c r="X852" s="59" t="n">
        <v>5</v>
      </c>
      <c r="Y852" s="30" t="n">
        <f aca="false">Z850</f>
        <v>18.524</v>
      </c>
      <c r="Z852" s="30" t="n">
        <f aca="false">X852%*Y852</f>
        <v>0.9262</v>
      </c>
    </row>
    <row r="853" customFormat="false" ht="15" hidden="false" customHeight="false" outlineLevel="0" collapsed="false">
      <c r="R853" s="1" t="s">
        <v>1284</v>
      </c>
      <c r="V853" s="57" t="s">
        <v>337</v>
      </c>
      <c r="W853" s="58" t="n">
        <v>1</v>
      </c>
      <c r="X853" s="59" t="n">
        <f aca="false">W853*8/$T$844</f>
        <v>0.2</v>
      </c>
      <c r="Y853" s="30" t="n">
        <v>4.09</v>
      </c>
      <c r="Z853" s="30" t="n">
        <f aca="false">X853*Y853</f>
        <v>0.818</v>
      </c>
    </row>
    <row r="854" customFormat="false" ht="15" hidden="false" customHeight="false" outlineLevel="0" collapsed="false">
      <c r="R854" s="1" t="s">
        <v>1289</v>
      </c>
      <c r="V854" s="57" t="s">
        <v>337</v>
      </c>
      <c r="W854" s="58" t="n">
        <v>1</v>
      </c>
      <c r="X854" s="59" t="n">
        <f aca="false">W854*8/$T$844</f>
        <v>0.2</v>
      </c>
      <c r="Y854" s="30" t="n">
        <v>152.54</v>
      </c>
      <c r="Z854" s="30" t="n">
        <f aca="false">X854*Y854</f>
        <v>30.508</v>
      </c>
    </row>
    <row r="855" customFormat="false" ht="15" hidden="false" customHeight="false" outlineLevel="0" collapsed="false">
      <c r="R855" s="1" t="s">
        <v>1290</v>
      </c>
      <c r="V855" s="57" t="s">
        <v>337</v>
      </c>
      <c r="W855" s="58" t="n">
        <v>0.5</v>
      </c>
      <c r="X855" s="59" t="n">
        <f aca="false">W855*8/$T$844</f>
        <v>0.1</v>
      </c>
      <c r="Y855" s="30" t="n">
        <v>4.24</v>
      </c>
      <c r="Z855" s="30" t="n">
        <f aca="false">X855*Y855</f>
        <v>0.424</v>
      </c>
    </row>
    <row r="856" customFormat="false" ht="15" hidden="false" customHeight="false" outlineLevel="0" collapsed="false">
      <c r="Q856" s="62"/>
      <c r="R856" s="62"/>
      <c r="S856" s="62"/>
      <c r="T856" s="62"/>
      <c r="U856" s="62"/>
      <c r="V856" s="62"/>
      <c r="W856" s="62"/>
      <c r="X856" s="62"/>
      <c r="Y856" s="62"/>
      <c r="Z856" s="63" t="n">
        <f aca="false">SUM(Z852:Z855)</f>
        <v>32.6762</v>
      </c>
    </row>
    <row r="858" customFormat="false" ht="15" hidden="false" customHeight="false" outlineLevel="0" collapsed="false">
      <c r="Q858" s="14" t="s">
        <v>333</v>
      </c>
      <c r="R858" s="14"/>
      <c r="S858" s="14" t="s">
        <v>1291</v>
      </c>
      <c r="T858" s="14"/>
      <c r="U858" s="14"/>
      <c r="V858" s="14"/>
      <c r="W858" s="14"/>
      <c r="X858" s="14"/>
      <c r="Y858" s="14"/>
    </row>
    <row r="859" customFormat="false" ht="15" hidden="false" customHeight="false" outlineLevel="0" collapsed="false">
      <c r="Q859" s="14" t="s">
        <v>277</v>
      </c>
      <c r="R859" s="14" t="s">
        <v>325</v>
      </c>
      <c r="S859" s="38" t="s">
        <v>279</v>
      </c>
      <c r="T859" s="54" t="n">
        <v>16</v>
      </c>
      <c r="U859" s="38" t="s">
        <v>280</v>
      </c>
      <c r="V859" s="54" t="n">
        <f aca="false">T859</f>
        <v>16</v>
      </c>
      <c r="W859" s="14" t="s">
        <v>281</v>
      </c>
      <c r="Y859" s="38" t="s">
        <v>148</v>
      </c>
      <c r="Z859" s="55" t="n">
        <f aca="false">Z864+Z867</f>
        <v>17.280375</v>
      </c>
    </row>
    <row r="860" customFormat="false" ht="15" hidden="false" customHeight="false" outlineLevel="0" collapsed="false">
      <c r="Q860" s="14" t="s">
        <v>282</v>
      </c>
      <c r="R860" s="14" t="s">
        <v>283</v>
      </c>
      <c r="V860" s="38" t="s">
        <v>121</v>
      </c>
      <c r="W860" s="38" t="s">
        <v>284</v>
      </c>
      <c r="X860" s="38" t="s">
        <v>285</v>
      </c>
      <c r="Y860" s="38" t="s">
        <v>286</v>
      </c>
      <c r="Z860" s="38" t="s">
        <v>287</v>
      </c>
    </row>
    <row r="861" customFormat="false" ht="15" hidden="false" customHeight="false" outlineLevel="0" collapsed="false">
      <c r="R861" s="56" t="s">
        <v>288</v>
      </c>
    </row>
    <row r="862" customFormat="false" ht="15" hidden="false" customHeight="false" outlineLevel="0" collapsed="false">
      <c r="R862" s="1" t="s">
        <v>291</v>
      </c>
      <c r="V862" s="57" t="s">
        <v>290</v>
      </c>
      <c r="W862" s="58" t="n">
        <v>1</v>
      </c>
      <c r="X862" s="59" t="n">
        <f aca="false">W862*8/$T$859</f>
        <v>0.5</v>
      </c>
      <c r="Y862" s="30" t="n">
        <v>22.66</v>
      </c>
      <c r="Z862" s="30" t="n">
        <f aca="false">X862*Y862</f>
        <v>11.33</v>
      </c>
    </row>
    <row r="863" customFormat="false" ht="15" hidden="false" customHeight="false" outlineLevel="0" collapsed="false">
      <c r="R863" s="1" t="s">
        <v>292</v>
      </c>
      <c r="V863" s="57" t="s">
        <v>290</v>
      </c>
      <c r="W863" s="58" t="n">
        <v>0.5</v>
      </c>
      <c r="X863" s="59" t="n">
        <f aca="false">W863*8/$T$859</f>
        <v>0.25</v>
      </c>
      <c r="Y863" s="30" t="n">
        <v>20.51</v>
      </c>
      <c r="Z863" s="30" t="n">
        <f aca="false">X863*Y863</f>
        <v>5.1275</v>
      </c>
    </row>
    <row r="864" customFormat="false" ht="15" hidden="false" customHeight="false" outlineLevel="0" collapsed="false">
      <c r="Z864" s="55" t="n">
        <f aca="false">SUM(Z862:Z863)</f>
        <v>16.4575</v>
      </c>
    </row>
    <row r="865" customFormat="false" ht="15" hidden="false" customHeight="false" outlineLevel="0" collapsed="false">
      <c r="R865" s="56" t="s">
        <v>317</v>
      </c>
    </row>
    <row r="866" customFormat="false" ht="15" hidden="false" customHeight="false" outlineLevel="0" collapsed="false">
      <c r="R866" s="1" t="s">
        <v>309</v>
      </c>
      <c r="V866" s="57" t="s">
        <v>310</v>
      </c>
      <c r="X866" s="59" t="n">
        <v>5</v>
      </c>
      <c r="Y866" s="30" t="n">
        <f aca="false">Z864</f>
        <v>16.4575</v>
      </c>
      <c r="Z866" s="30" t="n">
        <f aca="false">X866%*Y866</f>
        <v>0.822875</v>
      </c>
    </row>
    <row r="867" customFormat="false" ht="15" hidden="false" customHeight="false" outlineLevel="0" collapsed="false">
      <c r="Q867" s="62"/>
      <c r="R867" s="62"/>
      <c r="S867" s="62"/>
      <c r="T867" s="62"/>
      <c r="U867" s="62"/>
      <c r="V867" s="62"/>
      <c r="W867" s="62"/>
      <c r="X867" s="62"/>
      <c r="Y867" s="62"/>
      <c r="Z867" s="63" t="n">
        <f aca="false">SUM(Z866:Z866)</f>
        <v>0.822875</v>
      </c>
    </row>
    <row r="869" customFormat="false" ht="15" hidden="false" customHeight="false" outlineLevel="0" collapsed="false">
      <c r="Q869" s="14" t="s">
        <v>333</v>
      </c>
      <c r="R869" s="14"/>
      <c r="S869" s="14" t="s">
        <v>1292</v>
      </c>
      <c r="T869" s="14"/>
      <c r="U869" s="14"/>
      <c r="V869" s="14"/>
      <c r="W869" s="14"/>
      <c r="X869" s="14"/>
      <c r="Y869" s="14"/>
    </row>
    <row r="870" customFormat="false" ht="15" hidden="false" customHeight="false" outlineLevel="0" collapsed="false">
      <c r="Q870" s="14" t="s">
        <v>277</v>
      </c>
      <c r="R870" s="14" t="s">
        <v>325</v>
      </c>
      <c r="S870" s="38" t="s">
        <v>279</v>
      </c>
      <c r="T870" s="54" t="n">
        <v>10</v>
      </c>
      <c r="U870" s="38" t="s">
        <v>280</v>
      </c>
      <c r="V870" s="54" t="n">
        <f aca="false">T870</f>
        <v>10</v>
      </c>
      <c r="W870" s="14" t="s">
        <v>281</v>
      </c>
      <c r="Y870" s="38" t="s">
        <v>148</v>
      </c>
      <c r="Z870" s="55" t="n">
        <f aca="false">Z875+Z878</f>
        <v>27.6486</v>
      </c>
    </row>
    <row r="871" customFormat="false" ht="15" hidden="false" customHeight="false" outlineLevel="0" collapsed="false">
      <c r="Q871" s="14" t="s">
        <v>282</v>
      </c>
      <c r="R871" s="14" t="s">
        <v>283</v>
      </c>
      <c r="V871" s="38" t="s">
        <v>121</v>
      </c>
      <c r="W871" s="38" t="s">
        <v>284</v>
      </c>
      <c r="X871" s="38" t="s">
        <v>285</v>
      </c>
      <c r="Y871" s="38" t="s">
        <v>286</v>
      </c>
      <c r="Z871" s="38" t="s">
        <v>287</v>
      </c>
    </row>
    <row r="872" customFormat="false" ht="15" hidden="false" customHeight="false" outlineLevel="0" collapsed="false">
      <c r="R872" s="56" t="s">
        <v>288</v>
      </c>
    </row>
    <row r="873" customFormat="false" ht="15" hidden="false" customHeight="false" outlineLevel="0" collapsed="false">
      <c r="R873" s="1" t="s">
        <v>291</v>
      </c>
      <c r="V873" s="57" t="s">
        <v>290</v>
      </c>
      <c r="W873" s="58" t="n">
        <v>1</v>
      </c>
      <c r="X873" s="59" t="n">
        <f aca="false">W873*8/$T$870</f>
        <v>0.8</v>
      </c>
      <c r="Y873" s="30" t="n">
        <v>22.66</v>
      </c>
      <c r="Z873" s="30" t="n">
        <f aca="false">X873*Y873</f>
        <v>18.128</v>
      </c>
    </row>
    <row r="874" customFormat="false" ht="15" hidden="false" customHeight="false" outlineLevel="0" collapsed="false">
      <c r="R874" s="1" t="s">
        <v>292</v>
      </c>
      <c r="V874" s="57" t="s">
        <v>290</v>
      </c>
      <c r="W874" s="58" t="n">
        <v>0.5</v>
      </c>
      <c r="X874" s="59" t="n">
        <f aca="false">W874*8/$T$870</f>
        <v>0.4</v>
      </c>
      <c r="Y874" s="30" t="n">
        <v>20.51</v>
      </c>
      <c r="Z874" s="30" t="n">
        <f aca="false">X874*Y874</f>
        <v>8.204</v>
      </c>
    </row>
    <row r="875" customFormat="false" ht="15" hidden="false" customHeight="false" outlineLevel="0" collapsed="false">
      <c r="Z875" s="55" t="n">
        <f aca="false">SUM(Z873:Z874)</f>
        <v>26.332</v>
      </c>
    </row>
    <row r="876" customFormat="false" ht="15" hidden="false" customHeight="false" outlineLevel="0" collapsed="false">
      <c r="R876" s="56" t="s">
        <v>317</v>
      </c>
    </row>
    <row r="877" customFormat="false" ht="15" hidden="false" customHeight="false" outlineLevel="0" collapsed="false">
      <c r="R877" s="1" t="s">
        <v>309</v>
      </c>
      <c r="V877" s="57" t="s">
        <v>310</v>
      </c>
      <c r="X877" s="59" t="n">
        <v>5</v>
      </c>
      <c r="Y877" s="30" t="n">
        <f aca="false">Z875</f>
        <v>26.332</v>
      </c>
      <c r="Z877" s="30" t="n">
        <f aca="false">X877%*Y877</f>
        <v>1.3166</v>
      </c>
    </row>
    <row r="878" customFormat="false" ht="15" hidden="false" customHeight="false" outlineLevel="0" collapsed="false">
      <c r="Q878" s="62"/>
      <c r="R878" s="62"/>
      <c r="S878" s="62"/>
      <c r="T878" s="62"/>
      <c r="U878" s="62"/>
      <c r="V878" s="62"/>
      <c r="W878" s="62"/>
      <c r="X878" s="62"/>
      <c r="Y878" s="62"/>
      <c r="Z878" s="63" t="n">
        <f aca="false">SUM(Z877:Z877)</f>
        <v>1.3166</v>
      </c>
    </row>
    <row r="880" customFormat="false" ht="15" hidden="false" customHeight="false" outlineLevel="0" collapsed="false">
      <c r="Q880" s="14" t="s">
        <v>333</v>
      </c>
      <c r="R880" s="14"/>
      <c r="S880" s="14" t="s">
        <v>1293</v>
      </c>
      <c r="T880" s="14"/>
      <c r="U880" s="14"/>
      <c r="V880" s="14"/>
      <c r="W880" s="14"/>
      <c r="X880" s="14"/>
      <c r="Y880" s="14"/>
    </row>
    <row r="881" customFormat="false" ht="15" hidden="false" customHeight="false" outlineLevel="0" collapsed="false">
      <c r="Q881" s="14" t="s">
        <v>277</v>
      </c>
      <c r="R881" s="14" t="s">
        <v>313</v>
      </c>
      <c r="S881" s="38" t="s">
        <v>279</v>
      </c>
      <c r="T881" s="54" t="n">
        <v>250</v>
      </c>
      <c r="U881" s="38" t="s">
        <v>280</v>
      </c>
      <c r="V881" s="54" t="n">
        <f aca="false">T881</f>
        <v>250</v>
      </c>
      <c r="W881" s="14" t="s">
        <v>281</v>
      </c>
      <c r="Y881" s="38" t="s">
        <v>143</v>
      </c>
      <c r="Z881" s="55" t="n">
        <f aca="false">Z885+Z888</f>
        <v>1.378272</v>
      </c>
    </row>
    <row r="882" customFormat="false" ht="15" hidden="false" customHeight="false" outlineLevel="0" collapsed="false">
      <c r="Q882" s="14" t="s">
        <v>282</v>
      </c>
      <c r="R882" s="14" t="s">
        <v>283</v>
      </c>
      <c r="V882" s="38" t="s">
        <v>121</v>
      </c>
      <c r="W882" s="38" t="s">
        <v>284</v>
      </c>
      <c r="X882" s="38" t="s">
        <v>285</v>
      </c>
      <c r="Y882" s="38" t="s">
        <v>286</v>
      </c>
      <c r="Z882" s="38" t="s">
        <v>287</v>
      </c>
    </row>
    <row r="883" customFormat="false" ht="15" hidden="false" customHeight="false" outlineLevel="0" collapsed="false">
      <c r="R883" s="56" t="s">
        <v>288</v>
      </c>
    </row>
    <row r="884" customFormat="false" ht="15" hidden="false" customHeight="false" outlineLevel="0" collapsed="false">
      <c r="R884" s="1" t="s">
        <v>292</v>
      </c>
      <c r="V884" s="57" t="s">
        <v>290</v>
      </c>
      <c r="W884" s="58" t="n">
        <v>2</v>
      </c>
      <c r="X884" s="59" t="n">
        <f aca="false">W884*8/$T$881</f>
        <v>0.064</v>
      </c>
      <c r="Y884" s="30" t="n">
        <v>20.51</v>
      </c>
      <c r="Z884" s="30" t="n">
        <f aca="false">X884*Y884</f>
        <v>1.31264</v>
      </c>
    </row>
    <row r="885" customFormat="false" ht="15" hidden="false" customHeight="false" outlineLevel="0" collapsed="false">
      <c r="Z885" s="55" t="n">
        <f aca="false">SUM(Z884:Z884)</f>
        <v>1.31264</v>
      </c>
    </row>
    <row r="886" customFormat="false" ht="15" hidden="false" customHeight="false" outlineLevel="0" collapsed="false">
      <c r="R886" s="56" t="s">
        <v>317</v>
      </c>
    </row>
    <row r="887" customFormat="false" ht="15" hidden="false" customHeight="false" outlineLevel="0" collapsed="false">
      <c r="R887" s="1" t="s">
        <v>309</v>
      </c>
      <c r="V887" s="57" t="s">
        <v>310</v>
      </c>
      <c r="X887" s="59" t="n">
        <v>5</v>
      </c>
      <c r="Y887" s="30" t="n">
        <f aca="false">Z885</f>
        <v>1.31264</v>
      </c>
      <c r="Z887" s="30" t="n">
        <f aca="false">X887%*Y887</f>
        <v>0.065632</v>
      </c>
    </row>
    <row r="888" customFormat="false" ht="15" hidden="false" customHeight="false" outlineLevel="0" collapsed="false">
      <c r="Q888" s="62"/>
      <c r="R888" s="62"/>
      <c r="S888" s="62"/>
      <c r="T888" s="62"/>
      <c r="U888" s="62"/>
      <c r="V888" s="62"/>
      <c r="W888" s="62"/>
      <c r="X888" s="62"/>
      <c r="Y888" s="62"/>
      <c r="Z888" s="63" t="n">
        <f aca="false">SUM(Z887:Z887)</f>
        <v>0.065632</v>
      </c>
    </row>
    <row r="890" customFormat="false" ht="15" hidden="false" customHeight="false" outlineLevel="0" collapsed="false">
      <c r="Q890" s="14" t="s">
        <v>333</v>
      </c>
      <c r="R890" s="14"/>
      <c r="S890" s="14" t="s">
        <v>1294</v>
      </c>
      <c r="T890" s="14"/>
      <c r="U890" s="14"/>
      <c r="V890" s="14"/>
      <c r="W890" s="14"/>
      <c r="X890" s="14"/>
      <c r="Y890" s="14"/>
    </row>
    <row r="891" customFormat="false" ht="15" hidden="false" customHeight="false" outlineLevel="0" collapsed="false">
      <c r="Q891" s="14" t="s">
        <v>277</v>
      </c>
      <c r="R891" s="14" t="s">
        <v>325</v>
      </c>
      <c r="S891" s="38" t="s">
        <v>279</v>
      </c>
      <c r="T891" s="54" t="n">
        <v>20</v>
      </c>
      <c r="U891" s="38" t="s">
        <v>280</v>
      </c>
      <c r="V891" s="54" t="n">
        <f aca="false">T891</f>
        <v>20</v>
      </c>
      <c r="W891" s="14" t="s">
        <v>281</v>
      </c>
      <c r="Y891" s="38" t="s">
        <v>148</v>
      </c>
      <c r="Z891" s="55" t="n">
        <f aca="false">Z896+Z899</f>
        <v>16.4619</v>
      </c>
    </row>
    <row r="892" customFormat="false" ht="15" hidden="false" customHeight="false" outlineLevel="0" collapsed="false">
      <c r="Q892" s="14" t="s">
        <v>282</v>
      </c>
      <c r="R892" s="14" t="s">
        <v>283</v>
      </c>
      <c r="V892" s="38" t="s">
        <v>121</v>
      </c>
      <c r="W892" s="38" t="s">
        <v>284</v>
      </c>
      <c r="X892" s="38" t="s">
        <v>285</v>
      </c>
      <c r="Y892" s="38" t="s">
        <v>286</v>
      </c>
      <c r="Z892" s="38" t="s">
        <v>287</v>
      </c>
    </row>
    <row r="893" customFormat="false" ht="15" hidden="false" customHeight="false" outlineLevel="0" collapsed="false">
      <c r="R893" s="56" t="s">
        <v>288</v>
      </c>
    </row>
    <row r="894" customFormat="false" ht="15" hidden="false" customHeight="false" outlineLevel="0" collapsed="false">
      <c r="R894" s="1" t="s">
        <v>289</v>
      </c>
      <c r="V894" s="57" t="s">
        <v>290</v>
      </c>
      <c r="W894" s="58" t="n">
        <v>1</v>
      </c>
      <c r="X894" s="59" t="n">
        <f aca="false">W894*8/$T$891</f>
        <v>0.4</v>
      </c>
      <c r="Y894" s="30" t="n">
        <v>28.94</v>
      </c>
      <c r="Z894" s="30" t="n">
        <f aca="false">X894*Y894</f>
        <v>11.576</v>
      </c>
    </row>
    <row r="895" customFormat="false" ht="15" hidden="false" customHeight="false" outlineLevel="0" collapsed="false">
      <c r="R895" s="1" t="s">
        <v>292</v>
      </c>
      <c r="V895" s="57" t="s">
        <v>290</v>
      </c>
      <c r="W895" s="58" t="n">
        <v>0.5</v>
      </c>
      <c r="X895" s="59" t="n">
        <f aca="false">W895*8/$T$891</f>
        <v>0.2</v>
      </c>
      <c r="Y895" s="30" t="n">
        <v>20.51</v>
      </c>
      <c r="Z895" s="30" t="n">
        <f aca="false">X895*Y895</f>
        <v>4.102</v>
      </c>
    </row>
    <row r="896" customFormat="false" ht="15" hidden="false" customHeight="false" outlineLevel="0" collapsed="false">
      <c r="Z896" s="55" t="n">
        <f aca="false">SUM(Z894:Z895)</f>
        <v>15.678</v>
      </c>
    </row>
    <row r="897" customFormat="false" ht="15" hidden="false" customHeight="false" outlineLevel="0" collapsed="false">
      <c r="R897" s="56" t="s">
        <v>317</v>
      </c>
    </row>
    <row r="898" customFormat="false" ht="15" hidden="false" customHeight="false" outlineLevel="0" collapsed="false">
      <c r="R898" s="1" t="s">
        <v>309</v>
      </c>
      <c r="V898" s="57" t="s">
        <v>310</v>
      </c>
      <c r="X898" s="59" t="n">
        <v>5</v>
      </c>
      <c r="Y898" s="30" t="n">
        <f aca="false">Z896</f>
        <v>15.678</v>
      </c>
      <c r="Z898" s="30" t="n">
        <f aca="false">X898%*Y898</f>
        <v>0.7839</v>
      </c>
    </row>
    <row r="899" customFormat="false" ht="15" hidden="false" customHeight="false" outlineLevel="0" collapsed="false">
      <c r="Q899" s="62"/>
      <c r="R899" s="62"/>
      <c r="S899" s="62"/>
      <c r="T899" s="62"/>
      <c r="U899" s="62"/>
      <c r="V899" s="62"/>
      <c r="W899" s="62"/>
      <c r="X899" s="62"/>
      <c r="Y899" s="62"/>
      <c r="Z899" s="63" t="n">
        <f aca="false">SUM(Z898:Z898)</f>
        <v>0.7839</v>
      </c>
    </row>
    <row r="901" customFormat="false" ht="15" hidden="false" customHeight="false" outlineLevel="0" collapsed="false">
      <c r="Q901" s="14" t="s">
        <v>333</v>
      </c>
      <c r="R901" s="14"/>
      <c r="S901" s="14" t="s">
        <v>1295</v>
      </c>
      <c r="T901" s="14"/>
      <c r="U901" s="14"/>
      <c r="V901" s="14"/>
      <c r="W901" s="14"/>
      <c r="X901" s="14"/>
      <c r="Y901" s="14"/>
    </row>
    <row r="902" customFormat="false" ht="15" hidden="false" customHeight="false" outlineLevel="0" collapsed="false">
      <c r="Q902" s="14" t="s">
        <v>277</v>
      </c>
      <c r="R902" s="14" t="s">
        <v>325</v>
      </c>
      <c r="S902" s="38" t="s">
        <v>279</v>
      </c>
      <c r="T902" s="54" t="n">
        <v>20</v>
      </c>
      <c r="U902" s="38" t="s">
        <v>280</v>
      </c>
      <c r="V902" s="54" t="n">
        <f aca="false">T902</f>
        <v>20</v>
      </c>
      <c r="W902" s="14" t="s">
        <v>281</v>
      </c>
      <c r="Y902" s="38" t="s">
        <v>148</v>
      </c>
      <c r="Z902" s="55" t="n">
        <f aca="false">Z907+Z910</f>
        <v>16.4619</v>
      </c>
    </row>
    <row r="903" customFormat="false" ht="15" hidden="false" customHeight="false" outlineLevel="0" collapsed="false">
      <c r="Q903" s="14" t="s">
        <v>282</v>
      </c>
      <c r="R903" s="14" t="s">
        <v>283</v>
      </c>
      <c r="V903" s="38" t="s">
        <v>121</v>
      </c>
      <c r="W903" s="38" t="s">
        <v>284</v>
      </c>
      <c r="X903" s="38" t="s">
        <v>285</v>
      </c>
      <c r="Y903" s="38" t="s">
        <v>286</v>
      </c>
      <c r="Z903" s="38" t="s">
        <v>287</v>
      </c>
    </row>
    <row r="904" customFormat="false" ht="15" hidden="false" customHeight="false" outlineLevel="0" collapsed="false">
      <c r="R904" s="56" t="s">
        <v>288</v>
      </c>
    </row>
    <row r="905" customFormat="false" ht="15" hidden="false" customHeight="false" outlineLevel="0" collapsed="false">
      <c r="R905" s="1" t="s">
        <v>289</v>
      </c>
      <c r="V905" s="57" t="s">
        <v>290</v>
      </c>
      <c r="W905" s="58" t="n">
        <v>1</v>
      </c>
      <c r="X905" s="59" t="n">
        <f aca="false">W905*8/$T$902</f>
        <v>0.4</v>
      </c>
      <c r="Y905" s="30" t="n">
        <v>28.94</v>
      </c>
      <c r="Z905" s="30" t="n">
        <f aca="false">X905*Y905</f>
        <v>11.576</v>
      </c>
    </row>
    <row r="906" customFormat="false" ht="15" hidden="false" customHeight="false" outlineLevel="0" collapsed="false">
      <c r="R906" s="1" t="s">
        <v>292</v>
      </c>
      <c r="V906" s="57" t="s">
        <v>290</v>
      </c>
      <c r="W906" s="58" t="n">
        <v>0.5</v>
      </c>
      <c r="X906" s="59" t="n">
        <f aca="false">W906*8/$T$902</f>
        <v>0.2</v>
      </c>
      <c r="Y906" s="30" t="n">
        <v>20.51</v>
      </c>
      <c r="Z906" s="30" t="n">
        <f aca="false">X906*Y906</f>
        <v>4.102</v>
      </c>
    </row>
    <row r="907" customFormat="false" ht="15" hidden="false" customHeight="false" outlineLevel="0" collapsed="false">
      <c r="Z907" s="55" t="n">
        <f aca="false">SUM(Z905:Z906)</f>
        <v>15.678</v>
      </c>
    </row>
    <row r="908" customFormat="false" ht="15" hidden="false" customHeight="false" outlineLevel="0" collapsed="false">
      <c r="R908" s="56" t="s">
        <v>317</v>
      </c>
    </row>
    <row r="909" customFormat="false" ht="15" hidden="false" customHeight="false" outlineLevel="0" collapsed="false">
      <c r="R909" s="1" t="s">
        <v>309</v>
      </c>
      <c r="V909" s="57" t="s">
        <v>310</v>
      </c>
      <c r="X909" s="59" t="n">
        <v>5</v>
      </c>
      <c r="Y909" s="30" t="n">
        <f aca="false">Z907</f>
        <v>15.678</v>
      </c>
      <c r="Z909" s="30" t="n">
        <f aca="false">X909%*Y909</f>
        <v>0.7839</v>
      </c>
    </row>
    <row r="910" customFormat="false" ht="15" hidden="false" customHeight="false" outlineLevel="0" collapsed="false">
      <c r="Q910" s="62"/>
      <c r="R910" s="62"/>
      <c r="S910" s="62"/>
      <c r="T910" s="62"/>
      <c r="U910" s="62"/>
      <c r="V910" s="62"/>
      <c r="W910" s="62"/>
      <c r="X910" s="62"/>
      <c r="Y910" s="62"/>
      <c r="Z910" s="63" t="n">
        <f aca="false">SUM(Z909:Z909)</f>
        <v>0.7839</v>
      </c>
    </row>
    <row r="912" customFormat="false" ht="15" hidden="false" customHeight="false" outlineLevel="0" collapsed="false">
      <c r="Q912" s="14" t="s">
        <v>333</v>
      </c>
      <c r="R912" s="14"/>
      <c r="S912" s="14" t="s">
        <v>1296</v>
      </c>
      <c r="T912" s="14"/>
      <c r="U912" s="14"/>
      <c r="V912" s="14"/>
      <c r="W912" s="14"/>
      <c r="X912" s="14"/>
      <c r="Y912" s="14"/>
    </row>
    <row r="913" customFormat="false" ht="15" hidden="false" customHeight="false" outlineLevel="0" collapsed="false">
      <c r="Q913" s="14" t="s">
        <v>277</v>
      </c>
      <c r="R913" s="14" t="s">
        <v>415</v>
      </c>
      <c r="S913" s="38" t="s">
        <v>279</v>
      </c>
      <c r="T913" s="54" t="n">
        <v>75</v>
      </c>
      <c r="U913" s="38" t="s">
        <v>280</v>
      </c>
      <c r="V913" s="54" t="n">
        <f aca="false">T913</f>
        <v>75</v>
      </c>
      <c r="W913" s="14" t="s">
        <v>281</v>
      </c>
      <c r="Y913" s="38" t="s">
        <v>202</v>
      </c>
      <c r="Z913" s="55" t="n">
        <f aca="false">Z918+Z921+Z925</f>
        <v>31.9812733333333</v>
      </c>
    </row>
    <row r="914" customFormat="false" ht="15" hidden="false" customHeight="false" outlineLevel="0" collapsed="false">
      <c r="Q914" s="14" t="s">
        <v>282</v>
      </c>
      <c r="R914" s="14" t="s">
        <v>283</v>
      </c>
      <c r="V914" s="38" t="s">
        <v>121</v>
      </c>
      <c r="W914" s="38" t="s">
        <v>284</v>
      </c>
      <c r="X914" s="38" t="s">
        <v>285</v>
      </c>
      <c r="Y914" s="38" t="s">
        <v>286</v>
      </c>
      <c r="Z914" s="38" t="s">
        <v>287</v>
      </c>
    </row>
    <row r="915" customFormat="false" ht="15" hidden="false" customHeight="false" outlineLevel="0" collapsed="false">
      <c r="R915" s="56" t="s">
        <v>288</v>
      </c>
    </row>
    <row r="916" customFormat="false" ht="15" hidden="false" customHeight="false" outlineLevel="0" collapsed="false">
      <c r="R916" s="1" t="s">
        <v>1297</v>
      </c>
      <c r="V916" s="57" t="s">
        <v>290</v>
      </c>
      <c r="W916" s="58" t="n">
        <v>1</v>
      </c>
      <c r="X916" s="59" t="n">
        <f aca="false">W916*8/$T$913</f>
        <v>0.106666666666667</v>
      </c>
      <c r="Y916" s="30" t="n">
        <v>29.44</v>
      </c>
      <c r="Z916" s="30" t="n">
        <f aca="false">X916*Y916</f>
        <v>3.14026666666667</v>
      </c>
    </row>
    <row r="917" customFormat="false" ht="15" hidden="false" customHeight="false" outlineLevel="0" collapsed="false">
      <c r="R917" s="1" t="s">
        <v>292</v>
      </c>
      <c r="V917" s="57" t="s">
        <v>290</v>
      </c>
      <c r="W917" s="58" t="n">
        <v>0.5</v>
      </c>
      <c r="X917" s="59" t="n">
        <f aca="false">W917*8/$T$913</f>
        <v>0.0533333333333333</v>
      </c>
      <c r="Y917" s="30" t="n">
        <v>20.51</v>
      </c>
      <c r="Z917" s="30" t="n">
        <f aca="false">X917*Y917</f>
        <v>1.09386666666667</v>
      </c>
    </row>
    <row r="918" customFormat="false" ht="15" hidden="false" customHeight="false" outlineLevel="0" collapsed="false">
      <c r="Z918" s="55" t="n">
        <f aca="false">SUM(Z916:Z917)</f>
        <v>4.23413333333333</v>
      </c>
    </row>
    <row r="919" customFormat="false" ht="15" hidden="false" customHeight="false" outlineLevel="0" collapsed="false">
      <c r="R919" s="56" t="s">
        <v>293</v>
      </c>
    </row>
    <row r="920" customFormat="false" ht="15" hidden="false" customHeight="false" outlineLevel="0" collapsed="false">
      <c r="R920" s="1" t="s">
        <v>1298</v>
      </c>
      <c r="V920" s="57" t="s">
        <v>339</v>
      </c>
      <c r="X920" s="59" t="n">
        <v>0.15</v>
      </c>
      <c r="Y920" s="30" t="n">
        <v>14.83</v>
      </c>
      <c r="Z920" s="30" t="n">
        <f aca="false">X920*Y920</f>
        <v>2.2245</v>
      </c>
    </row>
    <row r="921" customFormat="false" ht="15" hidden="false" customHeight="false" outlineLevel="0" collapsed="false">
      <c r="V921" s="57"/>
      <c r="Z921" s="55" t="n">
        <f aca="false">SUM(Z920:Z920)</f>
        <v>2.2245</v>
      </c>
    </row>
    <row r="922" customFormat="false" ht="15" hidden="false" customHeight="false" outlineLevel="0" collapsed="false">
      <c r="R922" s="56" t="s">
        <v>317</v>
      </c>
    </row>
    <row r="923" customFormat="false" ht="15" hidden="false" customHeight="false" outlineLevel="0" collapsed="false">
      <c r="R923" s="1" t="s">
        <v>309</v>
      </c>
      <c r="V923" s="57" t="s">
        <v>310</v>
      </c>
      <c r="X923" s="59" t="n">
        <v>5</v>
      </c>
      <c r="Y923" s="30" t="n">
        <f aca="false">Z918</f>
        <v>4.23413333333333</v>
      </c>
      <c r="Z923" s="30" t="n">
        <f aca="false">X923%*Y923</f>
        <v>0.211706666666667</v>
      </c>
    </row>
    <row r="924" customFormat="false" ht="15" hidden="false" customHeight="false" outlineLevel="0" collapsed="false">
      <c r="R924" s="1" t="s">
        <v>1299</v>
      </c>
      <c r="V924" s="57" t="s">
        <v>337</v>
      </c>
      <c r="W924" s="58" t="n">
        <v>1</v>
      </c>
      <c r="X924" s="59" t="n">
        <f aca="false">W924*8/$T$913</f>
        <v>0.106666666666667</v>
      </c>
      <c r="Y924" s="30" t="n">
        <v>237.29</v>
      </c>
      <c r="Z924" s="30" t="n">
        <f aca="false">X924*Y924</f>
        <v>25.3109333333333</v>
      </c>
    </row>
    <row r="925" customFormat="false" ht="15" hidden="false" customHeight="false" outlineLevel="0" collapsed="false">
      <c r="Q925" s="62"/>
      <c r="R925" s="62"/>
      <c r="S925" s="62"/>
      <c r="T925" s="62"/>
      <c r="U925" s="62"/>
      <c r="V925" s="62"/>
      <c r="W925" s="62"/>
      <c r="X925" s="62"/>
      <c r="Y925" s="62"/>
      <c r="Z925" s="63" t="n">
        <f aca="false">SUM(Z923:Z924)</f>
        <v>25.52264</v>
      </c>
    </row>
    <row r="927" customFormat="false" ht="15" hidden="false" customHeight="false" outlineLevel="0" collapsed="false">
      <c r="Q927" s="14" t="s">
        <v>333</v>
      </c>
      <c r="R927" s="14"/>
      <c r="S927" s="14" t="s">
        <v>1300</v>
      </c>
      <c r="T927" s="14"/>
      <c r="U927" s="14"/>
      <c r="V927" s="14"/>
      <c r="W927" s="14"/>
      <c r="X927" s="14"/>
      <c r="Y927" s="14"/>
    </row>
    <row r="928" customFormat="false" ht="15" hidden="false" customHeight="false" outlineLevel="0" collapsed="false">
      <c r="Q928" s="14" t="s">
        <v>277</v>
      </c>
      <c r="R928" s="14" t="s">
        <v>415</v>
      </c>
      <c r="S928" s="38" t="s">
        <v>279</v>
      </c>
      <c r="T928" s="54" t="n">
        <v>75</v>
      </c>
      <c r="U928" s="38" t="s">
        <v>280</v>
      </c>
      <c r="V928" s="54" t="n">
        <f aca="false">T928</f>
        <v>75</v>
      </c>
      <c r="W928" s="14" t="s">
        <v>281</v>
      </c>
      <c r="Y928" s="38" t="s">
        <v>202</v>
      </c>
      <c r="Z928" s="55" t="n">
        <f aca="false">Z933+Z936+Z940</f>
        <v>22.0378066666667</v>
      </c>
    </row>
    <row r="929" customFormat="false" ht="15" hidden="false" customHeight="false" outlineLevel="0" collapsed="false">
      <c r="Q929" s="14" t="s">
        <v>282</v>
      </c>
      <c r="R929" s="14" t="s">
        <v>283</v>
      </c>
      <c r="V929" s="38" t="s">
        <v>121</v>
      </c>
      <c r="W929" s="38" t="s">
        <v>284</v>
      </c>
      <c r="X929" s="38" t="s">
        <v>285</v>
      </c>
      <c r="Y929" s="38" t="s">
        <v>286</v>
      </c>
      <c r="Z929" s="38" t="s">
        <v>287</v>
      </c>
    </row>
    <row r="930" customFormat="false" ht="15" hidden="false" customHeight="false" outlineLevel="0" collapsed="false">
      <c r="R930" s="56" t="s">
        <v>288</v>
      </c>
    </row>
    <row r="931" customFormat="false" ht="15" hidden="false" customHeight="false" outlineLevel="0" collapsed="false">
      <c r="R931" s="1" t="s">
        <v>1297</v>
      </c>
      <c r="V931" s="57" t="s">
        <v>290</v>
      </c>
      <c r="W931" s="58" t="n">
        <v>1</v>
      </c>
      <c r="X931" s="59" t="n">
        <f aca="false">W931*8/$T$928</f>
        <v>0.106666666666667</v>
      </c>
      <c r="Y931" s="30" t="n">
        <v>29.44</v>
      </c>
      <c r="Z931" s="30" t="n">
        <f aca="false">X931*Y931</f>
        <v>3.14026666666667</v>
      </c>
    </row>
    <row r="932" customFormat="false" ht="15" hidden="false" customHeight="false" outlineLevel="0" collapsed="false">
      <c r="R932" s="1" t="s">
        <v>292</v>
      </c>
      <c r="V932" s="57" t="s">
        <v>290</v>
      </c>
      <c r="W932" s="58" t="n">
        <v>0.5</v>
      </c>
      <c r="X932" s="59" t="n">
        <f aca="false">W932*8/$T$928</f>
        <v>0.0533333333333333</v>
      </c>
      <c r="Y932" s="30" t="n">
        <v>20.51</v>
      </c>
      <c r="Z932" s="30" t="n">
        <f aca="false">X932*Y932</f>
        <v>1.09386666666667</v>
      </c>
    </row>
    <row r="933" customFormat="false" ht="15" hidden="false" customHeight="false" outlineLevel="0" collapsed="false">
      <c r="Z933" s="55" t="n">
        <f aca="false">SUM(Z931:Z932)</f>
        <v>4.23413333333333</v>
      </c>
    </row>
    <row r="934" customFormat="false" ht="15" hidden="false" customHeight="false" outlineLevel="0" collapsed="false">
      <c r="R934" s="56" t="s">
        <v>293</v>
      </c>
    </row>
    <row r="935" customFormat="false" ht="15" hidden="false" customHeight="false" outlineLevel="0" collapsed="false">
      <c r="R935" s="1" t="s">
        <v>1298</v>
      </c>
      <c r="V935" s="57" t="s">
        <v>339</v>
      </c>
      <c r="X935" s="59" t="n">
        <v>0.15</v>
      </c>
      <c r="Y935" s="30" t="n">
        <v>14.83</v>
      </c>
      <c r="Z935" s="30" t="n">
        <f aca="false">X935*Y935</f>
        <v>2.2245</v>
      </c>
    </row>
    <row r="936" customFormat="false" ht="15" hidden="false" customHeight="false" outlineLevel="0" collapsed="false">
      <c r="V936" s="57"/>
      <c r="Z936" s="55" t="n">
        <f aca="false">SUM(Z935:Z935)</f>
        <v>2.2245</v>
      </c>
    </row>
    <row r="937" customFormat="false" ht="15" hidden="false" customHeight="false" outlineLevel="0" collapsed="false">
      <c r="R937" s="56" t="s">
        <v>317</v>
      </c>
    </row>
    <row r="938" customFormat="false" ht="15" hidden="false" customHeight="false" outlineLevel="0" collapsed="false">
      <c r="R938" s="1" t="s">
        <v>309</v>
      </c>
      <c r="V938" s="57" t="s">
        <v>310</v>
      </c>
      <c r="X938" s="59" t="n">
        <v>5</v>
      </c>
      <c r="Y938" s="30" t="n">
        <f aca="false">Z933</f>
        <v>4.23413333333333</v>
      </c>
      <c r="Z938" s="30" t="n">
        <f aca="false">X938%*Y938</f>
        <v>0.211706666666667</v>
      </c>
    </row>
    <row r="939" customFormat="false" ht="15" hidden="false" customHeight="false" outlineLevel="0" collapsed="false">
      <c r="R939" s="1" t="s">
        <v>1301</v>
      </c>
      <c r="V939" s="57" t="s">
        <v>337</v>
      </c>
      <c r="W939" s="58" t="n">
        <v>1</v>
      </c>
      <c r="X939" s="59" t="n">
        <f aca="false">W939*8/$T$928</f>
        <v>0.106666666666667</v>
      </c>
      <c r="Y939" s="30" t="n">
        <v>144.07</v>
      </c>
      <c r="Z939" s="30" t="n">
        <f aca="false">X939*Y939</f>
        <v>15.3674666666667</v>
      </c>
    </row>
    <row r="940" customFormat="false" ht="15" hidden="false" customHeight="false" outlineLevel="0" collapsed="false">
      <c r="Q940" s="62"/>
      <c r="R940" s="62"/>
      <c r="S940" s="62"/>
      <c r="T940" s="62"/>
      <c r="U940" s="62"/>
      <c r="V940" s="62"/>
      <c r="W940" s="62"/>
      <c r="X940" s="62"/>
      <c r="Y940" s="62"/>
      <c r="Z940" s="63" t="n">
        <f aca="false">SUM(Z938:Z939)</f>
        <v>15.5791733333333</v>
      </c>
    </row>
    <row r="942" customFormat="false" ht="15" hidden="false" customHeight="false" outlineLevel="0" collapsed="false">
      <c r="Q942" s="14" t="s">
        <v>333</v>
      </c>
      <c r="R942" s="14"/>
      <c r="S942" s="14" t="s">
        <v>1302</v>
      </c>
      <c r="T942" s="14"/>
      <c r="U942" s="14"/>
      <c r="V942" s="14"/>
      <c r="W942" s="14"/>
      <c r="X942" s="14"/>
      <c r="Y942" s="14"/>
    </row>
    <row r="943" customFormat="false" ht="15" hidden="false" customHeight="false" outlineLevel="0" collapsed="false">
      <c r="Q943" s="14" t="s">
        <v>277</v>
      </c>
      <c r="R943" s="14" t="s">
        <v>415</v>
      </c>
      <c r="S943" s="38" t="s">
        <v>279</v>
      </c>
      <c r="T943" s="54" t="n">
        <v>170</v>
      </c>
      <c r="U943" s="38" t="s">
        <v>280</v>
      </c>
      <c r="V943" s="54" t="n">
        <f aca="false">T943</f>
        <v>170</v>
      </c>
      <c r="W943" s="14" t="s">
        <v>281</v>
      </c>
      <c r="Y943" s="38" t="s">
        <v>202</v>
      </c>
      <c r="Z943" s="55" t="n">
        <f aca="false">Z948+Z951+Z955</f>
        <v>11.0274823529412</v>
      </c>
    </row>
    <row r="944" customFormat="false" ht="15" hidden="false" customHeight="false" outlineLevel="0" collapsed="false">
      <c r="Q944" s="14" t="s">
        <v>282</v>
      </c>
      <c r="R944" s="14" t="s">
        <v>283</v>
      </c>
      <c r="V944" s="38" t="s">
        <v>121</v>
      </c>
      <c r="W944" s="38" t="s">
        <v>284</v>
      </c>
      <c r="X944" s="38" t="s">
        <v>285</v>
      </c>
      <c r="Y944" s="38" t="s">
        <v>286</v>
      </c>
      <c r="Z944" s="38" t="s">
        <v>287</v>
      </c>
    </row>
    <row r="945" customFormat="false" ht="15" hidden="false" customHeight="false" outlineLevel="0" collapsed="false">
      <c r="R945" s="56" t="s">
        <v>288</v>
      </c>
    </row>
    <row r="946" customFormat="false" ht="15" hidden="false" customHeight="false" outlineLevel="0" collapsed="false">
      <c r="R946" s="1" t="s">
        <v>1297</v>
      </c>
      <c r="V946" s="57" t="s">
        <v>290</v>
      </c>
      <c r="W946" s="58" t="n">
        <v>1</v>
      </c>
      <c r="X946" s="59" t="n">
        <f aca="false">W946*8/$T$943</f>
        <v>0.0470588235294118</v>
      </c>
      <c r="Y946" s="30" t="n">
        <v>29.44</v>
      </c>
      <c r="Z946" s="30" t="n">
        <f aca="false">X946*Y946</f>
        <v>1.38541176470588</v>
      </c>
    </row>
    <row r="947" customFormat="false" ht="15" hidden="false" customHeight="false" outlineLevel="0" collapsed="false">
      <c r="R947" s="1" t="s">
        <v>292</v>
      </c>
      <c r="V947" s="57" t="s">
        <v>290</v>
      </c>
      <c r="W947" s="58" t="n">
        <v>1</v>
      </c>
      <c r="X947" s="59" t="n">
        <f aca="false">W947*8/$T$943</f>
        <v>0.0470588235294118</v>
      </c>
      <c r="Y947" s="30" t="n">
        <v>20.51</v>
      </c>
      <c r="Z947" s="30" t="n">
        <f aca="false">X947*Y947</f>
        <v>0.965176470588235</v>
      </c>
    </row>
    <row r="948" customFormat="false" ht="15" hidden="false" customHeight="false" outlineLevel="0" collapsed="false">
      <c r="Z948" s="55" t="n">
        <f aca="false">SUM(Z946:Z947)</f>
        <v>2.35058823529412</v>
      </c>
    </row>
    <row r="949" customFormat="false" ht="15" hidden="false" customHeight="false" outlineLevel="0" collapsed="false">
      <c r="R949" s="56" t="s">
        <v>293</v>
      </c>
    </row>
    <row r="950" customFormat="false" ht="15" hidden="false" customHeight="false" outlineLevel="0" collapsed="false">
      <c r="R950" s="1" t="s">
        <v>1298</v>
      </c>
      <c r="V950" s="57" t="s">
        <v>339</v>
      </c>
      <c r="X950" s="59" t="n">
        <v>0.12</v>
      </c>
      <c r="Y950" s="30" t="n">
        <v>14.83</v>
      </c>
      <c r="Z950" s="30" t="n">
        <f aca="false">X950*Y950</f>
        <v>1.7796</v>
      </c>
    </row>
    <row r="951" customFormat="false" ht="15" hidden="false" customHeight="false" outlineLevel="0" collapsed="false">
      <c r="V951" s="57"/>
      <c r="Z951" s="55" t="n">
        <f aca="false">SUM(Z950:Z950)</f>
        <v>1.7796</v>
      </c>
    </row>
    <row r="952" customFormat="false" ht="15" hidden="false" customHeight="false" outlineLevel="0" collapsed="false">
      <c r="R952" s="56" t="s">
        <v>317</v>
      </c>
    </row>
    <row r="953" customFormat="false" ht="15" hidden="false" customHeight="false" outlineLevel="0" collapsed="false">
      <c r="R953" s="1" t="s">
        <v>309</v>
      </c>
      <c r="V953" s="57" t="s">
        <v>310</v>
      </c>
      <c r="X953" s="59" t="n">
        <v>5</v>
      </c>
      <c r="Y953" s="30" t="n">
        <f aca="false">Z948</f>
        <v>2.35058823529412</v>
      </c>
      <c r="Z953" s="30" t="n">
        <f aca="false">X953%*Y953</f>
        <v>0.117529411764706</v>
      </c>
    </row>
    <row r="954" customFormat="false" ht="15" hidden="false" customHeight="false" outlineLevel="0" collapsed="false">
      <c r="R954" s="1" t="s">
        <v>1301</v>
      </c>
      <c r="V954" s="57" t="s">
        <v>337</v>
      </c>
      <c r="W954" s="58" t="n">
        <v>1</v>
      </c>
      <c r="X954" s="59" t="n">
        <f aca="false">W954*8/$T$943</f>
        <v>0.0470588235294118</v>
      </c>
      <c r="Y954" s="30" t="n">
        <v>144.07</v>
      </c>
      <c r="Z954" s="30" t="n">
        <f aca="false">X954*Y954</f>
        <v>6.77976470588235</v>
      </c>
    </row>
    <row r="955" customFormat="false" ht="15" hidden="false" customHeight="false" outlineLevel="0" collapsed="false">
      <c r="Q955" s="62"/>
      <c r="R955" s="62"/>
      <c r="S955" s="62"/>
      <c r="T955" s="62"/>
      <c r="U955" s="62"/>
      <c r="V955" s="62"/>
      <c r="W955" s="62"/>
      <c r="X955" s="62"/>
      <c r="Y955" s="62"/>
      <c r="Z955" s="63" t="n">
        <f aca="false">SUM(Z953:Z954)</f>
        <v>6.89729411764706</v>
      </c>
    </row>
    <row r="957" customFormat="false" ht="15" hidden="false" customHeight="false" outlineLevel="0" collapsed="false">
      <c r="Q957" s="14" t="s">
        <v>333</v>
      </c>
      <c r="R957" s="14"/>
      <c r="S957" s="14" t="s">
        <v>1303</v>
      </c>
      <c r="T957" s="14"/>
      <c r="U957" s="14"/>
      <c r="V957" s="14"/>
      <c r="W957" s="14"/>
      <c r="X957" s="14"/>
      <c r="Y957" s="14"/>
    </row>
    <row r="958" customFormat="false" ht="15" hidden="false" customHeight="false" outlineLevel="0" collapsed="false">
      <c r="Q958" s="14" t="s">
        <v>277</v>
      </c>
      <c r="R958" s="14" t="s">
        <v>415</v>
      </c>
      <c r="S958" s="38" t="s">
        <v>279</v>
      </c>
      <c r="T958" s="54" t="n">
        <v>60</v>
      </c>
      <c r="U958" s="38" t="s">
        <v>280</v>
      </c>
      <c r="V958" s="54" t="n">
        <f aca="false">T958</f>
        <v>60</v>
      </c>
      <c r="W958" s="14" t="s">
        <v>281</v>
      </c>
      <c r="Y958" s="38" t="s">
        <v>202</v>
      </c>
      <c r="Z958" s="55" t="n">
        <f aca="false">Z963+Z966+Z971</f>
        <v>35.4033</v>
      </c>
    </row>
    <row r="959" customFormat="false" ht="15" hidden="false" customHeight="false" outlineLevel="0" collapsed="false">
      <c r="Q959" s="14" t="s">
        <v>282</v>
      </c>
      <c r="R959" s="14" t="s">
        <v>283</v>
      </c>
      <c r="V959" s="38" t="s">
        <v>121</v>
      </c>
      <c r="W959" s="38" t="s">
        <v>284</v>
      </c>
      <c r="X959" s="38" t="s">
        <v>285</v>
      </c>
      <c r="Y959" s="38" t="s">
        <v>286</v>
      </c>
      <c r="Z959" s="38" t="s">
        <v>287</v>
      </c>
    </row>
    <row r="960" customFormat="false" ht="15" hidden="false" customHeight="false" outlineLevel="0" collapsed="false">
      <c r="R960" s="56" t="s">
        <v>288</v>
      </c>
    </row>
    <row r="961" customFormat="false" ht="15" hidden="false" customHeight="false" outlineLevel="0" collapsed="false">
      <c r="R961" s="1" t="s">
        <v>1297</v>
      </c>
      <c r="V961" s="57" t="s">
        <v>290</v>
      </c>
      <c r="W961" s="58" t="n">
        <v>1</v>
      </c>
      <c r="X961" s="59" t="n">
        <f aca="false">W961*8/$T$958</f>
        <v>0.133333333333333</v>
      </c>
      <c r="Y961" s="30" t="n">
        <v>29.44</v>
      </c>
      <c r="Z961" s="30" t="n">
        <f aca="false">X961*Y961</f>
        <v>3.92533333333333</v>
      </c>
    </row>
    <row r="962" customFormat="false" ht="15" hidden="false" customHeight="false" outlineLevel="0" collapsed="false">
      <c r="R962" s="1" t="s">
        <v>292</v>
      </c>
      <c r="V962" s="57" t="s">
        <v>290</v>
      </c>
      <c r="W962" s="58" t="n">
        <v>0.5</v>
      </c>
      <c r="X962" s="59" t="n">
        <f aca="false">W962*8/$T$958</f>
        <v>0.0666666666666667</v>
      </c>
      <c r="Y962" s="30" t="n">
        <v>20.51</v>
      </c>
      <c r="Z962" s="30" t="n">
        <f aca="false">X962*Y962</f>
        <v>1.36733333333333</v>
      </c>
    </row>
    <row r="963" customFormat="false" ht="15" hidden="false" customHeight="false" outlineLevel="0" collapsed="false">
      <c r="Z963" s="55" t="n">
        <f aca="false">SUM(Z961:Z962)</f>
        <v>5.29266666666667</v>
      </c>
    </row>
    <row r="964" customFormat="false" ht="15" hidden="false" customHeight="false" outlineLevel="0" collapsed="false">
      <c r="R964" s="56" t="s">
        <v>293</v>
      </c>
    </row>
    <row r="965" customFormat="false" ht="15" hidden="false" customHeight="false" outlineLevel="0" collapsed="false">
      <c r="R965" s="1" t="s">
        <v>1298</v>
      </c>
      <c r="V965" s="57" t="s">
        <v>339</v>
      </c>
      <c r="X965" s="59" t="n">
        <v>0.3</v>
      </c>
      <c r="Y965" s="30" t="n">
        <v>14.83</v>
      </c>
      <c r="Z965" s="30" t="n">
        <f aca="false">X965*Y965</f>
        <v>4.449</v>
      </c>
    </row>
    <row r="966" customFormat="false" ht="15" hidden="false" customHeight="false" outlineLevel="0" collapsed="false">
      <c r="V966" s="57"/>
      <c r="Z966" s="55" t="n">
        <f aca="false">SUM(Z965:Z965)</f>
        <v>4.449</v>
      </c>
    </row>
    <row r="967" customFormat="false" ht="15" hidden="false" customHeight="false" outlineLevel="0" collapsed="false">
      <c r="R967" s="56" t="s">
        <v>317</v>
      </c>
    </row>
    <row r="968" customFormat="false" ht="15" hidden="false" customHeight="false" outlineLevel="0" collapsed="false">
      <c r="R968" s="1" t="s">
        <v>309</v>
      </c>
      <c r="V968" s="57" t="s">
        <v>310</v>
      </c>
      <c r="X968" s="59" t="n">
        <v>5</v>
      </c>
      <c r="Y968" s="30" t="n">
        <f aca="false">Z963</f>
        <v>5.29266666666667</v>
      </c>
      <c r="Z968" s="30" t="n">
        <f aca="false">X968%*Y968</f>
        <v>0.264633333333333</v>
      </c>
    </row>
    <row r="969" customFormat="false" ht="15" hidden="false" customHeight="false" outlineLevel="0" collapsed="false">
      <c r="R969" s="1" t="s">
        <v>1299</v>
      </c>
      <c r="V969" s="57" t="s">
        <v>337</v>
      </c>
      <c r="W969" s="58" t="n">
        <v>0.25</v>
      </c>
      <c r="X969" s="59" t="n">
        <f aca="false">W969*8/$T$958</f>
        <v>0.0333333333333333</v>
      </c>
      <c r="Y969" s="30" t="n">
        <v>237.29</v>
      </c>
      <c r="Z969" s="30" t="n">
        <f aca="false">X969*Y969</f>
        <v>7.90966666666667</v>
      </c>
    </row>
    <row r="970" customFormat="false" ht="15" hidden="false" customHeight="false" outlineLevel="0" collapsed="false">
      <c r="R970" s="1" t="s">
        <v>1304</v>
      </c>
      <c r="V970" s="57" t="s">
        <v>337</v>
      </c>
      <c r="W970" s="58" t="n">
        <v>0.5</v>
      </c>
      <c r="X970" s="59" t="n">
        <f aca="false">W970*8/$T$958</f>
        <v>0.0666666666666667</v>
      </c>
      <c r="Y970" s="30" t="n">
        <v>262.31</v>
      </c>
      <c r="Z970" s="30" t="n">
        <f aca="false">X970*Y970</f>
        <v>17.4873333333333</v>
      </c>
    </row>
    <row r="971" customFormat="false" ht="15" hidden="false" customHeight="false" outlineLevel="0" collapsed="false">
      <c r="Q971" s="62"/>
      <c r="R971" s="62"/>
      <c r="S971" s="62"/>
      <c r="T971" s="62"/>
      <c r="U971" s="62"/>
      <c r="V971" s="62"/>
      <c r="W971" s="62"/>
      <c r="X971" s="62"/>
      <c r="Y971" s="62"/>
      <c r="Z971" s="63" t="n">
        <f aca="false">SUM(Z968:Z970)</f>
        <v>25.6616333333333</v>
      </c>
    </row>
    <row r="973" customFormat="false" ht="15" hidden="false" customHeight="false" outlineLevel="0" collapsed="false">
      <c r="Q973" s="14" t="s">
        <v>333</v>
      </c>
      <c r="R973" s="14"/>
      <c r="S973" s="14" t="s">
        <v>1305</v>
      </c>
      <c r="T973" s="14"/>
      <c r="U973" s="14"/>
      <c r="V973" s="14"/>
      <c r="W973" s="14"/>
      <c r="X973" s="14"/>
      <c r="Y973" s="14"/>
    </row>
    <row r="974" customFormat="false" ht="15" hidden="false" customHeight="false" outlineLevel="0" collapsed="false">
      <c r="Q974" s="14" t="s">
        <v>277</v>
      </c>
      <c r="R974" s="14" t="s">
        <v>415</v>
      </c>
      <c r="S974" s="38" t="s">
        <v>279</v>
      </c>
      <c r="T974" s="54" t="n">
        <v>120</v>
      </c>
      <c r="U974" s="38" t="s">
        <v>280</v>
      </c>
      <c r="V974" s="54" t="n">
        <f aca="false">T974</f>
        <v>120</v>
      </c>
      <c r="W974" s="14" t="s">
        <v>281</v>
      </c>
      <c r="Y974" s="38" t="s">
        <v>202</v>
      </c>
      <c r="Z974" s="55" t="n">
        <f aca="false">Z979+Z982+Z986</f>
        <v>22.6448166666667</v>
      </c>
    </row>
    <row r="975" customFormat="false" ht="15" hidden="false" customHeight="false" outlineLevel="0" collapsed="false">
      <c r="Q975" s="14" t="s">
        <v>282</v>
      </c>
      <c r="R975" s="14" t="s">
        <v>283</v>
      </c>
      <c r="V975" s="38" t="s">
        <v>121</v>
      </c>
      <c r="W975" s="38" t="s">
        <v>284</v>
      </c>
      <c r="X975" s="38" t="s">
        <v>285</v>
      </c>
      <c r="Y975" s="38" t="s">
        <v>286</v>
      </c>
      <c r="Z975" s="38" t="s">
        <v>287</v>
      </c>
    </row>
    <row r="976" customFormat="false" ht="15" hidden="false" customHeight="false" outlineLevel="0" collapsed="false">
      <c r="R976" s="56" t="s">
        <v>288</v>
      </c>
    </row>
    <row r="977" customFormat="false" ht="15" hidden="false" customHeight="false" outlineLevel="0" collapsed="false">
      <c r="R977" s="1" t="s">
        <v>1297</v>
      </c>
      <c r="V977" s="57" t="s">
        <v>290</v>
      </c>
      <c r="W977" s="58" t="n">
        <v>1</v>
      </c>
      <c r="X977" s="59" t="n">
        <f aca="false">W977*8/$T$974</f>
        <v>0.0666666666666667</v>
      </c>
      <c r="Y977" s="30" t="n">
        <v>29.44</v>
      </c>
      <c r="Z977" s="30" t="n">
        <f aca="false">X977*Y977</f>
        <v>1.96266666666667</v>
      </c>
    </row>
    <row r="978" customFormat="false" ht="15" hidden="false" customHeight="false" outlineLevel="0" collapsed="false">
      <c r="R978" s="1" t="s">
        <v>292</v>
      </c>
      <c r="V978" s="57" t="s">
        <v>290</v>
      </c>
      <c r="W978" s="58" t="n">
        <v>0.5</v>
      </c>
      <c r="X978" s="59" t="n">
        <f aca="false">W978*8/$T$974</f>
        <v>0.0333333333333333</v>
      </c>
      <c r="Y978" s="30" t="n">
        <v>20.51</v>
      </c>
      <c r="Z978" s="30" t="n">
        <f aca="false">X978*Y978</f>
        <v>0.683666666666667</v>
      </c>
    </row>
    <row r="979" customFormat="false" ht="15" hidden="false" customHeight="false" outlineLevel="0" collapsed="false">
      <c r="Z979" s="55" t="n">
        <f aca="false">SUM(Z977:Z978)</f>
        <v>2.64633333333333</v>
      </c>
    </row>
    <row r="980" customFormat="false" ht="15" hidden="false" customHeight="false" outlineLevel="0" collapsed="false">
      <c r="R980" s="56" t="s">
        <v>293</v>
      </c>
    </row>
    <row r="981" customFormat="false" ht="15" hidden="false" customHeight="false" outlineLevel="0" collapsed="false">
      <c r="R981" s="1" t="s">
        <v>1298</v>
      </c>
      <c r="V981" s="57" t="s">
        <v>339</v>
      </c>
      <c r="X981" s="59" t="n">
        <v>0.75</v>
      </c>
      <c r="Y981" s="30" t="n">
        <v>14.83</v>
      </c>
      <c r="Z981" s="30" t="n">
        <f aca="false">X981*Y981</f>
        <v>11.1225</v>
      </c>
    </row>
    <row r="982" customFormat="false" ht="15" hidden="false" customHeight="false" outlineLevel="0" collapsed="false">
      <c r="V982" s="57"/>
      <c r="Z982" s="55" t="n">
        <f aca="false">SUM(Z981:Z981)</f>
        <v>11.1225</v>
      </c>
    </row>
    <row r="983" customFormat="false" ht="15" hidden="false" customHeight="false" outlineLevel="0" collapsed="false">
      <c r="R983" s="56" t="s">
        <v>317</v>
      </c>
    </row>
    <row r="984" customFormat="false" ht="15" hidden="false" customHeight="false" outlineLevel="0" collapsed="false">
      <c r="R984" s="1" t="s">
        <v>309</v>
      </c>
      <c r="V984" s="57" t="s">
        <v>310</v>
      </c>
      <c r="X984" s="59" t="n">
        <v>5</v>
      </c>
      <c r="Y984" s="30" t="n">
        <f aca="false">Z979</f>
        <v>2.64633333333333</v>
      </c>
      <c r="Z984" s="30" t="n">
        <f aca="false">X984%*Y984</f>
        <v>0.132316666666667</v>
      </c>
    </row>
    <row r="985" customFormat="false" ht="15" hidden="false" customHeight="false" outlineLevel="0" collapsed="false">
      <c r="R985" s="1" t="s">
        <v>1304</v>
      </c>
      <c r="V985" s="57" t="s">
        <v>337</v>
      </c>
      <c r="W985" s="58" t="n">
        <v>0.5</v>
      </c>
      <c r="X985" s="59" t="n">
        <f aca="false">W985*8/$T$974</f>
        <v>0.0333333333333333</v>
      </c>
      <c r="Y985" s="30" t="n">
        <v>262.31</v>
      </c>
      <c r="Z985" s="30" t="n">
        <f aca="false">X985*Y985</f>
        <v>8.74366666666667</v>
      </c>
    </row>
    <row r="986" customFormat="false" ht="15" hidden="false" customHeight="false" outlineLevel="0" collapsed="false">
      <c r="Q986" s="62"/>
      <c r="R986" s="62"/>
      <c r="S986" s="62"/>
      <c r="T986" s="62"/>
      <c r="U986" s="62"/>
      <c r="V986" s="62"/>
      <c r="W986" s="62"/>
      <c r="X986" s="62"/>
      <c r="Y986" s="62"/>
      <c r="Z986" s="63" t="n">
        <f aca="false">SUM(Z984:Z985)</f>
        <v>8.87598333333333</v>
      </c>
    </row>
    <row r="988" customFormat="false" ht="15" hidden="false" customHeight="false" outlineLevel="0" collapsed="false">
      <c r="Q988" s="14" t="s">
        <v>333</v>
      </c>
      <c r="R988" s="14"/>
      <c r="S988" s="14" t="s">
        <v>1306</v>
      </c>
      <c r="T988" s="14"/>
      <c r="U988" s="14"/>
      <c r="V988" s="14"/>
      <c r="W988" s="14"/>
      <c r="X988" s="14"/>
      <c r="Y988" s="14"/>
    </row>
    <row r="989" customFormat="false" ht="15" hidden="false" customHeight="false" outlineLevel="0" collapsed="false">
      <c r="Q989" s="14" t="s">
        <v>277</v>
      </c>
      <c r="R989" s="14" t="s">
        <v>415</v>
      </c>
      <c r="S989" s="38" t="s">
        <v>279</v>
      </c>
      <c r="T989" s="54" t="n">
        <v>120</v>
      </c>
      <c r="U989" s="38" t="s">
        <v>280</v>
      </c>
      <c r="V989" s="54" t="n">
        <f aca="false">T989</f>
        <v>120</v>
      </c>
      <c r="W989" s="14" t="s">
        <v>281</v>
      </c>
      <c r="Y989" s="38" t="s">
        <v>202</v>
      </c>
      <c r="Z989" s="55" t="n">
        <f aca="false">Z994+Z997+Z1001</f>
        <v>22.6448166666667</v>
      </c>
    </row>
    <row r="990" customFormat="false" ht="15" hidden="false" customHeight="false" outlineLevel="0" collapsed="false">
      <c r="Q990" s="14" t="s">
        <v>282</v>
      </c>
      <c r="R990" s="14" t="s">
        <v>283</v>
      </c>
      <c r="V990" s="38" t="s">
        <v>121</v>
      </c>
      <c r="W990" s="38" t="s">
        <v>284</v>
      </c>
      <c r="X990" s="38" t="s">
        <v>285</v>
      </c>
      <c r="Y990" s="38" t="s">
        <v>286</v>
      </c>
      <c r="Z990" s="38" t="s">
        <v>287</v>
      </c>
    </row>
    <row r="991" customFormat="false" ht="15" hidden="false" customHeight="false" outlineLevel="0" collapsed="false">
      <c r="R991" s="56" t="s">
        <v>288</v>
      </c>
    </row>
    <row r="992" customFormat="false" ht="15" hidden="false" customHeight="false" outlineLevel="0" collapsed="false">
      <c r="R992" s="1" t="s">
        <v>1297</v>
      </c>
      <c r="V992" s="57" t="s">
        <v>290</v>
      </c>
      <c r="W992" s="58" t="n">
        <v>1</v>
      </c>
      <c r="X992" s="59" t="n">
        <f aca="false">W992*8/$T$989</f>
        <v>0.0666666666666667</v>
      </c>
      <c r="Y992" s="30" t="n">
        <v>29.44</v>
      </c>
      <c r="Z992" s="30" t="n">
        <f aca="false">X992*Y992</f>
        <v>1.96266666666667</v>
      </c>
    </row>
    <row r="993" customFormat="false" ht="15" hidden="false" customHeight="false" outlineLevel="0" collapsed="false">
      <c r="R993" s="1" t="s">
        <v>292</v>
      </c>
      <c r="V993" s="57" t="s">
        <v>290</v>
      </c>
      <c r="W993" s="58" t="n">
        <v>0.5</v>
      </c>
      <c r="X993" s="59" t="n">
        <f aca="false">W993*8/$T$989</f>
        <v>0.0333333333333333</v>
      </c>
      <c r="Y993" s="30" t="n">
        <v>20.51</v>
      </c>
      <c r="Z993" s="30" t="n">
        <f aca="false">X993*Y993</f>
        <v>0.683666666666667</v>
      </c>
    </row>
    <row r="994" customFormat="false" ht="15" hidden="false" customHeight="false" outlineLevel="0" collapsed="false">
      <c r="Z994" s="55" t="n">
        <f aca="false">SUM(Z992:Z993)</f>
        <v>2.64633333333333</v>
      </c>
    </row>
    <row r="995" customFormat="false" ht="15" hidden="false" customHeight="false" outlineLevel="0" collapsed="false">
      <c r="R995" s="56" t="s">
        <v>293</v>
      </c>
    </row>
    <row r="996" customFormat="false" ht="15" hidden="false" customHeight="false" outlineLevel="0" collapsed="false">
      <c r="R996" s="1" t="s">
        <v>1298</v>
      </c>
      <c r="V996" s="57" t="s">
        <v>339</v>
      </c>
      <c r="X996" s="59" t="n">
        <v>0.75</v>
      </c>
      <c r="Y996" s="30" t="n">
        <v>14.83</v>
      </c>
      <c r="Z996" s="30" t="n">
        <f aca="false">X996*Y996</f>
        <v>11.1225</v>
      </c>
    </row>
    <row r="997" customFormat="false" ht="15" hidden="false" customHeight="false" outlineLevel="0" collapsed="false">
      <c r="V997" s="57"/>
      <c r="Z997" s="55" t="n">
        <f aca="false">SUM(Z996:Z996)</f>
        <v>11.1225</v>
      </c>
    </row>
    <row r="998" customFormat="false" ht="15" hidden="false" customHeight="false" outlineLevel="0" collapsed="false">
      <c r="R998" s="56" t="s">
        <v>317</v>
      </c>
    </row>
    <row r="999" customFormat="false" ht="15" hidden="false" customHeight="false" outlineLevel="0" collapsed="false">
      <c r="R999" s="1" t="s">
        <v>309</v>
      </c>
      <c r="V999" s="57" t="s">
        <v>310</v>
      </c>
      <c r="X999" s="59" t="n">
        <v>5</v>
      </c>
      <c r="Y999" s="30" t="n">
        <f aca="false">Z994</f>
        <v>2.64633333333333</v>
      </c>
      <c r="Z999" s="30" t="n">
        <f aca="false">X999%*Y999</f>
        <v>0.132316666666667</v>
      </c>
    </row>
    <row r="1000" customFormat="false" ht="15" hidden="false" customHeight="false" outlineLevel="0" collapsed="false">
      <c r="R1000" s="1" t="s">
        <v>1304</v>
      </c>
      <c r="V1000" s="57" t="s">
        <v>337</v>
      </c>
      <c r="W1000" s="58" t="n">
        <v>0.5</v>
      </c>
      <c r="X1000" s="59" t="n">
        <f aca="false">W1000*8/$T$989</f>
        <v>0.0333333333333333</v>
      </c>
      <c r="Y1000" s="30" t="n">
        <v>262.31</v>
      </c>
      <c r="Z1000" s="30" t="n">
        <f aca="false">X1000*Y1000</f>
        <v>8.74366666666667</v>
      </c>
    </row>
    <row r="1001" customFormat="false" ht="15" hidden="false" customHeight="false" outlineLevel="0" collapsed="false">
      <c r="Q1001" s="62"/>
      <c r="R1001" s="62"/>
      <c r="S1001" s="62"/>
      <c r="T1001" s="62"/>
      <c r="U1001" s="62"/>
      <c r="V1001" s="62"/>
      <c r="W1001" s="62"/>
      <c r="X1001" s="62"/>
      <c r="Y1001" s="62"/>
      <c r="Z1001" s="63" t="n">
        <f aca="false">SUM(Z999:Z1000)</f>
        <v>8.87598333333333</v>
      </c>
    </row>
    <row r="1003" customFormat="false" ht="15" hidden="false" customHeight="false" outlineLevel="0" collapsed="false">
      <c r="Q1003" s="14" t="s">
        <v>333</v>
      </c>
      <c r="R1003" s="14"/>
      <c r="S1003" s="14" t="s">
        <v>1307</v>
      </c>
      <c r="T1003" s="14"/>
      <c r="U1003" s="14"/>
      <c r="V1003" s="14"/>
      <c r="W1003" s="14"/>
      <c r="X1003" s="14"/>
      <c r="Y1003" s="14"/>
    </row>
    <row r="1004" customFormat="false" ht="15" hidden="false" customHeight="false" outlineLevel="0" collapsed="false">
      <c r="Q1004" s="14" t="s">
        <v>277</v>
      </c>
      <c r="R1004" s="14" t="s">
        <v>415</v>
      </c>
      <c r="S1004" s="38" t="s">
        <v>279</v>
      </c>
      <c r="T1004" s="54" t="n">
        <v>170</v>
      </c>
      <c r="U1004" s="38" t="s">
        <v>280</v>
      </c>
      <c r="V1004" s="54" t="n">
        <f aca="false">T1004</f>
        <v>170</v>
      </c>
      <c r="W1004" s="14" t="s">
        <v>281</v>
      </c>
      <c r="Y1004" s="38" t="s">
        <v>202</v>
      </c>
      <c r="Z1004" s="55" t="n">
        <f aca="false">Z1009+Z1012+Z1018</f>
        <v>23.5702411764706</v>
      </c>
    </row>
    <row r="1005" customFormat="false" ht="15" hidden="false" customHeight="false" outlineLevel="0" collapsed="false">
      <c r="Q1005" s="14" t="s">
        <v>282</v>
      </c>
      <c r="R1005" s="14" t="s">
        <v>283</v>
      </c>
      <c r="V1005" s="38" t="s">
        <v>121</v>
      </c>
      <c r="W1005" s="38" t="s">
        <v>284</v>
      </c>
      <c r="X1005" s="38" t="s">
        <v>285</v>
      </c>
      <c r="Y1005" s="38" t="s">
        <v>286</v>
      </c>
      <c r="Z1005" s="38" t="s">
        <v>287</v>
      </c>
    </row>
    <row r="1006" customFormat="false" ht="15" hidden="false" customHeight="false" outlineLevel="0" collapsed="false">
      <c r="R1006" s="56" t="s">
        <v>288</v>
      </c>
    </row>
    <row r="1007" customFormat="false" ht="15" hidden="false" customHeight="false" outlineLevel="0" collapsed="false">
      <c r="R1007" s="1" t="s">
        <v>1297</v>
      </c>
      <c r="V1007" s="57" t="s">
        <v>290</v>
      </c>
      <c r="W1007" s="58" t="n">
        <v>2</v>
      </c>
      <c r="X1007" s="59" t="n">
        <f aca="false">W1007*8/$T$1004</f>
        <v>0.0941176470588235</v>
      </c>
      <c r="Y1007" s="30" t="n">
        <v>29.44</v>
      </c>
      <c r="Z1007" s="30" t="n">
        <f aca="false">X1007*Y1007</f>
        <v>2.77082352941176</v>
      </c>
    </row>
    <row r="1008" customFormat="false" ht="15" hidden="false" customHeight="false" outlineLevel="0" collapsed="false">
      <c r="R1008" s="1" t="s">
        <v>292</v>
      </c>
      <c r="V1008" s="57" t="s">
        <v>290</v>
      </c>
      <c r="W1008" s="58" t="n">
        <v>1</v>
      </c>
      <c r="X1008" s="59" t="n">
        <f aca="false">W1008*8/$T$1004</f>
        <v>0.0470588235294118</v>
      </c>
      <c r="Y1008" s="30" t="n">
        <v>20.51</v>
      </c>
      <c r="Z1008" s="30" t="n">
        <f aca="false">X1008*Y1008</f>
        <v>0.965176470588235</v>
      </c>
    </row>
    <row r="1009" customFormat="false" ht="15" hidden="false" customHeight="false" outlineLevel="0" collapsed="false">
      <c r="Z1009" s="55" t="n">
        <f aca="false">SUM(Z1007:Z1008)</f>
        <v>3.736</v>
      </c>
    </row>
    <row r="1010" customFormat="false" ht="15" hidden="false" customHeight="false" outlineLevel="0" collapsed="false">
      <c r="R1010" s="56" t="s">
        <v>293</v>
      </c>
    </row>
    <row r="1011" customFormat="false" ht="15" hidden="false" customHeight="false" outlineLevel="0" collapsed="false">
      <c r="R1011" s="1" t="s">
        <v>1298</v>
      </c>
      <c r="V1011" s="57" t="s">
        <v>339</v>
      </c>
      <c r="X1011" s="59" t="n">
        <v>0.75</v>
      </c>
      <c r="Y1011" s="30" t="n">
        <v>14.83</v>
      </c>
      <c r="Z1011" s="30" t="n">
        <f aca="false">X1011*Y1011</f>
        <v>11.1225</v>
      </c>
    </row>
    <row r="1012" customFormat="false" ht="15" hidden="false" customHeight="false" outlineLevel="0" collapsed="false">
      <c r="V1012" s="57"/>
      <c r="Z1012" s="55" t="n">
        <f aca="false">SUM(Z1011:Z1011)</f>
        <v>11.1225</v>
      </c>
    </row>
    <row r="1013" customFormat="false" ht="15" hidden="false" customHeight="false" outlineLevel="0" collapsed="false">
      <c r="R1013" s="56" t="s">
        <v>317</v>
      </c>
    </row>
    <row r="1014" customFormat="false" ht="15" hidden="false" customHeight="false" outlineLevel="0" collapsed="false">
      <c r="R1014" s="1" t="s">
        <v>309</v>
      </c>
      <c r="V1014" s="57" t="s">
        <v>310</v>
      </c>
      <c r="X1014" s="59" t="n">
        <v>5</v>
      </c>
      <c r="Y1014" s="30" t="n">
        <f aca="false">Z1009</f>
        <v>3.736</v>
      </c>
      <c r="Z1014" s="30" t="n">
        <f aca="false">X1014%*Y1014</f>
        <v>0.1868</v>
      </c>
    </row>
    <row r="1015" customFormat="false" ht="15" hidden="false" customHeight="false" outlineLevel="0" collapsed="false">
      <c r="R1015" s="1" t="s">
        <v>1308</v>
      </c>
      <c r="V1015" s="57" t="s">
        <v>337</v>
      </c>
      <c r="W1015" s="58" t="n">
        <v>1</v>
      </c>
      <c r="X1015" s="59" t="n">
        <f aca="false">W1015*8/$T$1004</f>
        <v>0.0470588235294118</v>
      </c>
      <c r="Y1015" s="30" t="n">
        <v>25</v>
      </c>
      <c r="Z1015" s="30" t="n">
        <f aca="false">X1015*Y1015</f>
        <v>1.17647058823529</v>
      </c>
    </row>
    <row r="1016" customFormat="false" ht="15" hidden="false" customHeight="false" outlineLevel="0" collapsed="false">
      <c r="R1016" s="1" t="s">
        <v>1304</v>
      </c>
      <c r="V1016" s="57" t="s">
        <v>337</v>
      </c>
      <c r="W1016" s="58" t="n">
        <v>0.5</v>
      </c>
      <c r="X1016" s="59" t="n">
        <f aca="false">W1016*8/$T$1004</f>
        <v>0.0235294117647059</v>
      </c>
      <c r="Y1016" s="30" t="n">
        <v>262.31</v>
      </c>
      <c r="Z1016" s="30" t="n">
        <f aca="false">X1016*Y1016</f>
        <v>6.172</v>
      </c>
    </row>
    <row r="1017" customFormat="false" ht="15" hidden="false" customHeight="false" outlineLevel="0" collapsed="false">
      <c r="R1017" s="1" t="s">
        <v>1309</v>
      </c>
      <c r="V1017" s="57" t="s">
        <v>337</v>
      </c>
      <c r="W1017" s="58" t="n">
        <v>1</v>
      </c>
      <c r="X1017" s="59" t="n">
        <f aca="false">W1017*8/$T$1004</f>
        <v>0.0470588235294118</v>
      </c>
      <c r="Y1017" s="30" t="n">
        <v>25</v>
      </c>
      <c r="Z1017" s="30" t="n">
        <f aca="false">X1017*Y1017</f>
        <v>1.17647058823529</v>
      </c>
    </row>
    <row r="1018" customFormat="false" ht="15" hidden="false" customHeight="false" outlineLevel="0" collapsed="false">
      <c r="Q1018" s="62"/>
      <c r="R1018" s="62"/>
      <c r="S1018" s="62"/>
      <c r="T1018" s="62"/>
      <c r="U1018" s="62"/>
      <c r="V1018" s="62"/>
      <c r="W1018" s="62"/>
      <c r="X1018" s="62"/>
      <c r="Y1018" s="62"/>
      <c r="Z1018" s="63" t="n">
        <f aca="false">SUM(Z1014:Z1017)</f>
        <v>8.71174117647059</v>
      </c>
    </row>
    <row r="1020" customFormat="false" ht="15" hidden="false" customHeight="false" outlineLevel="0" collapsed="false">
      <c r="Q1020" s="14" t="s">
        <v>333</v>
      </c>
      <c r="R1020" s="14"/>
      <c r="S1020" s="14" t="s">
        <v>1310</v>
      </c>
      <c r="T1020" s="14"/>
      <c r="U1020" s="14"/>
      <c r="V1020" s="14"/>
      <c r="W1020" s="14"/>
      <c r="X1020" s="14"/>
      <c r="Y1020" s="14"/>
    </row>
    <row r="1021" customFormat="false" ht="15" hidden="false" customHeight="false" outlineLevel="0" collapsed="false">
      <c r="Q1021" s="14" t="s">
        <v>277</v>
      </c>
      <c r="R1021" s="14" t="s">
        <v>415</v>
      </c>
      <c r="S1021" s="38" t="s">
        <v>279</v>
      </c>
      <c r="T1021" s="54" t="n">
        <v>120</v>
      </c>
      <c r="U1021" s="38" t="s">
        <v>280</v>
      </c>
      <c r="V1021" s="54" t="n">
        <f aca="false">T1021</f>
        <v>120</v>
      </c>
      <c r="W1021" s="14" t="s">
        <v>281</v>
      </c>
      <c r="Y1021" s="38" t="s">
        <v>202</v>
      </c>
      <c r="Z1021" s="55" t="n">
        <f aca="false">Z1026+Z1029+Z1033</f>
        <v>32.1063333333333</v>
      </c>
    </row>
    <row r="1022" customFormat="false" ht="15" hidden="false" customHeight="false" outlineLevel="0" collapsed="false">
      <c r="Q1022" s="14" t="s">
        <v>282</v>
      </c>
      <c r="R1022" s="14" t="s">
        <v>283</v>
      </c>
      <c r="V1022" s="38" t="s">
        <v>121</v>
      </c>
      <c r="W1022" s="38" t="s">
        <v>284</v>
      </c>
      <c r="X1022" s="38" t="s">
        <v>285</v>
      </c>
      <c r="Y1022" s="38" t="s">
        <v>286</v>
      </c>
      <c r="Z1022" s="38" t="s">
        <v>287</v>
      </c>
    </row>
    <row r="1023" customFormat="false" ht="15" hidden="false" customHeight="false" outlineLevel="0" collapsed="false">
      <c r="R1023" s="56" t="s">
        <v>288</v>
      </c>
    </row>
    <row r="1024" customFormat="false" ht="15" hidden="false" customHeight="false" outlineLevel="0" collapsed="false">
      <c r="R1024" s="1" t="s">
        <v>1297</v>
      </c>
      <c r="V1024" s="57" t="s">
        <v>290</v>
      </c>
      <c r="W1024" s="58" t="n">
        <v>1</v>
      </c>
      <c r="X1024" s="59" t="n">
        <f aca="false">W1024*8/$T$1021</f>
        <v>0.0666666666666667</v>
      </c>
      <c r="Y1024" s="30" t="n">
        <v>29.44</v>
      </c>
      <c r="Z1024" s="30" t="n">
        <f aca="false">X1024*Y1024</f>
        <v>1.96266666666667</v>
      </c>
    </row>
    <row r="1025" customFormat="false" ht="15" hidden="false" customHeight="false" outlineLevel="0" collapsed="false">
      <c r="R1025" s="1" t="s">
        <v>292</v>
      </c>
      <c r="V1025" s="57" t="s">
        <v>290</v>
      </c>
      <c r="W1025" s="58" t="n">
        <v>1</v>
      </c>
      <c r="X1025" s="59" t="n">
        <f aca="false">W1025*8/$T$1021</f>
        <v>0.0666666666666667</v>
      </c>
      <c r="Y1025" s="30" t="n">
        <v>20.51</v>
      </c>
      <c r="Z1025" s="30" t="n">
        <f aca="false">X1025*Y1025</f>
        <v>1.36733333333333</v>
      </c>
    </row>
    <row r="1026" customFormat="false" ht="15" hidden="false" customHeight="false" outlineLevel="0" collapsed="false">
      <c r="Z1026" s="55" t="n">
        <f aca="false">SUM(Z1024:Z1025)</f>
        <v>3.33</v>
      </c>
    </row>
    <row r="1027" customFormat="false" ht="15" hidden="false" customHeight="false" outlineLevel="0" collapsed="false">
      <c r="R1027" s="56" t="s">
        <v>293</v>
      </c>
    </row>
    <row r="1028" customFormat="false" ht="15" hidden="false" customHeight="false" outlineLevel="0" collapsed="false">
      <c r="R1028" s="1" t="s">
        <v>1298</v>
      </c>
      <c r="V1028" s="57" t="s">
        <v>339</v>
      </c>
      <c r="X1028" s="59" t="n">
        <v>0.75</v>
      </c>
      <c r="Y1028" s="30" t="n">
        <v>14.83</v>
      </c>
      <c r="Z1028" s="30" t="n">
        <f aca="false">X1028*Y1028</f>
        <v>11.1225</v>
      </c>
    </row>
    <row r="1029" customFormat="false" ht="15" hidden="false" customHeight="false" outlineLevel="0" collapsed="false">
      <c r="V1029" s="57"/>
      <c r="Z1029" s="55" t="n">
        <f aca="false">SUM(Z1028:Z1028)</f>
        <v>11.1225</v>
      </c>
    </row>
    <row r="1030" customFormat="false" ht="15" hidden="false" customHeight="false" outlineLevel="0" collapsed="false">
      <c r="R1030" s="56" t="s">
        <v>317</v>
      </c>
    </row>
    <row r="1031" customFormat="false" ht="15" hidden="false" customHeight="false" outlineLevel="0" collapsed="false">
      <c r="R1031" s="1" t="s">
        <v>309</v>
      </c>
      <c r="V1031" s="57" t="s">
        <v>310</v>
      </c>
      <c r="X1031" s="59" t="n">
        <v>5</v>
      </c>
      <c r="Y1031" s="30" t="n">
        <f aca="false">Z1026</f>
        <v>3.33</v>
      </c>
      <c r="Z1031" s="30" t="n">
        <f aca="false">X1031%*Y1031</f>
        <v>0.1665</v>
      </c>
    </row>
    <row r="1032" customFormat="false" ht="15" hidden="false" customHeight="false" outlineLevel="0" collapsed="false">
      <c r="R1032" s="1" t="s">
        <v>1304</v>
      </c>
      <c r="V1032" s="57" t="s">
        <v>337</v>
      </c>
      <c r="W1032" s="58" t="n">
        <v>1</v>
      </c>
      <c r="X1032" s="59" t="n">
        <f aca="false">W1032*8/$T$1021</f>
        <v>0.0666666666666667</v>
      </c>
      <c r="Y1032" s="30" t="n">
        <v>262.31</v>
      </c>
      <c r="Z1032" s="30" t="n">
        <f aca="false">X1032*Y1032</f>
        <v>17.4873333333333</v>
      </c>
    </row>
    <row r="1033" customFormat="false" ht="15" hidden="false" customHeight="false" outlineLevel="0" collapsed="false">
      <c r="Q1033" s="62"/>
      <c r="R1033" s="62"/>
      <c r="S1033" s="62"/>
      <c r="T1033" s="62"/>
      <c r="U1033" s="62"/>
      <c r="V1033" s="62"/>
      <c r="W1033" s="62"/>
      <c r="X1033" s="62"/>
      <c r="Y1033" s="62"/>
      <c r="Z1033" s="63" t="n">
        <f aca="false">SUM(Z1031:Z1032)</f>
        <v>17.6538333333333</v>
      </c>
    </row>
    <row r="1035" customFormat="false" ht="15" hidden="false" customHeight="false" outlineLevel="0" collapsed="false">
      <c r="Q1035" s="14" t="s">
        <v>333</v>
      </c>
      <c r="R1035" s="14"/>
      <c r="S1035" s="14" t="s">
        <v>1311</v>
      </c>
      <c r="T1035" s="14"/>
      <c r="U1035" s="14"/>
      <c r="V1035" s="14"/>
      <c r="W1035" s="14"/>
      <c r="X1035" s="14"/>
      <c r="Y1035" s="14"/>
    </row>
    <row r="1036" customFormat="false" ht="15" hidden="false" customHeight="false" outlineLevel="0" collapsed="false">
      <c r="Q1036" s="14" t="s">
        <v>277</v>
      </c>
      <c r="R1036" s="14" t="s">
        <v>415</v>
      </c>
      <c r="S1036" s="38" t="s">
        <v>279</v>
      </c>
      <c r="T1036" s="54" t="n">
        <v>180</v>
      </c>
      <c r="U1036" s="38" t="s">
        <v>280</v>
      </c>
      <c r="V1036" s="54" t="n">
        <f aca="false">T1036</f>
        <v>180</v>
      </c>
      <c r="W1036" s="14" t="s">
        <v>281</v>
      </c>
      <c r="Y1036" s="38" t="s">
        <v>202</v>
      </c>
      <c r="Z1036" s="55" t="n">
        <f aca="false">Z1041+Z1044+Z1048</f>
        <v>7.75705555555556</v>
      </c>
    </row>
    <row r="1037" customFormat="false" ht="15" hidden="false" customHeight="false" outlineLevel="0" collapsed="false">
      <c r="Q1037" s="14" t="s">
        <v>282</v>
      </c>
      <c r="R1037" s="14" t="s">
        <v>283</v>
      </c>
      <c r="V1037" s="38" t="s">
        <v>121</v>
      </c>
      <c r="W1037" s="38" t="s">
        <v>284</v>
      </c>
      <c r="X1037" s="38" t="s">
        <v>285</v>
      </c>
      <c r="Y1037" s="38" t="s">
        <v>286</v>
      </c>
      <c r="Z1037" s="38" t="s">
        <v>287</v>
      </c>
    </row>
    <row r="1038" customFormat="false" ht="15" hidden="false" customHeight="false" outlineLevel="0" collapsed="false">
      <c r="R1038" s="56" t="s">
        <v>288</v>
      </c>
    </row>
    <row r="1039" customFormat="false" ht="15" hidden="false" customHeight="false" outlineLevel="0" collapsed="false">
      <c r="R1039" s="1" t="s">
        <v>1297</v>
      </c>
      <c r="V1039" s="57" t="s">
        <v>290</v>
      </c>
      <c r="W1039" s="58" t="n">
        <v>1</v>
      </c>
      <c r="X1039" s="59" t="n">
        <f aca="false">W1039*8/$T$1036</f>
        <v>0.0444444444444444</v>
      </c>
      <c r="Y1039" s="30" t="n">
        <v>29.44</v>
      </c>
      <c r="Z1039" s="30" t="n">
        <f aca="false">X1039*Y1039</f>
        <v>1.30844444444444</v>
      </c>
    </row>
    <row r="1040" customFormat="false" ht="15" hidden="false" customHeight="false" outlineLevel="0" collapsed="false">
      <c r="R1040" s="1" t="s">
        <v>292</v>
      </c>
      <c r="V1040" s="57" t="s">
        <v>290</v>
      </c>
      <c r="W1040" s="58" t="n">
        <v>1</v>
      </c>
      <c r="X1040" s="59" t="n">
        <f aca="false">W1040*8/$T$1036</f>
        <v>0.0444444444444444</v>
      </c>
      <c r="Y1040" s="30" t="n">
        <v>20.51</v>
      </c>
      <c r="Z1040" s="30" t="n">
        <f aca="false">X1040*Y1040</f>
        <v>0.911555555555556</v>
      </c>
    </row>
    <row r="1041" customFormat="false" ht="15" hidden="false" customHeight="false" outlineLevel="0" collapsed="false">
      <c r="Z1041" s="55" t="n">
        <f aca="false">SUM(Z1039:Z1040)</f>
        <v>2.22</v>
      </c>
    </row>
    <row r="1042" customFormat="false" ht="15" hidden="false" customHeight="false" outlineLevel="0" collapsed="false">
      <c r="R1042" s="56" t="s">
        <v>293</v>
      </c>
    </row>
    <row r="1043" customFormat="false" ht="15" hidden="false" customHeight="false" outlineLevel="0" collapsed="false">
      <c r="R1043" s="1" t="s">
        <v>1298</v>
      </c>
      <c r="V1043" s="57" t="s">
        <v>339</v>
      </c>
      <c r="X1043" s="59" t="n">
        <v>0.15</v>
      </c>
      <c r="Y1043" s="30" t="n">
        <v>14.83</v>
      </c>
      <c r="Z1043" s="30" t="n">
        <f aca="false">X1043*Y1043</f>
        <v>2.2245</v>
      </c>
    </row>
    <row r="1044" customFormat="false" ht="15" hidden="false" customHeight="false" outlineLevel="0" collapsed="false">
      <c r="V1044" s="57"/>
      <c r="Z1044" s="55" t="n">
        <f aca="false">SUM(Z1043:Z1043)</f>
        <v>2.2245</v>
      </c>
    </row>
    <row r="1045" customFormat="false" ht="15" hidden="false" customHeight="false" outlineLevel="0" collapsed="false">
      <c r="R1045" s="56" t="s">
        <v>317</v>
      </c>
    </row>
    <row r="1046" customFormat="false" ht="15" hidden="false" customHeight="false" outlineLevel="0" collapsed="false">
      <c r="R1046" s="1" t="s">
        <v>309</v>
      </c>
      <c r="V1046" s="57" t="s">
        <v>310</v>
      </c>
      <c r="X1046" s="59" t="n">
        <v>5</v>
      </c>
      <c r="Y1046" s="30" t="n">
        <f aca="false">Z1041</f>
        <v>2.22</v>
      </c>
      <c r="Z1046" s="30" t="n">
        <f aca="false">X1046%*Y1046</f>
        <v>0.111</v>
      </c>
    </row>
    <row r="1047" customFormat="false" ht="15" hidden="false" customHeight="false" outlineLevel="0" collapsed="false">
      <c r="R1047" s="1" t="s">
        <v>1301</v>
      </c>
      <c r="V1047" s="57" t="s">
        <v>337</v>
      </c>
      <c r="W1047" s="58" t="n">
        <v>0.5</v>
      </c>
      <c r="X1047" s="59" t="n">
        <f aca="false">W1047*8/$T$1036</f>
        <v>0.0222222222222222</v>
      </c>
      <c r="Y1047" s="30" t="n">
        <v>144.07</v>
      </c>
      <c r="Z1047" s="30" t="n">
        <f aca="false">X1047*Y1047</f>
        <v>3.20155555555556</v>
      </c>
    </row>
    <row r="1048" customFormat="false" ht="15" hidden="false" customHeight="false" outlineLevel="0" collapsed="false">
      <c r="Q1048" s="62"/>
      <c r="R1048" s="62"/>
      <c r="S1048" s="62"/>
      <c r="T1048" s="62"/>
      <c r="U1048" s="62"/>
      <c r="V1048" s="62"/>
      <c r="W1048" s="62"/>
      <c r="X1048" s="62"/>
      <c r="Y1048" s="62"/>
      <c r="Z1048" s="63" t="n">
        <f aca="false">SUM(Z1046:Z1047)</f>
        <v>3.31255555555556</v>
      </c>
    </row>
    <row r="1050" customFormat="false" ht="15" hidden="false" customHeight="false" outlineLevel="0" collapsed="false">
      <c r="Q1050" s="14" t="s">
        <v>333</v>
      </c>
      <c r="R1050" s="14"/>
      <c r="S1050" s="14" t="s">
        <v>1312</v>
      </c>
      <c r="T1050" s="14"/>
      <c r="U1050" s="14"/>
      <c r="V1050" s="14"/>
      <c r="W1050" s="14"/>
      <c r="X1050" s="14"/>
      <c r="Y1050" s="14"/>
    </row>
    <row r="1051" customFormat="false" ht="15" hidden="false" customHeight="false" outlineLevel="0" collapsed="false">
      <c r="Q1051" s="14" t="s">
        <v>277</v>
      </c>
      <c r="R1051" s="14" t="s">
        <v>415</v>
      </c>
      <c r="S1051" s="38" t="s">
        <v>279</v>
      </c>
      <c r="T1051" s="54" t="n">
        <v>120</v>
      </c>
      <c r="U1051" s="38" t="s">
        <v>280</v>
      </c>
      <c r="V1051" s="54" t="n">
        <f aca="false">T1051</f>
        <v>120</v>
      </c>
      <c r="W1051" s="14" t="s">
        <v>281</v>
      </c>
      <c r="Y1051" s="38" t="s">
        <v>202</v>
      </c>
      <c r="Z1051" s="55" t="n">
        <f aca="false">Z1056+Z1059+Z1063</f>
        <v>18.9908333333333</v>
      </c>
    </row>
    <row r="1052" customFormat="false" ht="15" hidden="false" customHeight="false" outlineLevel="0" collapsed="false">
      <c r="Q1052" s="14" t="s">
        <v>282</v>
      </c>
      <c r="R1052" s="14" t="s">
        <v>283</v>
      </c>
      <c r="V1052" s="38" t="s">
        <v>121</v>
      </c>
      <c r="W1052" s="38" t="s">
        <v>284</v>
      </c>
      <c r="X1052" s="38" t="s">
        <v>285</v>
      </c>
      <c r="Y1052" s="38" t="s">
        <v>286</v>
      </c>
      <c r="Z1052" s="38" t="s">
        <v>287</v>
      </c>
    </row>
    <row r="1053" customFormat="false" ht="15" hidden="false" customHeight="false" outlineLevel="0" collapsed="false">
      <c r="R1053" s="56" t="s">
        <v>288</v>
      </c>
    </row>
    <row r="1054" customFormat="false" ht="15" hidden="false" customHeight="false" outlineLevel="0" collapsed="false">
      <c r="R1054" s="1" t="s">
        <v>1297</v>
      </c>
      <c r="V1054" s="57" t="s">
        <v>290</v>
      </c>
      <c r="W1054" s="58" t="n">
        <v>1</v>
      </c>
      <c r="X1054" s="59" t="n">
        <f aca="false">W1054*8/$T$1051</f>
        <v>0.0666666666666667</v>
      </c>
      <c r="Y1054" s="30" t="n">
        <v>29.44</v>
      </c>
      <c r="Z1054" s="30" t="n">
        <f aca="false">X1054*Y1054</f>
        <v>1.96266666666667</v>
      </c>
    </row>
    <row r="1055" customFormat="false" ht="15" hidden="false" customHeight="false" outlineLevel="0" collapsed="false">
      <c r="R1055" s="1" t="s">
        <v>292</v>
      </c>
      <c r="V1055" s="57" t="s">
        <v>290</v>
      </c>
      <c r="W1055" s="58" t="n">
        <v>1</v>
      </c>
      <c r="X1055" s="59" t="n">
        <f aca="false">W1055*8/$T$1051</f>
        <v>0.0666666666666667</v>
      </c>
      <c r="Y1055" s="30" t="n">
        <v>20.51</v>
      </c>
      <c r="Z1055" s="30" t="n">
        <f aca="false">X1055*Y1055</f>
        <v>1.36733333333333</v>
      </c>
    </row>
    <row r="1056" customFormat="false" ht="15" hidden="false" customHeight="false" outlineLevel="0" collapsed="false">
      <c r="Z1056" s="55" t="n">
        <f aca="false">SUM(Z1054:Z1055)</f>
        <v>3.33</v>
      </c>
    </row>
    <row r="1057" customFormat="false" ht="15" hidden="false" customHeight="false" outlineLevel="0" collapsed="false">
      <c r="R1057" s="56" t="s">
        <v>293</v>
      </c>
    </row>
    <row r="1058" customFormat="false" ht="15" hidden="false" customHeight="false" outlineLevel="0" collapsed="false">
      <c r="R1058" s="1" t="s">
        <v>1298</v>
      </c>
      <c r="V1058" s="57" t="s">
        <v>339</v>
      </c>
      <c r="X1058" s="59" t="n">
        <v>0.75</v>
      </c>
      <c r="Y1058" s="30" t="n">
        <v>14.83</v>
      </c>
      <c r="Z1058" s="30" t="n">
        <f aca="false">X1058*Y1058</f>
        <v>11.1225</v>
      </c>
    </row>
    <row r="1059" customFormat="false" ht="15" hidden="false" customHeight="false" outlineLevel="0" collapsed="false">
      <c r="V1059" s="57"/>
      <c r="Z1059" s="55" t="n">
        <f aca="false">SUM(Z1058:Z1058)</f>
        <v>11.1225</v>
      </c>
    </row>
    <row r="1060" customFormat="false" ht="15" hidden="false" customHeight="false" outlineLevel="0" collapsed="false">
      <c r="R1060" s="56" t="s">
        <v>317</v>
      </c>
    </row>
    <row r="1061" customFormat="false" ht="15" hidden="false" customHeight="false" outlineLevel="0" collapsed="false">
      <c r="R1061" s="1" t="s">
        <v>309</v>
      </c>
      <c r="V1061" s="57" t="s">
        <v>310</v>
      </c>
      <c r="X1061" s="59" t="n">
        <v>5</v>
      </c>
      <c r="Y1061" s="30" t="n">
        <f aca="false">Z1056</f>
        <v>3.33</v>
      </c>
      <c r="Z1061" s="30" t="n">
        <f aca="false">X1061%*Y1061</f>
        <v>0.1665</v>
      </c>
    </row>
    <row r="1062" customFormat="false" ht="15" hidden="false" customHeight="false" outlineLevel="0" collapsed="false">
      <c r="R1062" s="1" t="s">
        <v>1304</v>
      </c>
      <c r="V1062" s="57" t="s">
        <v>337</v>
      </c>
      <c r="W1062" s="58" t="n">
        <v>0.25</v>
      </c>
      <c r="X1062" s="59" t="n">
        <f aca="false">W1062*8/$T$1051</f>
        <v>0.0166666666666667</v>
      </c>
      <c r="Y1062" s="30" t="n">
        <v>262.31</v>
      </c>
      <c r="Z1062" s="30" t="n">
        <f aca="false">X1062*Y1062</f>
        <v>4.37183333333333</v>
      </c>
    </row>
    <row r="1063" customFormat="false" ht="15" hidden="false" customHeight="false" outlineLevel="0" collapsed="false">
      <c r="Q1063" s="62"/>
      <c r="R1063" s="62"/>
      <c r="S1063" s="62"/>
      <c r="T1063" s="62"/>
      <c r="U1063" s="62"/>
      <c r="V1063" s="62"/>
      <c r="W1063" s="62"/>
      <c r="X1063" s="62"/>
      <c r="Y1063" s="62"/>
      <c r="Z1063" s="63" t="n">
        <f aca="false">SUM(Z1061:Z1062)</f>
        <v>4.53833333333333</v>
      </c>
    </row>
    <row r="1065" customFormat="false" ht="15" hidden="false" customHeight="false" outlineLevel="0" collapsed="false">
      <c r="Q1065" s="14" t="s">
        <v>333</v>
      </c>
      <c r="R1065" s="14"/>
      <c r="S1065" s="14" t="s">
        <v>1313</v>
      </c>
      <c r="T1065" s="14"/>
      <c r="U1065" s="14"/>
      <c r="V1065" s="14"/>
      <c r="W1065" s="14"/>
      <c r="X1065" s="14"/>
      <c r="Y1065" s="14"/>
    </row>
    <row r="1066" customFormat="false" ht="15" hidden="false" customHeight="false" outlineLevel="0" collapsed="false">
      <c r="Q1066" s="14" t="s">
        <v>277</v>
      </c>
      <c r="R1066" s="14" t="s">
        <v>415</v>
      </c>
      <c r="S1066" s="38" t="s">
        <v>279</v>
      </c>
      <c r="T1066" s="54" t="n">
        <v>350</v>
      </c>
      <c r="U1066" s="38" t="s">
        <v>280</v>
      </c>
      <c r="V1066" s="54" t="n">
        <f aca="false">T1066</f>
        <v>350</v>
      </c>
      <c r="W1066" s="14" t="s">
        <v>281</v>
      </c>
      <c r="Y1066" s="38" t="s">
        <v>202</v>
      </c>
      <c r="Z1066" s="55" t="n">
        <f aca="false">Z1071+Z1074+Z1079</f>
        <v>8.99004285714286</v>
      </c>
    </row>
    <row r="1067" customFormat="false" ht="15" hidden="false" customHeight="false" outlineLevel="0" collapsed="false">
      <c r="Q1067" s="14" t="s">
        <v>282</v>
      </c>
      <c r="R1067" s="14" t="s">
        <v>283</v>
      </c>
      <c r="V1067" s="38" t="s">
        <v>121</v>
      </c>
      <c r="W1067" s="38" t="s">
        <v>284</v>
      </c>
      <c r="X1067" s="38" t="s">
        <v>285</v>
      </c>
      <c r="Y1067" s="38" t="s">
        <v>286</v>
      </c>
      <c r="Z1067" s="38" t="s">
        <v>287</v>
      </c>
    </row>
    <row r="1068" customFormat="false" ht="15" hidden="false" customHeight="false" outlineLevel="0" collapsed="false">
      <c r="R1068" s="56" t="s">
        <v>288</v>
      </c>
    </row>
    <row r="1069" customFormat="false" ht="15" hidden="false" customHeight="false" outlineLevel="0" collapsed="false">
      <c r="R1069" s="1" t="s">
        <v>1297</v>
      </c>
      <c r="V1069" s="57" t="s">
        <v>290</v>
      </c>
      <c r="W1069" s="58" t="n">
        <v>1</v>
      </c>
      <c r="X1069" s="59" t="n">
        <f aca="false">W1069*8/$T$1066</f>
        <v>0.0228571428571429</v>
      </c>
      <c r="Y1069" s="30" t="n">
        <v>29.44</v>
      </c>
      <c r="Z1069" s="30" t="n">
        <f aca="false">X1069*Y1069</f>
        <v>0.672914285714286</v>
      </c>
    </row>
    <row r="1070" customFormat="false" ht="15" hidden="false" customHeight="false" outlineLevel="0" collapsed="false">
      <c r="R1070" s="1" t="s">
        <v>292</v>
      </c>
      <c r="V1070" s="57" t="s">
        <v>290</v>
      </c>
      <c r="W1070" s="58" t="n">
        <v>1</v>
      </c>
      <c r="X1070" s="59" t="n">
        <f aca="false">W1070*8/$T$1066</f>
        <v>0.0228571428571429</v>
      </c>
      <c r="Y1070" s="30" t="n">
        <v>20.51</v>
      </c>
      <c r="Z1070" s="30" t="n">
        <f aca="false">X1070*Y1070</f>
        <v>0.4688</v>
      </c>
    </row>
    <row r="1071" customFormat="false" ht="15" hidden="false" customHeight="false" outlineLevel="0" collapsed="false">
      <c r="Z1071" s="55" t="n">
        <f aca="false">SUM(Z1069:Z1070)</f>
        <v>1.14171428571429</v>
      </c>
    </row>
    <row r="1072" customFormat="false" ht="15" hidden="false" customHeight="false" outlineLevel="0" collapsed="false">
      <c r="R1072" s="56" t="s">
        <v>293</v>
      </c>
    </row>
    <row r="1073" customFormat="false" ht="15" hidden="false" customHeight="false" outlineLevel="0" collapsed="false">
      <c r="R1073" s="1" t="s">
        <v>1298</v>
      </c>
      <c r="V1073" s="57" t="s">
        <v>339</v>
      </c>
      <c r="X1073" s="59" t="n">
        <v>0.15</v>
      </c>
      <c r="Y1073" s="30" t="n">
        <v>14.83</v>
      </c>
      <c r="Z1073" s="30" t="n">
        <f aca="false">X1073*Y1073</f>
        <v>2.2245</v>
      </c>
    </row>
    <row r="1074" customFormat="false" ht="15" hidden="false" customHeight="false" outlineLevel="0" collapsed="false">
      <c r="V1074" s="57"/>
      <c r="Z1074" s="55" t="n">
        <f aca="false">SUM(Z1073:Z1073)</f>
        <v>2.2245</v>
      </c>
    </row>
    <row r="1075" customFormat="false" ht="15" hidden="false" customHeight="false" outlineLevel="0" collapsed="false">
      <c r="R1075" s="56" t="s">
        <v>317</v>
      </c>
    </row>
    <row r="1076" customFormat="false" ht="15" hidden="false" customHeight="false" outlineLevel="0" collapsed="false">
      <c r="R1076" s="1" t="s">
        <v>309</v>
      </c>
      <c r="V1076" s="57" t="s">
        <v>310</v>
      </c>
      <c r="X1076" s="59" t="n">
        <v>5</v>
      </c>
      <c r="Y1076" s="30" t="n">
        <f aca="false">Z1071</f>
        <v>1.14171428571429</v>
      </c>
      <c r="Z1076" s="30" t="n">
        <f aca="false">X1076%*Y1076</f>
        <v>0.0570857142857143</v>
      </c>
    </row>
    <row r="1077" customFormat="false" ht="15" hidden="false" customHeight="false" outlineLevel="0" collapsed="false">
      <c r="R1077" s="1" t="s">
        <v>1299</v>
      </c>
      <c r="V1077" s="57" t="s">
        <v>337</v>
      </c>
      <c r="W1077" s="58" t="n">
        <v>0.75</v>
      </c>
      <c r="X1077" s="59" t="n">
        <f aca="false">W1077*8/$T$1066</f>
        <v>0.0171428571428571</v>
      </c>
      <c r="Y1077" s="30" t="n">
        <v>237.29</v>
      </c>
      <c r="Z1077" s="30" t="n">
        <f aca="false">X1077*Y1077</f>
        <v>4.06782857142857</v>
      </c>
    </row>
    <row r="1078" customFormat="false" ht="15" hidden="false" customHeight="false" outlineLevel="0" collapsed="false">
      <c r="R1078" s="1" t="s">
        <v>1304</v>
      </c>
      <c r="V1078" s="57" t="s">
        <v>337</v>
      </c>
      <c r="W1078" s="58" t="n">
        <v>0.25</v>
      </c>
      <c r="X1078" s="59" t="n">
        <f aca="false">W1078*8/$T$1066</f>
        <v>0.00571428571428571</v>
      </c>
      <c r="Y1078" s="30" t="n">
        <v>262.31</v>
      </c>
      <c r="Z1078" s="30" t="n">
        <f aca="false">X1078*Y1078</f>
        <v>1.49891428571429</v>
      </c>
    </row>
    <row r="1079" customFormat="false" ht="15" hidden="false" customHeight="false" outlineLevel="0" collapsed="false">
      <c r="Q1079" s="62"/>
      <c r="R1079" s="62"/>
      <c r="S1079" s="62"/>
      <c r="T1079" s="62"/>
      <c r="U1079" s="62"/>
      <c r="V1079" s="62"/>
      <c r="W1079" s="62"/>
      <c r="X1079" s="62"/>
      <c r="Y1079" s="62"/>
      <c r="Z1079" s="63" t="n">
        <f aca="false">SUM(Z1076:Z1078)</f>
        <v>5.62382857142857</v>
      </c>
    </row>
    <row r="1081" customFormat="false" ht="15" hidden="false" customHeight="false" outlineLevel="0" collapsed="false">
      <c r="Q1081" s="14" t="s">
        <v>333</v>
      </c>
      <c r="R1081" s="14"/>
      <c r="S1081" s="14" t="s">
        <v>1314</v>
      </c>
      <c r="T1081" s="14"/>
      <c r="U1081" s="14"/>
      <c r="V1081" s="14"/>
      <c r="W1081" s="14"/>
      <c r="X1081" s="14"/>
      <c r="Y1081" s="14"/>
    </row>
    <row r="1082" customFormat="false" ht="15" hidden="false" customHeight="false" outlineLevel="0" collapsed="false">
      <c r="Q1082" s="14" t="s">
        <v>277</v>
      </c>
      <c r="R1082" s="14" t="s">
        <v>415</v>
      </c>
      <c r="S1082" s="38" t="s">
        <v>279</v>
      </c>
      <c r="T1082" s="54" t="n">
        <v>50</v>
      </c>
      <c r="U1082" s="38" t="s">
        <v>280</v>
      </c>
      <c r="V1082" s="54" t="n">
        <f aca="false">T1082</f>
        <v>50</v>
      </c>
      <c r="W1082" s="14" t="s">
        <v>281</v>
      </c>
      <c r="Y1082" s="38" t="s">
        <v>202</v>
      </c>
      <c r="Z1082" s="55" t="n">
        <f aca="false">Z1087+Z1090+Z1095</f>
        <v>53.8094</v>
      </c>
    </row>
    <row r="1083" customFormat="false" ht="15" hidden="false" customHeight="false" outlineLevel="0" collapsed="false">
      <c r="Q1083" s="14" t="s">
        <v>282</v>
      </c>
      <c r="R1083" s="14" t="s">
        <v>283</v>
      </c>
      <c r="V1083" s="38" t="s">
        <v>121</v>
      </c>
      <c r="W1083" s="38" t="s">
        <v>284</v>
      </c>
      <c r="X1083" s="38" t="s">
        <v>285</v>
      </c>
      <c r="Y1083" s="38" t="s">
        <v>286</v>
      </c>
      <c r="Z1083" s="38" t="s">
        <v>287</v>
      </c>
    </row>
    <row r="1084" customFormat="false" ht="15" hidden="false" customHeight="false" outlineLevel="0" collapsed="false">
      <c r="R1084" s="56" t="s">
        <v>288</v>
      </c>
    </row>
    <row r="1085" customFormat="false" ht="15" hidden="false" customHeight="false" outlineLevel="0" collapsed="false">
      <c r="R1085" s="1" t="s">
        <v>1297</v>
      </c>
      <c r="V1085" s="57" t="s">
        <v>290</v>
      </c>
      <c r="W1085" s="58" t="n">
        <v>1</v>
      </c>
      <c r="X1085" s="59" t="n">
        <f aca="false">W1085*8/$T$1082</f>
        <v>0.16</v>
      </c>
      <c r="Y1085" s="30" t="n">
        <v>29.44</v>
      </c>
      <c r="Z1085" s="30" t="n">
        <f aca="false">X1085*Y1085</f>
        <v>4.7104</v>
      </c>
    </row>
    <row r="1086" customFormat="false" ht="15" hidden="false" customHeight="false" outlineLevel="0" collapsed="false">
      <c r="R1086" s="1" t="s">
        <v>292</v>
      </c>
      <c r="V1086" s="57" t="s">
        <v>290</v>
      </c>
      <c r="W1086" s="58" t="n">
        <v>1</v>
      </c>
      <c r="X1086" s="59" t="n">
        <f aca="false">W1086*8/$T$1082</f>
        <v>0.16</v>
      </c>
      <c r="Y1086" s="30" t="n">
        <v>20.51</v>
      </c>
      <c r="Z1086" s="30" t="n">
        <f aca="false">X1086*Y1086</f>
        <v>3.2816</v>
      </c>
    </row>
    <row r="1087" customFormat="false" ht="15" hidden="false" customHeight="false" outlineLevel="0" collapsed="false">
      <c r="Z1087" s="55" t="n">
        <f aca="false">SUM(Z1085:Z1086)</f>
        <v>7.992</v>
      </c>
    </row>
    <row r="1088" customFormat="false" ht="15" hidden="false" customHeight="false" outlineLevel="0" collapsed="false">
      <c r="R1088" s="56" t="s">
        <v>293</v>
      </c>
    </row>
    <row r="1089" customFormat="false" ht="15" hidden="false" customHeight="false" outlineLevel="0" collapsed="false">
      <c r="R1089" s="1" t="s">
        <v>1298</v>
      </c>
      <c r="V1089" s="57" t="s">
        <v>339</v>
      </c>
      <c r="X1089" s="59" t="n">
        <v>0.3</v>
      </c>
      <c r="Y1089" s="30" t="n">
        <v>14.83</v>
      </c>
      <c r="Z1089" s="30" t="n">
        <f aca="false">X1089*Y1089</f>
        <v>4.449</v>
      </c>
    </row>
    <row r="1090" customFormat="false" ht="15" hidden="false" customHeight="false" outlineLevel="0" collapsed="false">
      <c r="V1090" s="57"/>
      <c r="Z1090" s="55" t="n">
        <f aca="false">SUM(Z1089:Z1089)</f>
        <v>4.449</v>
      </c>
    </row>
    <row r="1091" customFormat="false" ht="15" hidden="false" customHeight="false" outlineLevel="0" collapsed="false">
      <c r="R1091" s="56" t="s">
        <v>317</v>
      </c>
    </row>
    <row r="1092" customFormat="false" ht="15" hidden="false" customHeight="false" outlineLevel="0" collapsed="false">
      <c r="R1092" s="1" t="s">
        <v>309</v>
      </c>
      <c r="V1092" s="57" t="s">
        <v>310</v>
      </c>
      <c r="X1092" s="59" t="n">
        <v>5</v>
      </c>
      <c r="Y1092" s="30" t="n">
        <f aca="false">Z1087</f>
        <v>7.992</v>
      </c>
      <c r="Z1092" s="30" t="n">
        <f aca="false">X1092%*Y1092</f>
        <v>0.3996</v>
      </c>
    </row>
    <row r="1093" customFormat="false" ht="15" hidden="false" customHeight="false" outlineLevel="0" collapsed="false">
      <c r="R1093" s="1" t="s">
        <v>1299</v>
      </c>
      <c r="V1093" s="57" t="s">
        <v>337</v>
      </c>
      <c r="W1093" s="58" t="n">
        <v>0.25</v>
      </c>
      <c r="X1093" s="59" t="n">
        <f aca="false">W1093*8/$T$1082</f>
        <v>0.04</v>
      </c>
      <c r="Y1093" s="30" t="n">
        <v>237.29</v>
      </c>
      <c r="Z1093" s="30" t="n">
        <f aca="false">X1093*Y1093</f>
        <v>9.4916</v>
      </c>
    </row>
    <row r="1094" customFormat="false" ht="15" hidden="false" customHeight="false" outlineLevel="0" collapsed="false">
      <c r="R1094" s="1" t="s">
        <v>1304</v>
      </c>
      <c r="V1094" s="57" t="s">
        <v>337</v>
      </c>
      <c r="W1094" s="58" t="n">
        <v>0.75</v>
      </c>
      <c r="X1094" s="59" t="n">
        <f aca="false">W1094*8/$T$1082</f>
        <v>0.12</v>
      </c>
      <c r="Y1094" s="30" t="n">
        <v>262.31</v>
      </c>
      <c r="Z1094" s="30" t="n">
        <f aca="false">X1094*Y1094</f>
        <v>31.4772</v>
      </c>
    </row>
    <row r="1095" customFormat="false" ht="15" hidden="false" customHeight="false" outlineLevel="0" collapsed="false">
      <c r="Q1095" s="62"/>
      <c r="R1095" s="62"/>
      <c r="S1095" s="62"/>
      <c r="T1095" s="62"/>
      <c r="U1095" s="62"/>
      <c r="V1095" s="62"/>
      <c r="W1095" s="62"/>
      <c r="X1095" s="62"/>
      <c r="Y1095" s="62"/>
      <c r="Z1095" s="63" t="n">
        <f aca="false">SUM(Z1092:Z1094)</f>
        <v>41.3684</v>
      </c>
    </row>
    <row r="1097" customFormat="false" ht="15" hidden="false" customHeight="false" outlineLevel="0" collapsed="false">
      <c r="Q1097" s="14" t="s">
        <v>333</v>
      </c>
      <c r="R1097" s="14"/>
      <c r="S1097" s="14" t="s">
        <v>1315</v>
      </c>
      <c r="T1097" s="14"/>
      <c r="U1097" s="14"/>
      <c r="V1097" s="14"/>
      <c r="W1097" s="14"/>
      <c r="X1097" s="14"/>
      <c r="Y1097" s="14"/>
    </row>
    <row r="1098" customFormat="false" ht="15" hidden="false" customHeight="false" outlineLevel="0" collapsed="false">
      <c r="Q1098" s="14" t="s">
        <v>277</v>
      </c>
      <c r="R1098" s="14" t="s">
        <v>415</v>
      </c>
      <c r="S1098" s="38" t="s">
        <v>279</v>
      </c>
      <c r="T1098" s="54" t="n">
        <v>400</v>
      </c>
      <c r="U1098" s="38" t="s">
        <v>280</v>
      </c>
      <c r="V1098" s="54" t="n">
        <f aca="false">T1098</f>
        <v>400</v>
      </c>
      <c r="W1098" s="14" t="s">
        <v>281</v>
      </c>
      <c r="Y1098" s="38" t="s">
        <v>202</v>
      </c>
      <c r="Z1098" s="55" t="n">
        <f aca="false">Z1103+Z1106+Z1111</f>
        <v>8.14435</v>
      </c>
    </row>
    <row r="1099" customFormat="false" ht="15" hidden="false" customHeight="false" outlineLevel="0" collapsed="false">
      <c r="Q1099" s="14" t="s">
        <v>282</v>
      </c>
      <c r="R1099" s="14" t="s">
        <v>283</v>
      </c>
      <c r="V1099" s="38" t="s">
        <v>121</v>
      </c>
      <c r="W1099" s="38" t="s">
        <v>284</v>
      </c>
      <c r="X1099" s="38" t="s">
        <v>285</v>
      </c>
      <c r="Y1099" s="38" t="s">
        <v>286</v>
      </c>
      <c r="Z1099" s="38" t="s">
        <v>287</v>
      </c>
    </row>
    <row r="1100" customFormat="false" ht="15" hidden="false" customHeight="false" outlineLevel="0" collapsed="false">
      <c r="R1100" s="56" t="s">
        <v>288</v>
      </c>
    </row>
    <row r="1101" customFormat="false" ht="15" hidden="false" customHeight="false" outlineLevel="0" collapsed="false">
      <c r="R1101" s="1" t="s">
        <v>1297</v>
      </c>
      <c r="V1101" s="57" t="s">
        <v>290</v>
      </c>
      <c r="W1101" s="58" t="n">
        <v>1</v>
      </c>
      <c r="X1101" s="59" t="n">
        <f aca="false">W1101*8/$T$1098</f>
        <v>0.02</v>
      </c>
      <c r="Y1101" s="30" t="n">
        <v>29.44</v>
      </c>
      <c r="Z1101" s="30" t="n">
        <f aca="false">X1101*Y1101</f>
        <v>0.5888</v>
      </c>
    </row>
    <row r="1102" customFormat="false" ht="15" hidden="false" customHeight="false" outlineLevel="0" collapsed="false">
      <c r="R1102" s="1" t="s">
        <v>292</v>
      </c>
      <c r="V1102" s="57" t="s">
        <v>290</v>
      </c>
      <c r="W1102" s="58" t="n">
        <v>1</v>
      </c>
      <c r="X1102" s="59" t="n">
        <f aca="false">W1102*8/$T$1098</f>
        <v>0.02</v>
      </c>
      <c r="Y1102" s="30" t="n">
        <v>20.51</v>
      </c>
      <c r="Z1102" s="30" t="n">
        <f aca="false">X1102*Y1102</f>
        <v>0.4102</v>
      </c>
    </row>
    <row r="1103" customFormat="false" ht="15" hidden="false" customHeight="false" outlineLevel="0" collapsed="false">
      <c r="Z1103" s="55" t="n">
        <f aca="false">SUM(Z1101:Z1102)</f>
        <v>0.999</v>
      </c>
    </row>
    <row r="1104" customFormat="false" ht="15" hidden="false" customHeight="false" outlineLevel="0" collapsed="false">
      <c r="R1104" s="56" t="s">
        <v>293</v>
      </c>
    </row>
    <row r="1105" customFormat="false" ht="15" hidden="false" customHeight="false" outlineLevel="0" collapsed="false">
      <c r="R1105" s="1" t="s">
        <v>1298</v>
      </c>
      <c r="V1105" s="57" t="s">
        <v>339</v>
      </c>
      <c r="X1105" s="59" t="n">
        <v>0.15</v>
      </c>
      <c r="Y1105" s="30" t="n">
        <v>14.83</v>
      </c>
      <c r="Z1105" s="30" t="n">
        <f aca="false">X1105*Y1105</f>
        <v>2.2245</v>
      </c>
    </row>
    <row r="1106" customFormat="false" ht="15" hidden="false" customHeight="false" outlineLevel="0" collapsed="false">
      <c r="V1106" s="57"/>
      <c r="Z1106" s="55" t="n">
        <f aca="false">SUM(Z1105:Z1105)</f>
        <v>2.2245</v>
      </c>
    </row>
    <row r="1107" customFormat="false" ht="15" hidden="false" customHeight="false" outlineLevel="0" collapsed="false">
      <c r="R1107" s="56" t="s">
        <v>317</v>
      </c>
    </row>
    <row r="1108" customFormat="false" ht="15" hidden="false" customHeight="false" outlineLevel="0" collapsed="false">
      <c r="R1108" s="1" t="s">
        <v>309</v>
      </c>
      <c r="V1108" s="57" t="s">
        <v>310</v>
      </c>
      <c r="X1108" s="59" t="n">
        <v>5</v>
      </c>
      <c r="Y1108" s="30" t="n">
        <f aca="false">Z1103</f>
        <v>0.999</v>
      </c>
      <c r="Z1108" s="30" t="n">
        <f aca="false">X1108%*Y1108</f>
        <v>0.04995</v>
      </c>
    </row>
    <row r="1109" customFormat="false" ht="15" hidden="false" customHeight="false" outlineLevel="0" collapsed="false">
      <c r="R1109" s="1" t="s">
        <v>1299</v>
      </c>
      <c r="V1109" s="57" t="s">
        <v>337</v>
      </c>
      <c r="W1109" s="58" t="n">
        <v>0.75</v>
      </c>
      <c r="X1109" s="59" t="n">
        <f aca="false">W1109*8/$T$1098</f>
        <v>0.015</v>
      </c>
      <c r="Y1109" s="30" t="n">
        <v>237.29</v>
      </c>
      <c r="Z1109" s="30" t="n">
        <f aca="false">X1109*Y1109</f>
        <v>3.55935</v>
      </c>
    </row>
    <row r="1110" customFormat="false" ht="15" hidden="false" customHeight="false" outlineLevel="0" collapsed="false">
      <c r="R1110" s="1" t="s">
        <v>1304</v>
      </c>
      <c r="V1110" s="57" t="s">
        <v>337</v>
      </c>
      <c r="W1110" s="58" t="n">
        <v>0.25</v>
      </c>
      <c r="X1110" s="59" t="n">
        <f aca="false">W1110*8/$T$1098</f>
        <v>0.005</v>
      </c>
      <c r="Y1110" s="30" t="n">
        <v>262.31</v>
      </c>
      <c r="Z1110" s="30" t="n">
        <f aca="false">X1110*Y1110</f>
        <v>1.31155</v>
      </c>
    </row>
    <row r="1111" customFormat="false" ht="15" hidden="false" customHeight="false" outlineLevel="0" collapsed="false">
      <c r="Q1111" s="62"/>
      <c r="R1111" s="62"/>
      <c r="S1111" s="62"/>
      <c r="T1111" s="62"/>
      <c r="U1111" s="62"/>
      <c r="V1111" s="62"/>
      <c r="W1111" s="62"/>
      <c r="X1111" s="62"/>
      <c r="Y1111" s="62"/>
      <c r="Z1111" s="63" t="n">
        <f aca="false">SUM(Z1108:Z1110)</f>
        <v>4.92085</v>
      </c>
    </row>
    <row r="1113" customFormat="false" ht="15" hidden="false" customHeight="false" outlineLevel="0" collapsed="false">
      <c r="Q1113" s="14" t="s">
        <v>333</v>
      </c>
      <c r="R1113" s="14"/>
      <c r="S1113" s="14" t="s">
        <v>1316</v>
      </c>
      <c r="T1113" s="14"/>
      <c r="U1113" s="14"/>
      <c r="V1113" s="14"/>
      <c r="W1113" s="14"/>
      <c r="X1113" s="14"/>
      <c r="Y1113" s="14"/>
    </row>
    <row r="1114" customFormat="false" ht="15" hidden="false" customHeight="false" outlineLevel="0" collapsed="false">
      <c r="Q1114" s="14" t="s">
        <v>277</v>
      </c>
      <c r="R1114" s="14" t="s">
        <v>278</v>
      </c>
      <c r="S1114" s="38" t="s">
        <v>279</v>
      </c>
      <c r="T1114" s="54" t="n">
        <v>75</v>
      </c>
      <c r="U1114" s="38" t="s">
        <v>280</v>
      </c>
      <c r="V1114" s="54" t="n">
        <f aca="false">T1114</f>
        <v>75</v>
      </c>
      <c r="W1114" s="14" t="s">
        <v>281</v>
      </c>
      <c r="Y1114" s="38" t="s">
        <v>132</v>
      </c>
      <c r="Z1114" s="55" t="n">
        <f aca="false">Z1119+Z1122+Z1126</f>
        <v>23.1863666666667</v>
      </c>
    </row>
    <row r="1115" customFormat="false" ht="15" hidden="false" customHeight="false" outlineLevel="0" collapsed="false">
      <c r="Q1115" s="14" t="s">
        <v>282</v>
      </c>
      <c r="R1115" s="14" t="s">
        <v>283</v>
      </c>
      <c r="V1115" s="38" t="s">
        <v>121</v>
      </c>
      <c r="W1115" s="38" t="s">
        <v>284</v>
      </c>
      <c r="X1115" s="38" t="s">
        <v>285</v>
      </c>
      <c r="Y1115" s="38" t="s">
        <v>286</v>
      </c>
      <c r="Z1115" s="38" t="s">
        <v>287</v>
      </c>
    </row>
    <row r="1116" customFormat="false" ht="15" hidden="false" customHeight="false" outlineLevel="0" collapsed="false">
      <c r="R1116" s="56" t="s">
        <v>288</v>
      </c>
    </row>
    <row r="1117" customFormat="false" ht="15" hidden="false" customHeight="false" outlineLevel="0" collapsed="false">
      <c r="R1117" s="1" t="s">
        <v>1297</v>
      </c>
      <c r="V1117" s="57" t="s">
        <v>290</v>
      </c>
      <c r="W1117" s="58" t="n">
        <v>1</v>
      </c>
      <c r="X1117" s="59" t="n">
        <f aca="false">W1117*8/$T$1114</f>
        <v>0.106666666666667</v>
      </c>
      <c r="Y1117" s="30" t="n">
        <v>29.44</v>
      </c>
      <c r="Z1117" s="30" t="n">
        <f aca="false">X1117*Y1117</f>
        <v>3.14026666666667</v>
      </c>
    </row>
    <row r="1118" customFormat="false" ht="15" hidden="false" customHeight="false" outlineLevel="0" collapsed="false">
      <c r="R1118" s="1" t="s">
        <v>292</v>
      </c>
      <c r="V1118" s="57" t="s">
        <v>290</v>
      </c>
      <c r="W1118" s="58" t="n">
        <v>1</v>
      </c>
      <c r="X1118" s="59" t="n">
        <f aca="false">W1118*8/$T$1114</f>
        <v>0.106666666666667</v>
      </c>
      <c r="Y1118" s="30" t="n">
        <v>20.51</v>
      </c>
      <c r="Z1118" s="30" t="n">
        <f aca="false">X1118*Y1118</f>
        <v>2.18773333333333</v>
      </c>
    </row>
    <row r="1119" customFormat="false" ht="15" hidden="false" customHeight="false" outlineLevel="0" collapsed="false">
      <c r="Z1119" s="55" t="n">
        <f aca="false">SUM(Z1117:Z1118)</f>
        <v>5.328</v>
      </c>
    </row>
    <row r="1120" customFormat="false" ht="15" hidden="false" customHeight="false" outlineLevel="0" collapsed="false">
      <c r="R1120" s="56" t="s">
        <v>293</v>
      </c>
    </row>
    <row r="1121" customFormat="false" ht="15" hidden="false" customHeight="false" outlineLevel="0" collapsed="false">
      <c r="R1121" s="1" t="s">
        <v>1298</v>
      </c>
      <c r="V1121" s="57" t="s">
        <v>339</v>
      </c>
      <c r="X1121" s="59" t="n">
        <v>0.15</v>
      </c>
      <c r="Y1121" s="30" t="n">
        <v>14.83</v>
      </c>
      <c r="Z1121" s="30" t="n">
        <f aca="false">X1121*Y1121</f>
        <v>2.2245</v>
      </c>
    </row>
    <row r="1122" customFormat="false" ht="15" hidden="false" customHeight="false" outlineLevel="0" collapsed="false">
      <c r="V1122" s="57"/>
      <c r="Z1122" s="55" t="n">
        <f aca="false">SUM(Z1121:Z1121)</f>
        <v>2.2245</v>
      </c>
    </row>
    <row r="1123" customFormat="false" ht="15" hidden="false" customHeight="false" outlineLevel="0" collapsed="false">
      <c r="R1123" s="56" t="s">
        <v>317</v>
      </c>
    </row>
    <row r="1124" customFormat="false" ht="15" hidden="false" customHeight="false" outlineLevel="0" collapsed="false">
      <c r="R1124" s="1" t="s">
        <v>309</v>
      </c>
      <c r="V1124" s="57" t="s">
        <v>310</v>
      </c>
      <c r="X1124" s="59" t="n">
        <v>5</v>
      </c>
      <c r="Y1124" s="30" t="n">
        <f aca="false">Z1119</f>
        <v>5.328</v>
      </c>
      <c r="Z1124" s="30" t="n">
        <f aca="false">X1124%*Y1124</f>
        <v>0.2664</v>
      </c>
    </row>
    <row r="1125" customFormat="false" ht="15" hidden="false" customHeight="false" outlineLevel="0" collapsed="false">
      <c r="R1125" s="1" t="s">
        <v>1301</v>
      </c>
      <c r="V1125" s="57" t="s">
        <v>337</v>
      </c>
      <c r="W1125" s="58" t="n">
        <v>1</v>
      </c>
      <c r="X1125" s="59" t="n">
        <f aca="false">W1125*8/$T$1114</f>
        <v>0.106666666666667</v>
      </c>
      <c r="Y1125" s="30" t="n">
        <v>144.07</v>
      </c>
      <c r="Z1125" s="30" t="n">
        <f aca="false">X1125*Y1125</f>
        <v>15.3674666666667</v>
      </c>
    </row>
    <row r="1126" customFormat="false" ht="15" hidden="false" customHeight="false" outlineLevel="0" collapsed="false">
      <c r="Q1126" s="62"/>
      <c r="R1126" s="62"/>
      <c r="S1126" s="62"/>
      <c r="T1126" s="62"/>
      <c r="U1126" s="62"/>
      <c r="V1126" s="62"/>
      <c r="W1126" s="62"/>
      <c r="X1126" s="62"/>
      <c r="Y1126" s="62"/>
      <c r="Z1126" s="63" t="n">
        <f aca="false">SUM(Z1124:Z1125)</f>
        <v>15.6338666666667</v>
      </c>
    </row>
    <row r="1128" customFormat="false" ht="15" hidden="false" customHeight="false" outlineLevel="0" collapsed="false">
      <c r="Q1128" s="14" t="s">
        <v>333</v>
      </c>
      <c r="R1128" s="14"/>
      <c r="S1128" s="14" t="s">
        <v>1317</v>
      </c>
      <c r="T1128" s="14"/>
      <c r="U1128" s="14"/>
      <c r="V1128" s="14"/>
      <c r="W1128" s="14"/>
      <c r="X1128" s="14"/>
      <c r="Y1128" s="14"/>
    </row>
    <row r="1129" customFormat="false" ht="15" hidden="false" customHeight="false" outlineLevel="0" collapsed="false">
      <c r="Q1129" s="14" t="s">
        <v>277</v>
      </c>
      <c r="R1129" s="14" t="s">
        <v>415</v>
      </c>
      <c r="S1129" s="38" t="s">
        <v>279</v>
      </c>
      <c r="T1129" s="54" t="n">
        <v>120</v>
      </c>
      <c r="U1129" s="38" t="s">
        <v>280</v>
      </c>
      <c r="V1129" s="54" t="n">
        <f aca="false">T1129</f>
        <v>120</v>
      </c>
      <c r="W1129" s="14" t="s">
        <v>281</v>
      </c>
      <c r="Y1129" s="38" t="s">
        <v>202</v>
      </c>
      <c r="Z1129" s="55" t="n">
        <f aca="false">Z1135+Z1139+Z1145</f>
        <v>38.9417</v>
      </c>
    </row>
    <row r="1130" customFormat="false" ht="15" hidden="false" customHeight="false" outlineLevel="0" collapsed="false">
      <c r="Q1130" s="14" t="s">
        <v>282</v>
      </c>
      <c r="R1130" s="14" t="s">
        <v>283</v>
      </c>
      <c r="V1130" s="38" t="s">
        <v>121</v>
      </c>
      <c r="W1130" s="38" t="s">
        <v>284</v>
      </c>
      <c r="X1130" s="38" t="s">
        <v>285</v>
      </c>
      <c r="Y1130" s="38" t="s">
        <v>286</v>
      </c>
      <c r="Z1130" s="38" t="s">
        <v>287</v>
      </c>
    </row>
    <row r="1131" customFormat="false" ht="15" hidden="false" customHeight="false" outlineLevel="0" collapsed="false">
      <c r="R1131" s="56" t="s">
        <v>288</v>
      </c>
    </row>
    <row r="1132" customFormat="false" ht="15" hidden="false" customHeight="false" outlineLevel="0" collapsed="false">
      <c r="R1132" s="1" t="s">
        <v>1297</v>
      </c>
      <c r="V1132" s="57" t="s">
        <v>290</v>
      </c>
      <c r="W1132" s="58" t="n">
        <v>1</v>
      </c>
      <c r="X1132" s="59" t="n">
        <f aca="false">W1132*8/$T$1129</f>
        <v>0.0666666666666667</v>
      </c>
      <c r="Y1132" s="30" t="n">
        <v>29.44</v>
      </c>
      <c r="Z1132" s="30" t="n">
        <f aca="false">X1132*Y1132</f>
        <v>1.96266666666667</v>
      </c>
    </row>
    <row r="1133" customFormat="false" ht="15" hidden="false" customHeight="false" outlineLevel="0" collapsed="false">
      <c r="R1133" s="1" t="s">
        <v>291</v>
      </c>
      <c r="V1133" s="57" t="s">
        <v>290</v>
      </c>
      <c r="W1133" s="58" t="n">
        <v>1</v>
      </c>
      <c r="X1133" s="59" t="n">
        <f aca="false">W1133*8/$T$1129</f>
        <v>0.0666666666666667</v>
      </c>
      <c r="Y1133" s="30" t="n">
        <v>22.66</v>
      </c>
      <c r="Z1133" s="30" t="n">
        <f aca="false">X1133*Y1133</f>
        <v>1.51066666666667</v>
      </c>
    </row>
    <row r="1134" customFormat="false" ht="15" hidden="false" customHeight="false" outlineLevel="0" collapsed="false">
      <c r="R1134" s="1" t="s">
        <v>292</v>
      </c>
      <c r="V1134" s="57" t="s">
        <v>290</v>
      </c>
      <c r="W1134" s="58" t="n">
        <v>1</v>
      </c>
      <c r="X1134" s="59" t="n">
        <f aca="false">W1134*8/$T$1129</f>
        <v>0.0666666666666667</v>
      </c>
      <c r="Y1134" s="30" t="n">
        <v>20.51</v>
      </c>
      <c r="Z1134" s="30" t="n">
        <f aca="false">X1134*Y1134</f>
        <v>1.36733333333333</v>
      </c>
    </row>
    <row r="1135" customFormat="false" ht="15" hidden="false" customHeight="false" outlineLevel="0" collapsed="false">
      <c r="Z1135" s="55" t="n">
        <f aca="false">SUM(Z1132:Z1134)</f>
        <v>4.84066666666667</v>
      </c>
    </row>
    <row r="1136" customFormat="false" ht="15" hidden="false" customHeight="false" outlineLevel="0" collapsed="false">
      <c r="R1136" s="56" t="s">
        <v>293</v>
      </c>
    </row>
    <row r="1137" customFormat="false" ht="15" hidden="false" customHeight="false" outlineLevel="0" collapsed="false">
      <c r="R1137" s="1" t="s">
        <v>1298</v>
      </c>
      <c r="V1137" s="57" t="s">
        <v>339</v>
      </c>
      <c r="X1137" s="59" t="n">
        <v>0.5</v>
      </c>
      <c r="Y1137" s="30" t="n">
        <v>14.83</v>
      </c>
      <c r="Z1137" s="30" t="n">
        <f aca="false">X1137*Y1137</f>
        <v>7.415</v>
      </c>
    </row>
    <row r="1138" customFormat="false" ht="15" hidden="false" customHeight="false" outlineLevel="0" collapsed="false">
      <c r="R1138" s="1" t="s">
        <v>1318</v>
      </c>
      <c r="V1138" s="57" t="s">
        <v>148</v>
      </c>
      <c r="X1138" s="59" t="n">
        <v>0.5</v>
      </c>
      <c r="Y1138" s="30" t="n">
        <v>33.47</v>
      </c>
      <c r="Z1138" s="30" t="n">
        <f aca="false">X1138*Y1138</f>
        <v>16.735</v>
      </c>
    </row>
    <row r="1139" customFormat="false" ht="15" hidden="false" customHeight="false" outlineLevel="0" collapsed="false">
      <c r="V1139" s="57"/>
      <c r="Z1139" s="55" t="n">
        <f aca="false">SUM(Z1137:Z1138)</f>
        <v>24.15</v>
      </c>
    </row>
    <row r="1140" customFormat="false" ht="15" hidden="false" customHeight="false" outlineLevel="0" collapsed="false">
      <c r="R1140" s="56" t="s">
        <v>317</v>
      </c>
    </row>
    <row r="1141" customFormat="false" ht="15" hidden="false" customHeight="false" outlineLevel="0" collapsed="false">
      <c r="R1141" s="1" t="s">
        <v>309</v>
      </c>
      <c r="V1141" s="57" t="s">
        <v>310</v>
      </c>
      <c r="X1141" s="59" t="n">
        <v>5</v>
      </c>
      <c r="Y1141" s="30" t="n">
        <f aca="false">Z1135</f>
        <v>4.84066666666667</v>
      </c>
      <c r="Z1141" s="30" t="n">
        <f aca="false">X1141%*Y1141</f>
        <v>0.242033333333333</v>
      </c>
    </row>
    <row r="1142" customFormat="false" ht="15" hidden="false" customHeight="false" outlineLevel="0" collapsed="false">
      <c r="R1142" s="1" t="s">
        <v>1299</v>
      </c>
      <c r="V1142" s="57" t="s">
        <v>337</v>
      </c>
      <c r="W1142" s="58" t="n">
        <v>0.5</v>
      </c>
      <c r="X1142" s="59" t="n">
        <f aca="false">W1142*8/$T$1129</f>
        <v>0.0333333333333333</v>
      </c>
      <c r="Y1142" s="30" t="n">
        <v>237.29</v>
      </c>
      <c r="Z1142" s="30" t="n">
        <f aca="false">X1142*Y1142</f>
        <v>7.90966666666667</v>
      </c>
    </row>
    <row r="1143" customFormat="false" ht="15" hidden="false" customHeight="false" outlineLevel="0" collapsed="false">
      <c r="R1143" s="1" t="s">
        <v>1319</v>
      </c>
      <c r="V1143" s="57" t="s">
        <v>337</v>
      </c>
      <c r="W1143" s="58" t="n">
        <v>0.5</v>
      </c>
      <c r="X1143" s="59" t="n">
        <f aca="false">W1143*8/$T$1129</f>
        <v>0.0333333333333333</v>
      </c>
      <c r="Y1143" s="30" t="n">
        <v>28.98</v>
      </c>
      <c r="Z1143" s="30" t="n">
        <f aca="false">X1143*Y1143</f>
        <v>0.966</v>
      </c>
    </row>
    <row r="1144" customFormat="false" ht="15" hidden="false" customHeight="false" outlineLevel="0" collapsed="false">
      <c r="R1144" s="1" t="s">
        <v>1309</v>
      </c>
      <c r="V1144" s="57" t="s">
        <v>337</v>
      </c>
      <c r="W1144" s="58" t="n">
        <v>0.5</v>
      </c>
      <c r="X1144" s="59" t="n">
        <f aca="false">W1144*8/$T$1129</f>
        <v>0.0333333333333333</v>
      </c>
      <c r="Y1144" s="30" t="n">
        <v>25</v>
      </c>
      <c r="Z1144" s="30" t="n">
        <f aca="false">X1144*Y1144</f>
        <v>0.833333333333333</v>
      </c>
    </row>
    <row r="1145" customFormat="false" ht="15" hidden="false" customHeight="false" outlineLevel="0" collapsed="false">
      <c r="Q1145" s="62"/>
      <c r="R1145" s="62"/>
      <c r="S1145" s="62"/>
      <c r="T1145" s="62"/>
      <c r="U1145" s="62"/>
      <c r="V1145" s="62"/>
      <c r="W1145" s="62"/>
      <c r="X1145" s="62"/>
      <c r="Y1145" s="62"/>
      <c r="Z1145" s="63" t="n">
        <f aca="false">SUM(Z1141:Z1144)</f>
        <v>9.95103333333333</v>
      </c>
    </row>
    <row r="1147" customFormat="false" ht="15" hidden="false" customHeight="false" outlineLevel="0" collapsed="false">
      <c r="Q1147" s="14" t="s">
        <v>333</v>
      </c>
      <c r="R1147" s="14"/>
      <c r="S1147" s="14" t="s">
        <v>1320</v>
      </c>
      <c r="T1147" s="14"/>
      <c r="U1147" s="14"/>
      <c r="V1147" s="14"/>
      <c r="W1147" s="14"/>
      <c r="X1147" s="14"/>
      <c r="Y1147" s="14"/>
    </row>
    <row r="1148" customFormat="false" ht="15" hidden="false" customHeight="false" outlineLevel="0" collapsed="false">
      <c r="Q1148" s="14" t="s">
        <v>277</v>
      </c>
      <c r="R1148" s="14" t="s">
        <v>278</v>
      </c>
      <c r="S1148" s="38" t="s">
        <v>279</v>
      </c>
      <c r="T1148" s="54" t="n">
        <v>620</v>
      </c>
      <c r="U1148" s="38" t="s">
        <v>280</v>
      </c>
      <c r="V1148" s="54" t="n">
        <f aca="false">T1148</f>
        <v>620</v>
      </c>
      <c r="W1148" s="14" t="s">
        <v>281</v>
      </c>
      <c r="Y1148" s="38" t="s">
        <v>132</v>
      </c>
      <c r="Z1148" s="55" t="n">
        <f aca="false">Z1153+Z1156+Z1161</f>
        <v>22.4164451612903</v>
      </c>
    </row>
    <row r="1149" customFormat="false" ht="15" hidden="false" customHeight="false" outlineLevel="0" collapsed="false">
      <c r="Q1149" s="14" t="s">
        <v>282</v>
      </c>
      <c r="R1149" s="14" t="s">
        <v>283</v>
      </c>
      <c r="V1149" s="38" t="s">
        <v>121</v>
      </c>
      <c r="W1149" s="38" t="s">
        <v>284</v>
      </c>
      <c r="X1149" s="38" t="s">
        <v>285</v>
      </c>
      <c r="Y1149" s="38" t="s">
        <v>286</v>
      </c>
      <c r="Z1149" s="38" t="s">
        <v>287</v>
      </c>
    </row>
    <row r="1150" customFormat="false" ht="15" hidden="false" customHeight="false" outlineLevel="0" collapsed="false">
      <c r="R1150" s="56" t="s">
        <v>288</v>
      </c>
    </row>
    <row r="1151" customFormat="false" ht="15" hidden="false" customHeight="false" outlineLevel="0" collapsed="false">
      <c r="R1151" s="1" t="s">
        <v>1297</v>
      </c>
      <c r="V1151" s="57" t="s">
        <v>290</v>
      </c>
      <c r="W1151" s="58" t="n">
        <v>7</v>
      </c>
      <c r="X1151" s="59" t="n">
        <f aca="false">W1151*8/$T$1148</f>
        <v>0.0903225806451613</v>
      </c>
      <c r="Y1151" s="30" t="n">
        <v>29.44</v>
      </c>
      <c r="Z1151" s="30" t="n">
        <f aca="false">X1151*Y1151</f>
        <v>2.65909677419355</v>
      </c>
    </row>
    <row r="1152" customFormat="false" ht="15" hidden="false" customHeight="false" outlineLevel="0" collapsed="false">
      <c r="R1152" s="1" t="s">
        <v>292</v>
      </c>
      <c r="V1152" s="57" t="s">
        <v>290</v>
      </c>
      <c r="W1152" s="58" t="n">
        <v>2</v>
      </c>
      <c r="X1152" s="59" t="n">
        <f aca="false">W1152*8/$T$1148</f>
        <v>0.0258064516129032</v>
      </c>
      <c r="Y1152" s="30" t="n">
        <v>20.51</v>
      </c>
      <c r="Z1152" s="30" t="n">
        <f aca="false">X1152*Y1152</f>
        <v>0.529290322580645</v>
      </c>
    </row>
    <row r="1153" customFormat="false" ht="15" hidden="false" customHeight="false" outlineLevel="0" collapsed="false">
      <c r="Z1153" s="55" t="n">
        <f aca="false">SUM(Z1151:Z1152)</f>
        <v>3.18838709677419</v>
      </c>
    </row>
    <row r="1154" customFormat="false" ht="15" hidden="false" customHeight="false" outlineLevel="0" collapsed="false">
      <c r="R1154" s="56" t="s">
        <v>293</v>
      </c>
    </row>
    <row r="1155" customFormat="false" ht="15" hidden="false" customHeight="false" outlineLevel="0" collapsed="false">
      <c r="R1155" s="1" t="s">
        <v>1298</v>
      </c>
      <c r="V1155" s="57" t="s">
        <v>339</v>
      </c>
      <c r="X1155" s="59" t="n">
        <v>0.46</v>
      </c>
      <c r="Y1155" s="30" t="n">
        <v>14.83</v>
      </c>
      <c r="Z1155" s="30" t="n">
        <f aca="false">X1155*Y1155</f>
        <v>6.8218</v>
      </c>
    </row>
    <row r="1156" customFormat="false" ht="15" hidden="false" customHeight="false" outlineLevel="0" collapsed="false">
      <c r="V1156" s="57"/>
      <c r="Z1156" s="55" t="n">
        <f aca="false">SUM(Z1155:Z1155)</f>
        <v>6.8218</v>
      </c>
    </row>
    <row r="1157" customFormat="false" ht="15" hidden="false" customHeight="false" outlineLevel="0" collapsed="false">
      <c r="R1157" s="56" t="s">
        <v>317</v>
      </c>
    </row>
    <row r="1158" customFormat="false" ht="15" hidden="false" customHeight="false" outlineLevel="0" collapsed="false">
      <c r="R1158" s="1" t="s">
        <v>309</v>
      </c>
      <c r="V1158" s="57" t="s">
        <v>310</v>
      </c>
      <c r="X1158" s="59" t="n">
        <v>5</v>
      </c>
      <c r="Y1158" s="30" t="n">
        <f aca="false">Z1153</f>
        <v>3.18838709677419</v>
      </c>
      <c r="Z1158" s="30" t="n">
        <f aca="false">X1158%*Y1158</f>
        <v>0.15941935483871</v>
      </c>
    </row>
    <row r="1159" customFormat="false" ht="15" hidden="false" customHeight="false" outlineLevel="0" collapsed="false">
      <c r="R1159" s="1" t="s">
        <v>336</v>
      </c>
      <c r="V1159" s="57" t="s">
        <v>337</v>
      </c>
      <c r="W1159" s="58" t="n">
        <v>6</v>
      </c>
      <c r="X1159" s="59" t="n">
        <f aca="false">W1159*8/$T$1148</f>
        <v>0.0774193548387097</v>
      </c>
      <c r="Y1159" s="30" t="n">
        <v>118.64</v>
      </c>
      <c r="Z1159" s="30" t="n">
        <f aca="false">X1159*Y1159</f>
        <v>9.18503225806452</v>
      </c>
    </row>
    <row r="1160" customFormat="false" ht="15" hidden="false" customHeight="false" outlineLevel="0" collapsed="false">
      <c r="R1160" s="1" t="s">
        <v>1299</v>
      </c>
      <c r="V1160" s="57" t="s">
        <v>337</v>
      </c>
      <c r="W1160" s="58" t="n">
        <v>1</v>
      </c>
      <c r="X1160" s="59" t="n">
        <f aca="false">W1160*8/$T$1148</f>
        <v>0.0129032258064516</v>
      </c>
      <c r="Y1160" s="30" t="n">
        <v>237.29</v>
      </c>
      <c r="Z1160" s="30" t="n">
        <f aca="false">X1160*Y1160</f>
        <v>3.0618064516129</v>
      </c>
    </row>
    <row r="1161" customFormat="false" ht="15" hidden="false" customHeight="false" outlineLevel="0" collapsed="false">
      <c r="Q1161" s="62"/>
      <c r="R1161" s="62"/>
      <c r="S1161" s="62"/>
      <c r="T1161" s="62"/>
      <c r="U1161" s="62"/>
      <c r="V1161" s="62"/>
      <c r="W1161" s="62"/>
      <c r="X1161" s="62"/>
      <c r="Y1161" s="62"/>
      <c r="Z1161" s="63" t="n">
        <f aca="false">SUM(Z1158:Z1160)</f>
        <v>12.4062580645161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BA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.72"/>
    <col collapsed="false" customWidth="true" hidden="false" outlineLevel="0" max="5" min="5" style="1" width="11.15"/>
    <col collapsed="false" customWidth="true" hidden="false" outlineLevel="0" max="6" min="6" style="1" width="16.57"/>
    <col collapsed="false" customWidth="true" hidden="false" outlineLevel="0" max="7" min="7" style="1" width="13.57"/>
    <col collapsed="false" customWidth="true" hidden="false" outlineLevel="0" max="9" min="9" style="1" width="29"/>
    <col collapsed="false" customWidth="true" hidden="false" outlineLevel="0" max="10" min="10" style="1" width="11.86"/>
    <col collapsed="false" customWidth="true" hidden="false" outlineLevel="0" max="11" min="11" style="1" width="15.28"/>
    <col collapsed="false" customWidth="true" hidden="false" outlineLevel="0" max="12" min="12" style="1" width="10.86"/>
    <col collapsed="false" customWidth="true" hidden="false" outlineLevel="0" max="20" min="20" style="1" width="10.43"/>
    <col collapsed="false" customWidth="true" hidden="false" outlineLevel="0" max="21" min="21" style="1" width="12.29"/>
    <col collapsed="false" customWidth="true" hidden="false" outlineLevel="0" max="22" min="22" style="1" width="14.86"/>
    <col collapsed="false" customWidth="true" hidden="false" outlineLevel="0" max="27" min="27" style="1" width="9.3"/>
    <col collapsed="false" customWidth="true" hidden="false" outlineLevel="0" max="28" min="28" style="1" width="11"/>
    <col collapsed="false" customWidth="true" hidden="false" outlineLevel="0" max="29" min="29" style="1" width="11.15"/>
    <col collapsed="false" customWidth="true" hidden="false" outlineLevel="0" max="31" min="31" style="1" width="13.71"/>
    <col collapsed="false" customWidth="true" hidden="false" outlineLevel="0" max="32" min="32" style="1" width="14.86"/>
    <col collapsed="false" customWidth="true" hidden="false" outlineLevel="0" max="33" min="33" style="1" width="10.43"/>
    <col collapsed="false" customWidth="true" hidden="false" outlineLevel="0" max="39" min="39" style="1" width="10.43"/>
  </cols>
  <sheetData>
    <row r="1" customFormat="false" ht="15" hidden="false" customHeight="false" outlineLevel="0" collapsed="false">
      <c r="B1" s="38" t="s">
        <v>1223</v>
      </c>
      <c r="C1" s="38" t="s">
        <v>121</v>
      </c>
      <c r="D1" s="38" t="s">
        <v>122</v>
      </c>
      <c r="E1" s="38" t="s">
        <v>123</v>
      </c>
      <c r="F1" s="38" t="s">
        <v>452</v>
      </c>
      <c r="G1" s="38" t="s">
        <v>453</v>
      </c>
      <c r="H1" s="6"/>
      <c r="I1" s="6"/>
      <c r="J1" s="6"/>
      <c r="K1" s="6"/>
      <c r="L1" s="6"/>
      <c r="M1" s="6"/>
      <c r="N1" s="6"/>
      <c r="O1" s="6"/>
      <c r="P1" s="6"/>
      <c r="Q1" s="6"/>
    </row>
    <row r="2" customFormat="false" ht="15" hidden="false" customHeight="false" outlineLevel="0" collapsed="false">
      <c r="A2" s="15"/>
      <c r="I2" s="159" t="s">
        <v>1321</v>
      </c>
      <c r="J2" s="159" t="n">
        <f aca="false">'Datos iniciales '!E72</f>
        <v>100</v>
      </c>
      <c r="M2" s="14"/>
      <c r="N2" s="14"/>
      <c r="O2" s="14"/>
      <c r="P2" s="14"/>
      <c r="X2" s="14"/>
      <c r="Y2" s="14"/>
      <c r="Z2" s="14"/>
      <c r="AA2" s="14"/>
      <c r="AJ2" s="14"/>
      <c r="AK2" s="14"/>
      <c r="AL2" s="14"/>
      <c r="AM2" s="14"/>
      <c r="AQ2" s="59"/>
    </row>
    <row r="3" customFormat="false" ht="15" hidden="false" customHeight="false" outlineLevel="0" collapsed="false">
      <c r="A3" s="15" t="s">
        <v>589</v>
      </c>
      <c r="I3" s="159" t="s">
        <v>1322</v>
      </c>
      <c r="J3" s="159" t="n">
        <f aca="false">'Datos iniciales '!E73</f>
        <v>0</v>
      </c>
      <c r="M3" s="14"/>
      <c r="N3" s="14"/>
      <c r="O3" s="38"/>
      <c r="P3" s="54"/>
      <c r="Q3" s="38"/>
      <c r="R3" s="54"/>
      <c r="S3" s="14"/>
      <c r="U3" s="38"/>
      <c r="V3" s="55"/>
      <c r="X3" s="14"/>
      <c r="Y3" s="14"/>
      <c r="Z3" s="38"/>
      <c r="AA3" s="54"/>
      <c r="AB3" s="38"/>
      <c r="AC3" s="54"/>
      <c r="AD3" s="14"/>
      <c r="AF3" s="38"/>
      <c r="AG3" s="55"/>
      <c r="AJ3" s="14"/>
      <c r="AK3" s="14"/>
      <c r="AL3" s="38"/>
      <c r="AM3" s="54"/>
      <c r="AN3" s="38"/>
      <c r="AO3" s="54"/>
      <c r="AP3" s="14"/>
      <c r="AQ3" s="59"/>
      <c r="AR3" s="38"/>
      <c r="AS3" s="55"/>
    </row>
    <row r="4" customFormat="false" ht="15" hidden="false" customHeight="false" outlineLevel="0" collapsed="false">
      <c r="A4" s="170" t="s">
        <v>1323</v>
      </c>
      <c r="E4" s="30"/>
      <c r="G4" s="64" t="n">
        <f aca="false">SUM(F5:F7)</f>
        <v>7495.61050107166</v>
      </c>
      <c r="I4" s="159" t="s">
        <v>1324</v>
      </c>
      <c r="J4" s="159" t="n">
        <f aca="false">'Datos iniciales '!E74</f>
        <v>0</v>
      </c>
      <c r="M4" s="14" t="s">
        <v>276</v>
      </c>
      <c r="N4" s="14"/>
      <c r="O4" s="14" t="s">
        <v>1325</v>
      </c>
      <c r="P4" s="14"/>
      <c r="Q4" s="14"/>
      <c r="R4" s="14"/>
      <c r="S4" s="14"/>
      <c r="T4" s="14"/>
      <c r="U4" s="14"/>
      <c r="AK4" s="14"/>
      <c r="AO4" s="38"/>
      <c r="AP4" s="38"/>
      <c r="AQ4" s="171"/>
      <c r="AR4" s="38"/>
      <c r="AS4" s="38"/>
    </row>
    <row r="5" customFormat="false" ht="15" hidden="false" customHeight="false" outlineLevel="0" collapsed="false">
      <c r="A5" s="1" t="s">
        <v>823</v>
      </c>
      <c r="B5" s="1" t="n">
        <v>1.5</v>
      </c>
      <c r="C5" s="57" t="s">
        <v>132</v>
      </c>
      <c r="D5" s="1" t="n">
        <f aca="false">B5*$J$2</f>
        <v>150</v>
      </c>
      <c r="E5" s="30" t="n">
        <f aca="false">U8</f>
        <v>13.4785886933566</v>
      </c>
      <c r="F5" s="58" t="n">
        <f aca="false">D5*E5</f>
        <v>2021.78830400348</v>
      </c>
      <c r="I5" s="159" t="s">
        <v>1326</v>
      </c>
      <c r="J5" s="159" t="n">
        <f aca="false">'Datos iniciales '!E75</f>
        <v>0</v>
      </c>
      <c r="M5" s="14" t="s">
        <v>277</v>
      </c>
      <c r="N5" s="14" t="s">
        <v>278</v>
      </c>
      <c r="O5" s="38" t="s">
        <v>279</v>
      </c>
      <c r="P5" s="54" t="n">
        <v>1</v>
      </c>
      <c r="Q5" s="38" t="s">
        <v>280</v>
      </c>
      <c r="R5" s="54" t="n">
        <f aca="false">P5</f>
        <v>1</v>
      </c>
      <c r="S5" s="14" t="s">
        <v>281</v>
      </c>
      <c r="U5" s="38" t="s">
        <v>132</v>
      </c>
      <c r="V5" s="55" t="n">
        <f aca="false">V11</f>
        <v>74.9561050107166</v>
      </c>
      <c r="X5" s="14" t="s">
        <v>1327</v>
      </c>
      <c r="Y5" s="14"/>
      <c r="Z5" s="14" t="s">
        <v>823</v>
      </c>
      <c r="AA5" s="14"/>
      <c r="AB5" s="14"/>
      <c r="AC5" s="14"/>
      <c r="AD5" s="14"/>
      <c r="AE5" s="14"/>
      <c r="AF5" s="14"/>
      <c r="AK5" s="56"/>
      <c r="AQ5" s="59"/>
    </row>
    <row r="6" customFormat="false" ht="15" hidden="false" customHeight="false" outlineLevel="0" collapsed="false">
      <c r="A6" s="1" t="s">
        <v>825</v>
      </c>
      <c r="B6" s="1" t="n">
        <v>0.5</v>
      </c>
      <c r="C6" s="57" t="s">
        <v>148</v>
      </c>
      <c r="D6" s="1" t="n">
        <f aca="false">B6*$J$2</f>
        <v>50</v>
      </c>
      <c r="E6" s="30" t="n">
        <f aca="false">U9</f>
        <v>73.8521214933566</v>
      </c>
      <c r="F6" s="58" t="n">
        <f aca="false">D6*E6</f>
        <v>3692.60607466783</v>
      </c>
      <c r="I6" s="159" t="s">
        <v>1324</v>
      </c>
      <c r="J6" s="159" t="n">
        <f aca="false">'Datos iniciales '!E76</f>
        <v>0</v>
      </c>
      <c r="M6" s="14" t="s">
        <v>282</v>
      </c>
      <c r="N6" s="14" t="s">
        <v>283</v>
      </c>
      <c r="R6" s="38" t="s">
        <v>121</v>
      </c>
      <c r="S6" s="38" t="s">
        <v>284</v>
      </c>
      <c r="T6" s="38" t="s">
        <v>285</v>
      </c>
      <c r="U6" s="38" t="s">
        <v>286</v>
      </c>
      <c r="V6" s="38" t="s">
        <v>287</v>
      </c>
      <c r="X6" s="14" t="s">
        <v>277</v>
      </c>
      <c r="Y6" s="14" t="s">
        <v>278</v>
      </c>
      <c r="Z6" s="38" t="s">
        <v>279</v>
      </c>
      <c r="AA6" s="54" t="n">
        <v>100</v>
      </c>
      <c r="AB6" s="38" t="s">
        <v>280</v>
      </c>
      <c r="AC6" s="54" t="n">
        <f aca="false">AA6</f>
        <v>100</v>
      </c>
      <c r="AD6" s="14" t="s">
        <v>281</v>
      </c>
      <c r="AF6" s="38" t="s">
        <v>132</v>
      </c>
      <c r="AG6" s="55" t="n">
        <f aca="false">AG12+AG16+AG19</f>
        <v>13.4785886933566</v>
      </c>
      <c r="AO6" s="57"/>
      <c r="AQ6" s="101"/>
      <c r="AR6" s="172"/>
      <c r="AS6" s="30"/>
    </row>
    <row r="7" customFormat="false" ht="15" hidden="false" customHeight="false" outlineLevel="0" collapsed="false">
      <c r="A7" s="1" t="s">
        <v>827</v>
      </c>
      <c r="B7" s="1" t="n">
        <v>0.15</v>
      </c>
      <c r="C7" s="57" t="s">
        <v>148</v>
      </c>
      <c r="D7" s="1" t="n">
        <f aca="false">B7*$J$2</f>
        <v>15</v>
      </c>
      <c r="E7" s="30" t="n">
        <f aca="false">U10</f>
        <v>118.747741493357</v>
      </c>
      <c r="F7" s="58" t="n">
        <f aca="false">D7*E7</f>
        <v>1781.21612240035</v>
      </c>
      <c r="I7" s="159" t="s">
        <v>1328</v>
      </c>
      <c r="J7" s="159" t="n">
        <f aca="false">'Datos iniciales '!E77</f>
        <v>0</v>
      </c>
      <c r="N7" s="56" t="s">
        <v>733</v>
      </c>
      <c r="X7" s="14" t="s">
        <v>282</v>
      </c>
      <c r="Y7" s="14" t="s">
        <v>283</v>
      </c>
      <c r="AC7" s="38" t="s">
        <v>121</v>
      </c>
      <c r="AD7" s="38" t="s">
        <v>284</v>
      </c>
      <c r="AE7" s="38" t="s">
        <v>285</v>
      </c>
      <c r="AF7" s="38" t="s">
        <v>286</v>
      </c>
      <c r="AG7" s="38" t="s">
        <v>287</v>
      </c>
      <c r="AO7" s="57"/>
      <c r="AP7" s="58"/>
      <c r="AQ7" s="59"/>
      <c r="AS7" s="55"/>
    </row>
    <row r="8" customFormat="false" ht="15" hidden="false" customHeight="false" outlineLevel="0" collapsed="false">
      <c r="A8" s="170" t="s">
        <v>1322</v>
      </c>
      <c r="C8" s="1" t="s">
        <v>132</v>
      </c>
      <c r="G8" s="55" t="n">
        <f aca="false">SUM(F9:F21)</f>
        <v>0</v>
      </c>
      <c r="I8" s="159" t="s">
        <v>1329</v>
      </c>
      <c r="J8" s="159" t="n">
        <f aca="false">'Datos iniciales '!E78</f>
        <v>100</v>
      </c>
      <c r="N8" s="1" t="s">
        <v>823</v>
      </c>
      <c r="R8" s="57" t="s">
        <v>132</v>
      </c>
      <c r="S8" s="58"/>
      <c r="T8" s="59" t="n">
        <v>1.5</v>
      </c>
      <c r="U8" s="30" t="n">
        <f aca="false">AG6</f>
        <v>13.4785886933566</v>
      </c>
      <c r="V8" s="30" t="n">
        <f aca="false">T8*U8</f>
        <v>20.2178830400349</v>
      </c>
      <c r="Y8" s="56" t="s">
        <v>288</v>
      </c>
    </row>
    <row r="9" customFormat="false" ht="15" hidden="false" customHeight="false" outlineLevel="0" collapsed="false">
      <c r="B9" s="59"/>
      <c r="C9" s="57"/>
      <c r="E9" s="30"/>
      <c r="F9" s="58"/>
      <c r="I9" s="159" t="s">
        <v>1330</v>
      </c>
      <c r="J9" s="159" t="n">
        <f aca="false">'Datos iniciales '!E79</f>
        <v>0</v>
      </c>
      <c r="N9" s="1" t="s">
        <v>825</v>
      </c>
      <c r="R9" s="57" t="s">
        <v>148</v>
      </c>
      <c r="S9" s="58"/>
      <c r="T9" s="59" t="n">
        <v>0.5</v>
      </c>
      <c r="U9" s="30" t="n">
        <f aca="false">AG22</f>
        <v>73.8521214933566</v>
      </c>
      <c r="V9" s="30" t="n">
        <f aca="false">T9*U9</f>
        <v>36.9260607466783</v>
      </c>
      <c r="Y9" s="1" t="s">
        <v>649</v>
      </c>
      <c r="AC9" s="57" t="s">
        <v>290</v>
      </c>
      <c r="AD9" s="58" t="n">
        <v>0.1</v>
      </c>
      <c r="AE9" s="59" t="n">
        <f aca="false">AD9*8/$AA$6</f>
        <v>0.008</v>
      </c>
      <c r="AF9" s="30" t="n">
        <v>34.73</v>
      </c>
      <c r="AG9" s="30" t="n">
        <f aca="false">AE9*AF9</f>
        <v>0.27784</v>
      </c>
      <c r="AK9" s="14"/>
      <c r="AL9" s="14"/>
      <c r="AM9" s="14"/>
      <c r="AN9" s="14"/>
      <c r="AO9" s="14"/>
      <c r="AP9" s="14"/>
      <c r="AQ9" s="14"/>
      <c r="AR9" s="14"/>
    </row>
    <row r="10" customFormat="false" ht="15" hidden="false" customHeight="false" outlineLevel="0" collapsed="false">
      <c r="B10" s="59"/>
      <c r="C10" s="57"/>
      <c r="E10" s="30"/>
      <c r="F10" s="58"/>
      <c r="I10" s="159" t="s">
        <v>1331</v>
      </c>
      <c r="J10" s="159" t="n">
        <f aca="false">'Datos iniciales '!E80</f>
        <v>0</v>
      </c>
      <c r="N10" s="1" t="s">
        <v>827</v>
      </c>
      <c r="R10" s="57" t="s">
        <v>148</v>
      </c>
      <c r="S10" s="58"/>
      <c r="T10" s="59" t="n">
        <v>0.15</v>
      </c>
      <c r="U10" s="30" t="n">
        <f aca="false">AG39</f>
        <v>118.747741493357</v>
      </c>
      <c r="V10" s="30" t="n">
        <f aca="false">T10*U10</f>
        <v>17.8121612240035</v>
      </c>
      <c r="Y10" s="1" t="s">
        <v>675</v>
      </c>
      <c r="AC10" s="57" t="s">
        <v>290</v>
      </c>
      <c r="AD10" s="58" t="n">
        <v>1</v>
      </c>
      <c r="AE10" s="59" t="n">
        <f aca="false">AD10*8/$AA$6</f>
        <v>0.08</v>
      </c>
      <c r="AF10" s="30" t="n">
        <v>22.66</v>
      </c>
      <c r="AG10" s="30" t="n">
        <f aca="false">AE10*AF10</f>
        <v>1.8128</v>
      </c>
      <c r="AK10" s="14"/>
      <c r="AL10" s="38"/>
      <c r="AM10" s="54"/>
      <c r="AN10" s="38"/>
      <c r="AO10" s="54"/>
      <c r="AP10" s="14"/>
      <c r="AR10" s="38"/>
      <c r="AS10" s="55"/>
    </row>
    <row r="11" customFormat="false" ht="15" hidden="false" customHeight="false" outlineLevel="0" collapsed="false">
      <c r="A11" s="1" t="s">
        <v>1332</v>
      </c>
      <c r="B11" s="59" t="n">
        <v>1</v>
      </c>
      <c r="C11" s="57" t="s">
        <v>202</v>
      </c>
      <c r="D11" s="1" t="n">
        <f aca="false">B11*$J$3</f>
        <v>0</v>
      </c>
      <c r="E11" s="30" t="n">
        <f aca="false">U61</f>
        <v>7.930344</v>
      </c>
      <c r="F11" s="58" t="n">
        <f aca="false">D11*E11</f>
        <v>0</v>
      </c>
      <c r="I11" s="159" t="s">
        <v>1333</v>
      </c>
      <c r="J11" s="159" t="n">
        <f aca="false">'Datos iniciales '!E81</f>
        <v>0</v>
      </c>
      <c r="M11" s="62"/>
      <c r="N11" s="62"/>
      <c r="O11" s="62"/>
      <c r="P11" s="62"/>
      <c r="Q11" s="62"/>
      <c r="R11" s="62"/>
      <c r="S11" s="62"/>
      <c r="T11" s="62"/>
      <c r="U11" s="62"/>
      <c r="V11" s="63" t="n">
        <f aca="false">SUM(V8:V10)</f>
        <v>74.9561050107166</v>
      </c>
      <c r="Y11" s="1" t="s">
        <v>292</v>
      </c>
      <c r="AC11" s="57" t="s">
        <v>290</v>
      </c>
      <c r="AD11" s="58" t="n">
        <v>1</v>
      </c>
      <c r="AE11" s="59" t="n">
        <f aca="false">AD11*8/$AA$6</f>
        <v>0.08</v>
      </c>
      <c r="AF11" s="30" t="n">
        <v>20.51</v>
      </c>
      <c r="AG11" s="30" t="n">
        <f aca="false">AE11*AF11</f>
        <v>1.6408</v>
      </c>
      <c r="AK11" s="14"/>
      <c r="AO11" s="38"/>
      <c r="AP11" s="38"/>
      <c r="AQ11" s="38"/>
      <c r="AR11" s="38"/>
      <c r="AS11" s="38"/>
    </row>
    <row r="12" customFormat="false" ht="15" hidden="false" customHeight="false" outlineLevel="0" collapsed="false">
      <c r="A12" s="1" t="s">
        <v>1334</v>
      </c>
      <c r="B12" s="59" t="n">
        <v>0.33</v>
      </c>
      <c r="C12" s="57" t="s">
        <v>202</v>
      </c>
      <c r="D12" s="1" t="n">
        <f aca="false">B12*$J$3</f>
        <v>0</v>
      </c>
      <c r="E12" s="30" t="n">
        <f aca="false">U62</f>
        <v>77.2277048</v>
      </c>
      <c r="F12" s="58" t="n">
        <f aca="false">D12*E12</f>
        <v>0</v>
      </c>
      <c r="I12" s="159" t="s">
        <v>1335</v>
      </c>
      <c r="J12" s="159" t="n">
        <f aca="false">'Datos iniciales '!E82</f>
        <v>0</v>
      </c>
      <c r="R12" s="57"/>
      <c r="S12" s="58"/>
      <c r="T12" s="59"/>
      <c r="U12" s="30"/>
      <c r="V12" s="30"/>
      <c r="AC12" s="57"/>
      <c r="AG12" s="55" t="n">
        <f aca="false">SUM(AG9:AG11)</f>
        <v>3.73144</v>
      </c>
      <c r="AK12" s="56"/>
    </row>
    <row r="13" customFormat="false" ht="15" hidden="false" customHeight="false" outlineLevel="0" collapsed="false">
      <c r="A13" s="1" t="s">
        <v>592</v>
      </c>
      <c r="B13" s="59" t="n">
        <v>0.22</v>
      </c>
      <c r="C13" s="57" t="s">
        <v>132</v>
      </c>
      <c r="D13" s="1" t="n">
        <f aca="false">B13*$J$3</f>
        <v>0</v>
      </c>
      <c r="E13" s="30" t="n">
        <f aca="false">U63</f>
        <v>445.669224</v>
      </c>
      <c r="F13" s="58" t="n">
        <f aca="false">D13*E13</f>
        <v>0</v>
      </c>
      <c r="I13" s="159" t="s">
        <v>1336</v>
      </c>
      <c r="J13" s="159" t="n">
        <f aca="false">'Datos iniciales '!B3</f>
        <v>150</v>
      </c>
      <c r="Y13" s="56" t="s">
        <v>293</v>
      </c>
      <c r="AC13" s="57"/>
      <c r="AO13" s="57"/>
      <c r="AP13" s="58"/>
      <c r="AQ13" s="59"/>
      <c r="AR13" s="30"/>
      <c r="AS13" s="30"/>
    </row>
    <row r="14" customFormat="false" ht="15" hidden="false" customHeight="false" outlineLevel="0" collapsed="false">
      <c r="A14" s="1" t="s">
        <v>594</v>
      </c>
      <c r="B14" s="59" t="n">
        <v>0.0144</v>
      </c>
      <c r="C14" s="57" t="s">
        <v>202</v>
      </c>
      <c r="D14" s="1" t="n">
        <f aca="false">B14*$J$3</f>
        <v>0</v>
      </c>
      <c r="E14" s="30" t="n">
        <f aca="false">U64</f>
        <v>445.669224</v>
      </c>
      <c r="F14" s="58" t="n">
        <f aca="false">D14*E14</f>
        <v>0</v>
      </c>
      <c r="I14" s="159" t="s">
        <v>1337</v>
      </c>
      <c r="J14" s="159" t="n">
        <f aca="false">'Datos iniciales '!C3</f>
        <v>1000</v>
      </c>
      <c r="Y14" s="1" t="s">
        <v>654</v>
      </c>
      <c r="AC14" s="57" t="s">
        <v>202</v>
      </c>
      <c r="AE14" s="59" t="n">
        <v>0.033</v>
      </c>
      <c r="AF14" s="30" t="n">
        <v>6.14</v>
      </c>
      <c r="AG14" s="30" t="n">
        <f aca="false">AE14*AF14</f>
        <v>0.20262</v>
      </c>
      <c r="AO14" s="57"/>
      <c r="AP14" s="58"/>
      <c r="AQ14" s="59"/>
      <c r="AR14" s="30"/>
      <c r="AS14" s="30"/>
    </row>
    <row r="15" customFormat="false" ht="15" hidden="false" customHeight="false" outlineLevel="0" collapsed="false">
      <c r="A15" s="1" t="s">
        <v>596</v>
      </c>
      <c r="B15" s="59" t="n">
        <v>0.0766</v>
      </c>
      <c r="C15" s="57" t="s">
        <v>132</v>
      </c>
      <c r="D15" s="1" t="n">
        <f aca="false">B15*$J$3</f>
        <v>0</v>
      </c>
      <c r="E15" s="30" t="n">
        <f aca="false">U65</f>
        <v>118.0135648</v>
      </c>
      <c r="F15" s="58" t="n">
        <f aca="false">D15*E15</f>
        <v>0</v>
      </c>
      <c r="I15" s="159" t="s">
        <v>1338</v>
      </c>
      <c r="J15" s="159" t="n">
        <f aca="false">INDEX('Datos iniciales '!C5:C8,MATCH(MAX('Datos iniciales '!B5:B8),'Datos iniciales '!B5:B8,0))</f>
        <v>1</v>
      </c>
      <c r="K15" s="58"/>
      <c r="Y15" s="1" t="s">
        <v>954</v>
      </c>
      <c r="AC15" s="57" t="s">
        <v>202</v>
      </c>
      <c r="AE15" s="59" t="n">
        <v>0.15</v>
      </c>
      <c r="AF15" s="30" t="n">
        <v>62.8839032890438</v>
      </c>
      <c r="AG15" s="30" t="n">
        <f aca="false">AE15*AF15</f>
        <v>9.43258549335657</v>
      </c>
      <c r="AO15" s="57"/>
      <c r="AP15" s="58"/>
      <c r="AQ15" s="59"/>
      <c r="AR15" s="30"/>
      <c r="AS15" s="30"/>
    </row>
    <row r="16" customFormat="false" ht="15" hidden="false" customHeight="false" outlineLevel="0" collapsed="false">
      <c r="A16" s="1" t="s">
        <v>598</v>
      </c>
      <c r="B16" s="59" t="n">
        <v>0.0008</v>
      </c>
      <c r="C16" s="57" t="s">
        <v>202</v>
      </c>
      <c r="D16" s="1" t="n">
        <f aca="false">B16*$J$3</f>
        <v>0</v>
      </c>
      <c r="E16" s="30" t="n">
        <f aca="false">U66</f>
        <v>358</v>
      </c>
      <c r="F16" s="58" t="n">
        <f aca="false">D16*E16</f>
        <v>0</v>
      </c>
      <c r="J16" s="58"/>
      <c r="AC16" s="57"/>
      <c r="AG16" s="55" t="n">
        <f aca="false">SUM(AG14:AG15)</f>
        <v>9.63520549335657</v>
      </c>
      <c r="AO16" s="57"/>
      <c r="AP16" s="58"/>
      <c r="AQ16" s="59"/>
      <c r="AR16" s="30"/>
      <c r="AS16" s="30"/>
    </row>
    <row r="17" customFormat="false" ht="15" hidden="false" customHeight="false" outlineLevel="0" collapsed="false">
      <c r="A17" s="1" t="s">
        <v>600</v>
      </c>
      <c r="B17" s="59" t="n">
        <v>1</v>
      </c>
      <c r="C17" s="57" t="s">
        <v>132</v>
      </c>
      <c r="D17" s="1" t="n">
        <f aca="false">B17*$J$3</f>
        <v>0</v>
      </c>
      <c r="E17" s="30" t="n">
        <f aca="false">U67</f>
        <v>2.9418736</v>
      </c>
      <c r="F17" s="58" t="n">
        <f aca="false">D17*E17</f>
        <v>0</v>
      </c>
      <c r="J17" s="58"/>
      <c r="K17" s="58"/>
      <c r="Y17" s="56" t="s">
        <v>317</v>
      </c>
      <c r="AC17" s="57"/>
      <c r="AD17" s="58"/>
      <c r="AS17" s="55"/>
    </row>
    <row r="18" customFormat="false" ht="15" hidden="false" customHeight="false" outlineLevel="0" collapsed="false">
      <c r="A18" s="1" t="s">
        <v>602</v>
      </c>
      <c r="B18" s="59" t="n">
        <v>0.1607</v>
      </c>
      <c r="C18" s="57" t="s">
        <v>143</v>
      </c>
      <c r="D18" s="1" t="n">
        <f aca="false">B18*$J$3</f>
        <v>0</v>
      </c>
      <c r="E18" s="30" t="n">
        <f aca="false">U68</f>
        <v>19.2386832</v>
      </c>
      <c r="F18" s="58" t="n">
        <f aca="false">D18*E18</f>
        <v>0</v>
      </c>
      <c r="J18" s="58"/>
      <c r="K18" s="173"/>
      <c r="Y18" s="1" t="s">
        <v>309</v>
      </c>
      <c r="AC18" s="57" t="s">
        <v>310</v>
      </c>
      <c r="AD18" s="58"/>
      <c r="AE18" s="59" t="n">
        <v>3</v>
      </c>
      <c r="AF18" s="30" t="n">
        <f aca="false">AG12</f>
        <v>3.73144</v>
      </c>
      <c r="AG18" s="30" t="n">
        <f aca="false">AE18%*AF18</f>
        <v>0.1119432</v>
      </c>
      <c r="AK18" s="56"/>
    </row>
    <row r="19" customFormat="false" ht="15" hidden="false" customHeight="false" outlineLevel="0" collapsed="false">
      <c r="A19" s="1" t="s">
        <v>604</v>
      </c>
      <c r="B19" s="59" t="n">
        <v>0.1889</v>
      </c>
      <c r="C19" s="57" t="s">
        <v>143</v>
      </c>
      <c r="D19" s="1" t="n">
        <f aca="false">B19*$J$3</f>
        <v>0</v>
      </c>
      <c r="E19" s="30" t="n">
        <f aca="false">U69</f>
        <v>19.2386832</v>
      </c>
      <c r="F19" s="58" t="n">
        <f aca="false">D19*E19</f>
        <v>0</v>
      </c>
      <c r="K19" s="58"/>
      <c r="X19" s="62"/>
      <c r="Y19" s="62"/>
      <c r="Z19" s="62"/>
      <c r="AA19" s="62"/>
      <c r="AB19" s="62"/>
      <c r="AC19" s="62"/>
      <c r="AD19" s="62"/>
      <c r="AE19" s="62"/>
      <c r="AF19" s="62"/>
      <c r="AG19" s="63" t="n">
        <f aca="false">SUM(AG18)</f>
        <v>0.1119432</v>
      </c>
      <c r="AQ19" s="59"/>
      <c r="AR19" s="30"/>
      <c r="AS19" s="30"/>
    </row>
    <row r="20" customFormat="false" ht="15" hidden="false" customHeight="false" outlineLevel="0" collapsed="false">
      <c r="A20" s="1" t="s">
        <v>606</v>
      </c>
      <c r="B20" s="59" t="n">
        <v>0.0074</v>
      </c>
      <c r="C20" s="57" t="s">
        <v>143</v>
      </c>
      <c r="D20" s="1" t="n">
        <f aca="false">B20*$J$3</f>
        <v>0</v>
      </c>
      <c r="E20" s="30" t="n">
        <f aca="false">U70</f>
        <v>616.64</v>
      </c>
      <c r="F20" s="58" t="n">
        <f aca="false">D20*E20</f>
        <v>0</v>
      </c>
      <c r="K20" s="58"/>
      <c r="AC20" s="57"/>
      <c r="AD20" s="58"/>
      <c r="AE20" s="59"/>
      <c r="AF20" s="30"/>
      <c r="AG20" s="30"/>
      <c r="AQ20" s="59"/>
      <c r="AR20" s="30"/>
      <c r="AS20" s="30"/>
    </row>
    <row r="21" customFormat="false" ht="15" hidden="false" customHeight="false" outlineLevel="0" collapsed="false">
      <c r="A21" s="1" t="s">
        <v>1339</v>
      </c>
      <c r="B21" s="1" t="n">
        <v>0.025</v>
      </c>
      <c r="C21" s="57" t="s">
        <v>143</v>
      </c>
      <c r="D21" s="1" t="n">
        <f aca="false">B21*$J$3</f>
        <v>0</v>
      </c>
      <c r="E21" s="30" t="n">
        <f aca="false">U71</f>
        <v>51.058432</v>
      </c>
      <c r="F21" s="58" t="n">
        <f aca="false">D21*E21</f>
        <v>0</v>
      </c>
      <c r="K21" s="58"/>
      <c r="X21" s="14" t="s">
        <v>1327</v>
      </c>
      <c r="Y21" s="14"/>
      <c r="Z21" s="14" t="s">
        <v>825</v>
      </c>
      <c r="AA21" s="14"/>
      <c r="AB21" s="14"/>
      <c r="AC21" s="14"/>
      <c r="AD21" s="14"/>
      <c r="AE21" s="14"/>
      <c r="AF21" s="14"/>
      <c r="AS21" s="55"/>
      <c r="AT21" s="174"/>
      <c r="AU21" s="175"/>
      <c r="AV21" s="175"/>
      <c r="AW21" s="176"/>
      <c r="AX21" s="177"/>
      <c r="AY21" s="177"/>
      <c r="AZ21" s="177"/>
      <c r="BA21" s="178"/>
    </row>
    <row r="22" customFormat="false" ht="15" hidden="false" customHeight="false" outlineLevel="0" collapsed="false">
      <c r="A22" s="170" t="s">
        <v>1340</v>
      </c>
      <c r="C22" s="1" t="s">
        <v>132</v>
      </c>
      <c r="D22" s="1" t="n">
        <f aca="false">J4</f>
        <v>0</v>
      </c>
      <c r="E22" s="30" t="n">
        <f aca="false">V236</f>
        <v>169.49</v>
      </c>
      <c r="G22" s="14" t="n">
        <f aca="false">D22*E22</f>
        <v>0</v>
      </c>
      <c r="K22" s="58"/>
      <c r="X22" s="14" t="s">
        <v>277</v>
      </c>
      <c r="Y22" s="14" t="s">
        <v>278</v>
      </c>
      <c r="Z22" s="38" t="s">
        <v>279</v>
      </c>
      <c r="AA22" s="54" t="n">
        <v>20</v>
      </c>
      <c r="AB22" s="38" t="s">
        <v>280</v>
      </c>
      <c r="AC22" s="54" t="n">
        <f aca="false">AA22</f>
        <v>20</v>
      </c>
      <c r="AD22" s="14" t="s">
        <v>281</v>
      </c>
      <c r="AF22" s="38" t="s">
        <v>132</v>
      </c>
      <c r="AG22" s="55" t="n">
        <f aca="false">AG28+AG33+AG36</f>
        <v>73.8521214933566</v>
      </c>
      <c r="AK22" s="56"/>
      <c r="AT22" s="179"/>
      <c r="AU22" s="175"/>
      <c r="AV22" s="180"/>
      <c r="AW22" s="181"/>
      <c r="AX22" s="182"/>
      <c r="AY22" s="183"/>
      <c r="AZ22" s="182"/>
      <c r="BA22" s="182"/>
    </row>
    <row r="23" customFormat="false" ht="15" hidden="false" customHeight="false" outlineLevel="0" collapsed="false">
      <c r="K23" s="58"/>
      <c r="L23" s="30"/>
      <c r="X23" s="14" t="s">
        <v>282</v>
      </c>
      <c r="Y23" s="14" t="s">
        <v>283</v>
      </c>
      <c r="AC23" s="38" t="s">
        <v>121</v>
      </c>
      <c r="AD23" s="38" t="s">
        <v>284</v>
      </c>
      <c r="AE23" s="38" t="s">
        <v>285</v>
      </c>
      <c r="AF23" s="38" t="s">
        <v>286</v>
      </c>
      <c r="AG23" s="38" t="s">
        <v>287</v>
      </c>
      <c r="AO23" s="57"/>
      <c r="AQ23" s="59"/>
      <c r="AR23" s="30"/>
      <c r="AS23" s="30"/>
      <c r="AT23" s="179"/>
      <c r="AU23" s="184"/>
      <c r="AV23" s="175"/>
      <c r="AW23" s="181"/>
      <c r="AX23" s="182"/>
      <c r="AY23" s="183"/>
      <c r="AZ23" s="182"/>
      <c r="BA23" s="182"/>
    </row>
    <row r="24" customFormat="false" ht="15" hidden="false" customHeight="false" outlineLevel="0" collapsed="false">
      <c r="A24" s="170" t="s">
        <v>107</v>
      </c>
      <c r="C24" s="1" t="s">
        <v>132</v>
      </c>
      <c r="G24" s="55" t="n">
        <f aca="false">SUM(F25:F37)</f>
        <v>0</v>
      </c>
      <c r="L24" s="30"/>
      <c r="Y24" s="56" t="s">
        <v>288</v>
      </c>
      <c r="AO24" s="57"/>
      <c r="AP24" s="58"/>
      <c r="AQ24" s="59"/>
      <c r="AR24" s="30"/>
      <c r="AS24" s="30"/>
      <c r="AT24" s="114"/>
      <c r="AU24" s="114"/>
      <c r="AV24" s="114"/>
      <c r="AW24" s="181"/>
      <c r="AX24" s="182"/>
      <c r="AY24" s="182"/>
      <c r="AZ24" s="182"/>
      <c r="BA24" s="182"/>
    </row>
    <row r="25" customFormat="false" ht="15" hidden="false" customHeight="false" outlineLevel="0" collapsed="false">
      <c r="B25" s="59"/>
      <c r="C25" s="57"/>
      <c r="E25" s="30"/>
      <c r="F25" s="58"/>
      <c r="L25" s="30"/>
      <c r="Y25" s="1" t="s">
        <v>649</v>
      </c>
      <c r="AC25" s="57" t="s">
        <v>290</v>
      </c>
      <c r="AD25" s="58" t="n">
        <v>0.1</v>
      </c>
      <c r="AE25" s="59" t="n">
        <f aca="false">AD25*8/$AA$22</f>
        <v>0.04</v>
      </c>
      <c r="AF25" s="30" t="n">
        <v>34.73</v>
      </c>
      <c r="AG25" s="30" t="n">
        <f aca="false">AE25*AF25</f>
        <v>1.3892</v>
      </c>
      <c r="AO25" s="57"/>
      <c r="AP25" s="58"/>
      <c r="AQ25" s="59"/>
      <c r="AR25" s="30"/>
      <c r="AS25" s="30"/>
      <c r="AT25" s="174"/>
      <c r="AU25" s="174"/>
      <c r="AV25" s="181"/>
      <c r="AW25" s="174"/>
      <c r="AX25" s="185"/>
      <c r="AY25" s="185"/>
      <c r="AZ25" s="185"/>
      <c r="BA25" s="185"/>
    </row>
    <row r="26" customFormat="false" ht="15" hidden="false" customHeight="false" outlineLevel="0" collapsed="false">
      <c r="B26" s="59"/>
      <c r="C26" s="57"/>
      <c r="E26" s="30"/>
      <c r="F26" s="58"/>
      <c r="L26" s="30"/>
      <c r="Y26" s="1" t="s">
        <v>675</v>
      </c>
      <c r="AC26" s="57" t="s">
        <v>290</v>
      </c>
      <c r="AD26" s="58" t="n">
        <v>1</v>
      </c>
      <c r="AE26" s="59" t="n">
        <f aca="false">AD26*8/$AA$22</f>
        <v>0.4</v>
      </c>
      <c r="AF26" s="30" t="n">
        <v>22.66</v>
      </c>
      <c r="AG26" s="30" t="n">
        <f aca="false">AE26*AF26</f>
        <v>9.064</v>
      </c>
      <c r="AS26" s="55"/>
      <c r="AT26" s="114"/>
      <c r="AU26" s="114"/>
      <c r="AV26" s="174"/>
      <c r="AW26" s="174"/>
      <c r="AX26" s="185"/>
      <c r="AY26" s="185"/>
      <c r="AZ26" s="185"/>
      <c r="BA26" s="185"/>
    </row>
    <row r="27" customFormat="false" ht="15" hidden="false" customHeight="false" outlineLevel="0" collapsed="false">
      <c r="A27" s="1" t="s">
        <v>1332</v>
      </c>
      <c r="B27" s="59" t="n">
        <v>1</v>
      </c>
      <c r="C27" s="57" t="s">
        <v>202</v>
      </c>
      <c r="D27" s="1" t="n">
        <f aca="false">B27*$J$5</f>
        <v>0</v>
      </c>
      <c r="E27" s="30" t="n">
        <f aca="false">U61</f>
        <v>7.930344</v>
      </c>
      <c r="F27" s="58" t="n">
        <f aca="false">D27*E27</f>
        <v>0</v>
      </c>
      <c r="Y27" s="1" t="s">
        <v>292</v>
      </c>
      <c r="AC27" s="57" t="s">
        <v>290</v>
      </c>
      <c r="AD27" s="58" t="n">
        <v>1</v>
      </c>
      <c r="AE27" s="59" t="n">
        <f aca="false">AD27*8/$AA$22</f>
        <v>0.4</v>
      </c>
      <c r="AF27" s="30" t="n">
        <v>20.51</v>
      </c>
      <c r="AG27" s="30" t="n">
        <f aca="false">AE27*AF27</f>
        <v>8.204</v>
      </c>
    </row>
    <row r="28" customFormat="false" ht="15" hidden="false" customHeight="false" outlineLevel="0" collapsed="false">
      <c r="A28" s="1" t="s">
        <v>1334</v>
      </c>
      <c r="B28" s="59" t="n">
        <v>0.33</v>
      </c>
      <c r="C28" s="57" t="s">
        <v>202</v>
      </c>
      <c r="D28" s="1" t="n">
        <f aca="false">B28*$J$5</f>
        <v>0</v>
      </c>
      <c r="E28" s="30" t="n">
        <f aca="false">U62</f>
        <v>77.2277048</v>
      </c>
      <c r="F28" s="58" t="n">
        <f aca="false">D28*E28</f>
        <v>0</v>
      </c>
      <c r="AC28" s="57"/>
      <c r="AG28" s="55" t="n">
        <f aca="false">SUM(AG25:AG27)</f>
        <v>18.6572</v>
      </c>
    </row>
    <row r="29" customFormat="false" ht="15" hidden="false" customHeight="false" outlineLevel="0" collapsed="false">
      <c r="A29" s="1" t="s">
        <v>592</v>
      </c>
      <c r="B29" s="59" t="n">
        <v>0.22</v>
      </c>
      <c r="C29" s="57" t="s">
        <v>132</v>
      </c>
      <c r="D29" s="1" t="n">
        <f aca="false">B29*$J$5</f>
        <v>0</v>
      </c>
      <c r="E29" s="30" t="n">
        <f aca="false">U63</f>
        <v>445.669224</v>
      </c>
      <c r="F29" s="58" t="n">
        <f aca="false">D29*E29</f>
        <v>0</v>
      </c>
      <c r="Y29" s="56" t="s">
        <v>293</v>
      </c>
      <c r="AC29" s="57"/>
    </row>
    <row r="30" customFormat="false" ht="15" hidden="false" customHeight="false" outlineLevel="0" collapsed="false">
      <c r="A30" s="1" t="s">
        <v>594</v>
      </c>
      <c r="B30" s="59" t="n">
        <v>0.0144</v>
      </c>
      <c r="C30" s="57" t="s">
        <v>202</v>
      </c>
      <c r="D30" s="1" t="n">
        <f aca="false">B30*$J$5</f>
        <v>0</v>
      </c>
      <c r="E30" s="30" t="n">
        <f aca="false">U64</f>
        <v>445.669224</v>
      </c>
      <c r="F30" s="58" t="n">
        <f aca="false">D30*E30</f>
        <v>0</v>
      </c>
      <c r="Y30" s="1" t="s">
        <v>654</v>
      </c>
      <c r="AC30" s="57" t="s">
        <v>202</v>
      </c>
      <c r="AE30" s="59" t="n">
        <v>0.033</v>
      </c>
      <c r="AF30" s="30" t="n">
        <v>6.14</v>
      </c>
      <c r="AG30" s="30" t="n">
        <f aca="false">AE30*AF30</f>
        <v>0.20262</v>
      </c>
    </row>
    <row r="31" customFormat="false" ht="15" hidden="false" customHeight="false" outlineLevel="0" collapsed="false">
      <c r="A31" s="1" t="s">
        <v>596</v>
      </c>
      <c r="B31" s="59" t="n">
        <v>0.0766</v>
      </c>
      <c r="C31" s="57" t="s">
        <v>132</v>
      </c>
      <c r="D31" s="1" t="n">
        <f aca="false">B31*$J$5</f>
        <v>0</v>
      </c>
      <c r="E31" s="30" t="n">
        <f aca="false">U65</f>
        <v>118.0135648</v>
      </c>
      <c r="F31" s="58" t="n">
        <f aca="false">D31*E31</f>
        <v>0</v>
      </c>
      <c r="Y31" s="1" t="s">
        <v>954</v>
      </c>
      <c r="AC31" s="57" t="s">
        <v>202</v>
      </c>
      <c r="AE31" s="59" t="n">
        <v>0.15</v>
      </c>
      <c r="AF31" s="30" t="n">
        <v>62.8839032890438</v>
      </c>
      <c r="AG31" s="30" t="n">
        <f aca="false">AE31*AF31</f>
        <v>9.43258549335657</v>
      </c>
    </row>
    <row r="32" customFormat="false" ht="15" hidden="false" customHeight="false" outlineLevel="0" collapsed="false">
      <c r="A32" s="1" t="s">
        <v>598</v>
      </c>
      <c r="B32" s="59" t="n">
        <v>0.0008</v>
      </c>
      <c r="C32" s="57" t="s">
        <v>202</v>
      </c>
      <c r="D32" s="1" t="n">
        <f aca="false">B32*$J$5</f>
        <v>0</v>
      </c>
      <c r="E32" s="30" t="n">
        <f aca="false">U66</f>
        <v>358</v>
      </c>
      <c r="F32" s="58" t="n">
        <f aca="false">D32*E32</f>
        <v>0</v>
      </c>
      <c r="Y32" s="1" t="s">
        <v>955</v>
      </c>
      <c r="AC32" s="57" t="s">
        <v>148</v>
      </c>
      <c r="AE32" s="59" t="n">
        <v>1</v>
      </c>
      <c r="AF32" s="30" t="n">
        <v>45</v>
      </c>
      <c r="AG32" s="30" t="n">
        <f aca="false">AE32*AF32</f>
        <v>45</v>
      </c>
    </row>
    <row r="33" customFormat="false" ht="15" hidden="false" customHeight="false" outlineLevel="0" collapsed="false">
      <c r="A33" s="1" t="s">
        <v>600</v>
      </c>
      <c r="B33" s="59" t="n">
        <v>1</v>
      </c>
      <c r="C33" s="57" t="s">
        <v>132</v>
      </c>
      <c r="D33" s="1" t="n">
        <f aca="false">B33*$J$5</f>
        <v>0</v>
      </c>
      <c r="E33" s="30" t="n">
        <f aca="false">U67</f>
        <v>2.9418736</v>
      </c>
      <c r="F33" s="58" t="n">
        <f aca="false">D33*E33</f>
        <v>0</v>
      </c>
      <c r="AC33" s="57"/>
      <c r="AG33" s="55" t="n">
        <f aca="false">SUM(AG30:AG32)</f>
        <v>54.6352054933566</v>
      </c>
    </row>
    <row r="34" customFormat="false" ht="15" hidden="false" customHeight="false" outlineLevel="0" collapsed="false">
      <c r="A34" s="1" t="s">
        <v>602</v>
      </c>
      <c r="B34" s="59" t="n">
        <v>0.1607</v>
      </c>
      <c r="C34" s="57" t="s">
        <v>143</v>
      </c>
      <c r="D34" s="1" t="n">
        <f aca="false">B34*$J$5</f>
        <v>0</v>
      </c>
      <c r="E34" s="30" t="n">
        <f aca="false">U68</f>
        <v>19.2386832</v>
      </c>
      <c r="F34" s="58" t="n">
        <f aca="false">D34*E34</f>
        <v>0</v>
      </c>
      <c r="Y34" s="56" t="s">
        <v>317</v>
      </c>
      <c r="AC34" s="57"/>
      <c r="AD34" s="58"/>
    </row>
    <row r="35" customFormat="false" ht="15" hidden="false" customHeight="false" outlineLevel="0" collapsed="false">
      <c r="A35" s="1" t="s">
        <v>604</v>
      </c>
      <c r="B35" s="59" t="n">
        <v>0.1889</v>
      </c>
      <c r="C35" s="57" t="s">
        <v>143</v>
      </c>
      <c r="D35" s="1" t="n">
        <f aca="false">B35*$J$5</f>
        <v>0</v>
      </c>
      <c r="E35" s="30" t="n">
        <f aca="false">U69</f>
        <v>19.2386832</v>
      </c>
      <c r="F35" s="58" t="n">
        <f aca="false">D35*E35</f>
        <v>0</v>
      </c>
      <c r="Y35" s="1" t="s">
        <v>309</v>
      </c>
      <c r="AC35" s="57" t="s">
        <v>310</v>
      </c>
      <c r="AD35" s="58"/>
      <c r="AE35" s="59" t="n">
        <v>3</v>
      </c>
      <c r="AF35" s="30" t="n">
        <f aca="false">AG28</f>
        <v>18.6572</v>
      </c>
      <c r="AG35" s="30" t="n">
        <f aca="false">AE35%*AF35</f>
        <v>0.559716</v>
      </c>
    </row>
    <row r="36" customFormat="false" ht="15" hidden="false" customHeight="false" outlineLevel="0" collapsed="false">
      <c r="A36" s="1" t="s">
        <v>606</v>
      </c>
      <c r="B36" s="59" t="n">
        <v>0.0074</v>
      </c>
      <c r="C36" s="57" t="s">
        <v>143</v>
      </c>
      <c r="D36" s="1" t="n">
        <f aca="false">B36*$J$5</f>
        <v>0</v>
      </c>
      <c r="E36" s="30" t="n">
        <f aca="false">U70</f>
        <v>616.64</v>
      </c>
      <c r="F36" s="58" t="n">
        <f aca="false">D36*E36</f>
        <v>0</v>
      </c>
      <c r="X36" s="62"/>
      <c r="Y36" s="62"/>
      <c r="Z36" s="62"/>
      <c r="AA36" s="62"/>
      <c r="AB36" s="62"/>
      <c r="AC36" s="62"/>
      <c r="AD36" s="62"/>
      <c r="AE36" s="62"/>
      <c r="AF36" s="62"/>
      <c r="AG36" s="63" t="n">
        <f aca="false">SUM(AG35)</f>
        <v>0.559716</v>
      </c>
    </row>
    <row r="37" customFormat="false" ht="15" hidden="false" customHeight="false" outlineLevel="0" collapsed="false">
      <c r="A37" s="1" t="s">
        <v>1339</v>
      </c>
      <c r="B37" s="1" t="n">
        <v>0.025</v>
      </c>
      <c r="C37" s="57" t="s">
        <v>143</v>
      </c>
      <c r="D37" s="1" t="n">
        <f aca="false">B37*$J$5</f>
        <v>0</v>
      </c>
      <c r="E37" s="30" t="n">
        <f aca="false">U71</f>
        <v>51.058432</v>
      </c>
      <c r="F37" s="58" t="n">
        <f aca="false">D37*E37</f>
        <v>0</v>
      </c>
    </row>
    <row r="38" customFormat="false" ht="15" hidden="false" customHeight="false" outlineLevel="0" collapsed="false">
      <c r="A38" s="170" t="s">
        <v>1341</v>
      </c>
      <c r="C38" s="1" t="s">
        <v>132</v>
      </c>
      <c r="D38" s="1" t="n">
        <f aca="false">J6</f>
        <v>0</v>
      </c>
      <c r="E38" s="30" t="n">
        <f aca="false">V236</f>
        <v>169.49</v>
      </c>
      <c r="G38" s="14" t="n">
        <f aca="false">D38*E38</f>
        <v>0</v>
      </c>
      <c r="X38" s="14" t="s">
        <v>1327</v>
      </c>
      <c r="Y38" s="14"/>
      <c r="Z38" s="14" t="s">
        <v>827</v>
      </c>
      <c r="AB38" s="14"/>
      <c r="AC38" s="14"/>
      <c r="AD38" s="14"/>
      <c r="AE38" s="14"/>
      <c r="AF38" s="14"/>
    </row>
    <row r="39" customFormat="false" ht="15" hidden="false" customHeight="false" outlineLevel="0" collapsed="false">
      <c r="X39" s="14" t="s">
        <v>277</v>
      </c>
      <c r="Y39" s="14" t="s">
        <v>278</v>
      </c>
      <c r="Z39" s="38" t="s">
        <v>279</v>
      </c>
      <c r="AA39" s="54" t="n">
        <v>20</v>
      </c>
      <c r="AB39" s="38" t="s">
        <v>280</v>
      </c>
      <c r="AC39" s="54" t="n">
        <f aca="false">AA39</f>
        <v>20</v>
      </c>
      <c r="AD39" s="14" t="s">
        <v>281</v>
      </c>
      <c r="AF39" s="38" t="s">
        <v>132</v>
      </c>
      <c r="AG39" s="55" t="n">
        <f aca="false">AG45+AG50+AG53</f>
        <v>118.747741493357</v>
      </c>
    </row>
    <row r="40" customFormat="false" ht="15" hidden="false" customHeight="false" outlineLevel="0" collapsed="false">
      <c r="A40" s="170" t="s">
        <v>79</v>
      </c>
      <c r="C40" s="1" t="s">
        <v>564</v>
      </c>
      <c r="D40" s="1" t="n">
        <f aca="false">J7</f>
        <v>0</v>
      </c>
      <c r="E40" s="30" t="n">
        <f aca="false">V243</f>
        <v>2147.20033126552</v>
      </c>
      <c r="G40" s="55" t="n">
        <f aca="false">D40*E40</f>
        <v>0</v>
      </c>
      <c r="X40" s="14" t="s">
        <v>282</v>
      </c>
      <c r="Y40" s="14" t="s">
        <v>283</v>
      </c>
      <c r="AC40" s="38" t="s">
        <v>121</v>
      </c>
      <c r="AD40" s="38" t="s">
        <v>284</v>
      </c>
      <c r="AE40" s="38" t="s">
        <v>285</v>
      </c>
      <c r="AF40" s="38" t="s">
        <v>286</v>
      </c>
      <c r="AG40" s="38" t="s">
        <v>287</v>
      </c>
    </row>
    <row r="41" customFormat="false" ht="15" hidden="false" customHeight="false" outlineLevel="0" collapsed="false">
      <c r="Y41" s="56" t="s">
        <v>288</v>
      </c>
    </row>
    <row r="42" customFormat="false" ht="15" hidden="false" customHeight="false" outlineLevel="0" collapsed="false">
      <c r="A42" s="170" t="s">
        <v>80</v>
      </c>
      <c r="C42" s="1" t="s">
        <v>132</v>
      </c>
      <c r="E42" s="30" t="n">
        <f aca="false">V289</f>
        <v>136.58560240992</v>
      </c>
      <c r="F42" s="58"/>
      <c r="G42" s="55" t="n">
        <f aca="false">SUM(F45:F53)</f>
        <v>13658.560240992</v>
      </c>
      <c r="Y42" s="1" t="s">
        <v>649</v>
      </c>
      <c r="AC42" s="57" t="s">
        <v>290</v>
      </c>
      <c r="AD42" s="58" t="n">
        <v>0.1</v>
      </c>
      <c r="AE42" s="59" t="n">
        <f aca="false">AD42*8/$AA$39</f>
        <v>0.04</v>
      </c>
      <c r="AF42" s="30" t="n">
        <v>34.73</v>
      </c>
      <c r="AG42" s="30" t="n">
        <f aca="false">AE42*AF42</f>
        <v>1.3892</v>
      </c>
    </row>
    <row r="43" customFormat="false" ht="15" hidden="false" customHeight="false" outlineLevel="0" collapsed="false">
      <c r="A43" s="114"/>
      <c r="B43" s="115"/>
      <c r="C43" s="57"/>
      <c r="E43" s="30"/>
      <c r="F43" s="58"/>
      <c r="Y43" s="1" t="s">
        <v>675</v>
      </c>
      <c r="AC43" s="57" t="s">
        <v>290</v>
      </c>
      <c r="AD43" s="58" t="n">
        <v>1</v>
      </c>
      <c r="AE43" s="59" t="n">
        <f aca="false">AD43*8/$AA$39</f>
        <v>0.4</v>
      </c>
      <c r="AF43" s="30" t="n">
        <v>22.66</v>
      </c>
      <c r="AG43" s="30" t="n">
        <f aca="false">AE43*AF43</f>
        <v>9.064</v>
      </c>
    </row>
    <row r="44" customFormat="false" ht="15" hidden="false" customHeight="false" outlineLevel="0" collapsed="false">
      <c r="A44" s="114"/>
      <c r="B44" s="115"/>
      <c r="C44" s="57"/>
      <c r="E44" s="30"/>
      <c r="F44" s="58"/>
      <c r="Y44" s="1" t="s">
        <v>292</v>
      </c>
      <c r="AC44" s="57" t="s">
        <v>290</v>
      </c>
      <c r="AD44" s="58" t="n">
        <v>1</v>
      </c>
      <c r="AE44" s="59" t="n">
        <f aca="false">AD44*8/$AA$39</f>
        <v>0.4</v>
      </c>
      <c r="AF44" s="30" t="n">
        <v>20.51</v>
      </c>
      <c r="AG44" s="30" t="n">
        <f aca="false">AE44*AF44</f>
        <v>8.204</v>
      </c>
    </row>
    <row r="45" customFormat="false" ht="15" hidden="false" customHeight="false" outlineLevel="0" collapsed="false">
      <c r="A45" s="114" t="s">
        <v>1332</v>
      </c>
      <c r="B45" s="115" t="n">
        <v>1</v>
      </c>
      <c r="C45" s="57" t="s">
        <v>132</v>
      </c>
      <c r="D45" s="1" t="n">
        <f aca="false">B45*$J$8</f>
        <v>100</v>
      </c>
      <c r="E45" s="30" t="n">
        <f aca="false">U280</f>
        <v>7.930344</v>
      </c>
      <c r="F45" s="58" t="n">
        <f aca="false">D45*E45</f>
        <v>793.0344</v>
      </c>
      <c r="H45" s="115"/>
      <c r="I45" s="30"/>
      <c r="AC45" s="57"/>
      <c r="AG45" s="55" t="n">
        <f aca="false">SUM(AG42:AG44)</f>
        <v>18.6572</v>
      </c>
    </row>
    <row r="46" customFormat="false" ht="15" hidden="false" customHeight="false" outlineLevel="0" collapsed="false">
      <c r="A46" s="116" t="s">
        <v>1334</v>
      </c>
      <c r="B46" s="117" t="n">
        <v>0.33</v>
      </c>
      <c r="C46" s="57" t="s">
        <v>132</v>
      </c>
      <c r="D46" s="1" t="n">
        <f aca="false">B46*$J$8</f>
        <v>33</v>
      </c>
      <c r="E46" s="30" t="n">
        <f aca="false">U281</f>
        <v>77.2277048</v>
      </c>
      <c r="F46" s="58" t="n">
        <f aca="false">D46*E46</f>
        <v>2548.5142584</v>
      </c>
      <c r="H46" s="117"/>
      <c r="I46" s="30"/>
      <c r="Y46" s="56" t="s">
        <v>293</v>
      </c>
      <c r="AC46" s="57"/>
    </row>
    <row r="47" customFormat="false" ht="15" hidden="false" customHeight="false" outlineLevel="0" collapsed="false">
      <c r="A47" s="118" t="s">
        <v>619</v>
      </c>
      <c r="B47" s="82" t="n">
        <v>0.12</v>
      </c>
      <c r="C47" s="57" t="s">
        <v>132</v>
      </c>
      <c r="D47" s="1" t="n">
        <f aca="false">B47*$J$8</f>
        <v>12</v>
      </c>
      <c r="E47" s="30" t="n">
        <f aca="false">U282</f>
        <v>447.9006688</v>
      </c>
      <c r="F47" s="58" t="n">
        <f aca="false">D47*E47</f>
        <v>5374.8080256</v>
      </c>
      <c r="H47" s="82"/>
      <c r="I47" s="30"/>
      <c r="Y47" s="1" t="s">
        <v>654</v>
      </c>
      <c r="AC47" s="57" t="s">
        <v>202</v>
      </c>
      <c r="AE47" s="59" t="n">
        <v>0.016</v>
      </c>
      <c r="AF47" s="30" t="n">
        <v>6.14</v>
      </c>
      <c r="AG47" s="30" t="n">
        <f aca="false">AE47*AF47</f>
        <v>0.09824</v>
      </c>
    </row>
    <row r="48" customFormat="false" ht="15" hidden="false" customHeight="false" outlineLevel="0" collapsed="false">
      <c r="A48" s="118" t="s">
        <v>621</v>
      </c>
      <c r="B48" s="82" t="n">
        <v>0.014</v>
      </c>
      <c r="C48" s="57" t="s">
        <v>202</v>
      </c>
      <c r="D48" s="1" t="n">
        <f aca="false">B48*$J$8</f>
        <v>1.4</v>
      </c>
      <c r="E48" s="30" t="n">
        <f aca="false">U283</f>
        <v>447.9006688</v>
      </c>
      <c r="F48" s="58" t="n">
        <f aca="false">D48*E48</f>
        <v>627.06093632</v>
      </c>
      <c r="H48" s="82"/>
      <c r="I48" s="30"/>
      <c r="Y48" s="1" t="s">
        <v>954</v>
      </c>
      <c r="AC48" s="57" t="s">
        <v>202</v>
      </c>
      <c r="AE48" s="59" t="n">
        <v>0.15</v>
      </c>
      <c r="AF48" s="30" t="n">
        <v>62.8839032890438</v>
      </c>
      <c r="AG48" s="30" t="n">
        <f aca="false">AE48*AF48</f>
        <v>9.43258549335657</v>
      </c>
    </row>
    <row r="49" customFormat="false" ht="15" hidden="false" customHeight="false" outlineLevel="0" collapsed="false">
      <c r="A49" s="118" t="s">
        <v>596</v>
      </c>
      <c r="B49" s="82" t="n">
        <v>0.2</v>
      </c>
      <c r="C49" s="57" t="s">
        <v>132</v>
      </c>
      <c r="D49" s="1" t="n">
        <f aca="false">B49*$J$8</f>
        <v>20</v>
      </c>
      <c r="E49" s="30" t="n">
        <f aca="false">U284</f>
        <v>118.0135648</v>
      </c>
      <c r="F49" s="58" t="n">
        <f aca="false">D49*E49</f>
        <v>2360.271296</v>
      </c>
      <c r="H49" s="82"/>
      <c r="I49" s="30"/>
      <c r="Y49" s="1" t="s">
        <v>956</v>
      </c>
      <c r="AC49" s="57" t="s">
        <v>148</v>
      </c>
      <c r="AE49" s="59" t="n">
        <v>1</v>
      </c>
      <c r="AF49" s="30" t="n">
        <v>90</v>
      </c>
      <c r="AG49" s="30" t="n">
        <f aca="false">AE49*AF49</f>
        <v>90</v>
      </c>
    </row>
    <row r="50" customFormat="false" ht="15" hidden="false" customHeight="false" outlineLevel="0" collapsed="false">
      <c r="A50" s="118" t="s">
        <v>600</v>
      </c>
      <c r="B50" s="82" t="n">
        <v>1</v>
      </c>
      <c r="C50" s="57" t="s">
        <v>132</v>
      </c>
      <c r="D50" s="1" t="n">
        <f aca="false">B50*$J$8</f>
        <v>100</v>
      </c>
      <c r="E50" s="30" t="n">
        <f aca="false">U285</f>
        <v>2.9418736</v>
      </c>
      <c r="F50" s="58" t="n">
        <f aca="false">D50*E50</f>
        <v>294.18736</v>
      </c>
      <c r="H50" s="82"/>
      <c r="I50" s="30"/>
      <c r="AC50" s="57"/>
      <c r="AG50" s="55" t="n">
        <f aca="false">SUM(AG47:AG49)</f>
        <v>99.5308254933566</v>
      </c>
    </row>
    <row r="51" customFormat="false" ht="15" hidden="false" customHeight="false" outlineLevel="0" collapsed="false">
      <c r="A51" s="118" t="s">
        <v>837</v>
      </c>
      <c r="B51" s="82" t="n">
        <v>1</v>
      </c>
      <c r="C51" s="57" t="s">
        <v>132</v>
      </c>
      <c r="D51" s="1" t="n">
        <f aca="false">B51*$J$8</f>
        <v>100</v>
      </c>
      <c r="E51" s="30" t="n">
        <f aca="false">U286</f>
        <v>9.880996</v>
      </c>
      <c r="F51" s="58" t="n">
        <f aca="false">D51*E51</f>
        <v>988.0996</v>
      </c>
      <c r="H51" s="82"/>
      <c r="I51" s="30"/>
      <c r="Y51" s="56" t="s">
        <v>317</v>
      </c>
      <c r="AC51" s="57"/>
      <c r="AD51" s="58"/>
    </row>
    <row r="52" customFormat="false" ht="15" hidden="false" customHeight="false" outlineLevel="0" collapsed="false">
      <c r="A52" s="118" t="s">
        <v>602</v>
      </c>
      <c r="B52" s="82" t="n">
        <v>0.1607</v>
      </c>
      <c r="C52" s="57" t="s">
        <v>143</v>
      </c>
      <c r="D52" s="1" t="n">
        <f aca="false">B52*$J$8</f>
        <v>16.07</v>
      </c>
      <c r="E52" s="30" t="n">
        <f aca="false">U287</f>
        <v>19.2386832</v>
      </c>
      <c r="F52" s="58" t="n">
        <f aca="false">D52*E52</f>
        <v>309.165639024</v>
      </c>
      <c r="H52" s="82"/>
      <c r="I52" s="30"/>
      <c r="Y52" s="1" t="s">
        <v>309</v>
      </c>
      <c r="AC52" s="57" t="s">
        <v>310</v>
      </c>
      <c r="AD52" s="58"/>
      <c r="AE52" s="59" t="n">
        <v>3</v>
      </c>
      <c r="AF52" s="30" t="n">
        <f aca="false">AG45</f>
        <v>18.6572</v>
      </c>
      <c r="AG52" s="30" t="n">
        <f aca="false">AE52%*AF52</f>
        <v>0.559716</v>
      </c>
    </row>
    <row r="53" customFormat="false" ht="15" hidden="false" customHeight="false" outlineLevel="0" collapsed="false">
      <c r="A53" s="118" t="s">
        <v>604</v>
      </c>
      <c r="B53" s="82" t="n">
        <v>0.1889</v>
      </c>
      <c r="C53" s="57" t="s">
        <v>143</v>
      </c>
      <c r="D53" s="1" t="n">
        <f aca="false">B53*$J$8</f>
        <v>18.89</v>
      </c>
      <c r="E53" s="30" t="n">
        <f aca="false">U288</f>
        <v>19.2386832</v>
      </c>
      <c r="F53" s="58" t="n">
        <f aca="false">D53*E53</f>
        <v>363.418725648</v>
      </c>
      <c r="H53" s="82"/>
      <c r="I53" s="30"/>
      <c r="X53" s="62"/>
      <c r="Y53" s="62"/>
      <c r="Z53" s="62"/>
      <c r="AA53" s="62"/>
      <c r="AB53" s="62"/>
      <c r="AC53" s="62"/>
      <c r="AD53" s="62"/>
      <c r="AE53" s="62"/>
      <c r="AF53" s="62"/>
      <c r="AG53" s="63" t="n">
        <f aca="false">SUM(AG52)</f>
        <v>0.559716</v>
      </c>
    </row>
    <row r="55" customFormat="false" ht="15" hidden="false" customHeight="false" outlineLevel="0" collapsed="false">
      <c r="A55" s="170" t="s">
        <v>81</v>
      </c>
      <c r="C55" s="1" t="s">
        <v>132</v>
      </c>
      <c r="E55" s="30" t="n">
        <f aca="false">V325</f>
        <v>171.725839133337</v>
      </c>
      <c r="G55" s="55" t="n">
        <f aca="false">SUM(F58:F65)</f>
        <v>0</v>
      </c>
      <c r="M55" s="14" t="s">
        <v>276</v>
      </c>
      <c r="N55" s="14"/>
      <c r="O55" s="14" t="s">
        <v>1342</v>
      </c>
      <c r="P55" s="14"/>
      <c r="Q55" s="14"/>
      <c r="R55" s="14"/>
      <c r="S55" s="14"/>
      <c r="T55" s="14"/>
      <c r="U55" s="14"/>
      <c r="X55" s="14" t="s">
        <v>276</v>
      </c>
      <c r="Y55" s="14"/>
      <c r="Z55" s="14" t="s">
        <v>334</v>
      </c>
      <c r="AA55" s="14"/>
    </row>
    <row r="56" customFormat="false" ht="15" hidden="false" customHeight="false" outlineLevel="0" collapsed="false">
      <c r="A56" s="119"/>
      <c r="C56" s="57"/>
      <c r="E56" s="30"/>
      <c r="F56" s="58"/>
      <c r="M56" s="14" t="s">
        <v>277</v>
      </c>
      <c r="N56" s="14" t="s">
        <v>325</v>
      </c>
      <c r="O56" s="38" t="s">
        <v>279</v>
      </c>
      <c r="P56" s="54" t="n">
        <v>1</v>
      </c>
      <c r="Q56" s="38" t="s">
        <v>280</v>
      </c>
      <c r="R56" s="54" t="n">
        <f aca="false">P56</f>
        <v>1</v>
      </c>
      <c r="S56" s="14" t="s">
        <v>281</v>
      </c>
      <c r="U56" s="38" t="s">
        <v>148</v>
      </c>
      <c r="V56" s="55" t="n">
        <f aca="false">V72</f>
        <v>162.7139058</v>
      </c>
      <c r="X56" s="14" t="s">
        <v>277</v>
      </c>
      <c r="Y56" s="14" t="s">
        <v>278</v>
      </c>
      <c r="Z56" s="38" t="s">
        <v>279</v>
      </c>
      <c r="AA56" s="54" t="n">
        <v>90</v>
      </c>
      <c r="AB56" s="38" t="s">
        <v>280</v>
      </c>
      <c r="AC56" s="54" t="n">
        <f aca="false">AA56</f>
        <v>90</v>
      </c>
      <c r="AD56" s="14" t="s">
        <v>281</v>
      </c>
      <c r="AF56" s="38" t="s">
        <v>132</v>
      </c>
      <c r="AG56" s="55" t="n">
        <f aca="false">AG61+AG64</f>
        <v>2.19577688888889</v>
      </c>
    </row>
    <row r="57" customFormat="false" ht="15" hidden="false" customHeight="false" outlineLevel="0" collapsed="false">
      <c r="A57" s="119"/>
      <c r="C57" s="57"/>
      <c r="E57" s="30"/>
      <c r="F57" s="58"/>
      <c r="M57" s="14" t="s">
        <v>282</v>
      </c>
      <c r="N57" s="14" t="s">
        <v>283</v>
      </c>
      <c r="R57" s="38" t="s">
        <v>121</v>
      </c>
      <c r="S57" s="38" t="s">
        <v>284</v>
      </c>
      <c r="T57" s="38" t="s">
        <v>285</v>
      </c>
      <c r="U57" s="38" t="s">
        <v>286</v>
      </c>
      <c r="V57" s="38" t="s">
        <v>287</v>
      </c>
      <c r="X57" s="14" t="s">
        <v>282</v>
      </c>
      <c r="Y57" s="14" t="s">
        <v>283</v>
      </c>
      <c r="AC57" s="38" t="s">
        <v>121</v>
      </c>
      <c r="AD57" s="38" t="s">
        <v>284</v>
      </c>
      <c r="AE57" s="38" t="s">
        <v>285</v>
      </c>
      <c r="AF57" s="38" t="s">
        <v>286</v>
      </c>
      <c r="AG57" s="38" t="s">
        <v>287</v>
      </c>
    </row>
    <row r="58" customFormat="false" ht="15" hidden="false" customHeight="false" outlineLevel="0" collapsed="false">
      <c r="A58" s="119" t="s">
        <v>1332</v>
      </c>
      <c r="B58" s="186" t="n">
        <v>1</v>
      </c>
      <c r="C58" s="57" t="s">
        <v>202</v>
      </c>
      <c r="D58" s="1" t="n">
        <f aca="false">B58*$J$9</f>
        <v>0</v>
      </c>
      <c r="E58" s="30" t="n">
        <f aca="false">U330</f>
        <v>7.930344</v>
      </c>
      <c r="F58" s="58" t="n">
        <f aca="false">D58*E58</f>
        <v>0</v>
      </c>
      <c r="N58" s="56" t="s">
        <v>733</v>
      </c>
      <c r="Y58" s="56" t="s">
        <v>288</v>
      </c>
    </row>
    <row r="59" customFormat="false" ht="15" hidden="false" customHeight="false" outlineLevel="0" collapsed="false">
      <c r="A59" s="120" t="s">
        <v>1334</v>
      </c>
      <c r="B59" s="187" t="n">
        <v>0.33</v>
      </c>
      <c r="C59" s="57" t="s">
        <v>132</v>
      </c>
      <c r="D59" s="1" t="n">
        <f aca="false">B59*$J$9</f>
        <v>0</v>
      </c>
      <c r="E59" s="30" t="n">
        <f aca="false">U331</f>
        <v>77.2277048</v>
      </c>
      <c r="F59" s="58" t="n">
        <f aca="false">D59*E59</f>
        <v>0</v>
      </c>
      <c r="R59" s="57"/>
      <c r="S59" s="58"/>
      <c r="T59" s="59"/>
      <c r="U59" s="30"/>
      <c r="V59" s="30"/>
      <c r="Y59" s="1" t="s">
        <v>649</v>
      </c>
      <c r="AC59" s="57" t="s">
        <v>290</v>
      </c>
      <c r="AD59" s="58" t="n">
        <v>0.1</v>
      </c>
      <c r="AE59" s="59" t="n">
        <f aca="false">AD59*8/$AA$56</f>
        <v>0.00888888888888889</v>
      </c>
      <c r="AF59" s="1" t="n">
        <v>34.73</v>
      </c>
      <c r="AG59" s="30" t="n">
        <f aca="false">AE59*AF59</f>
        <v>0.308711111111111</v>
      </c>
    </row>
    <row r="60" customFormat="false" ht="15" hidden="false" customHeight="false" outlineLevel="0" collapsed="false">
      <c r="A60" s="121" t="s">
        <v>840</v>
      </c>
      <c r="B60" s="188" t="n">
        <v>1</v>
      </c>
      <c r="C60" s="57" t="s">
        <v>153</v>
      </c>
      <c r="D60" s="1" t="n">
        <f aca="false">B60*$J$9</f>
        <v>0</v>
      </c>
      <c r="E60" s="30" t="n">
        <f aca="false">U332</f>
        <v>22</v>
      </c>
      <c r="F60" s="58" t="n">
        <f aca="false">D60*E60</f>
        <v>0</v>
      </c>
      <c r="R60" s="57"/>
      <c r="S60" s="58"/>
      <c r="T60" s="59"/>
      <c r="U60" s="30"/>
      <c r="V60" s="30"/>
      <c r="Y60" s="1" t="s">
        <v>292</v>
      </c>
      <c r="AC60" s="57" t="s">
        <v>290</v>
      </c>
      <c r="AD60" s="58" t="n">
        <v>1</v>
      </c>
      <c r="AE60" s="59" t="n">
        <f aca="false">AD60*8/$AA$56</f>
        <v>0.0888888888888889</v>
      </c>
      <c r="AF60" s="1" t="n">
        <v>20.51</v>
      </c>
      <c r="AG60" s="30" t="n">
        <f aca="false">AE60*AF60</f>
        <v>1.82311111111111</v>
      </c>
    </row>
    <row r="61" customFormat="false" ht="15" hidden="false" customHeight="false" outlineLevel="0" collapsed="false">
      <c r="A61" s="121" t="s">
        <v>628</v>
      </c>
      <c r="B61" s="188" t="n">
        <v>0.225</v>
      </c>
      <c r="C61" s="57" t="s">
        <v>132</v>
      </c>
      <c r="D61" s="1" t="n">
        <f aca="false">B61*$J$9</f>
        <v>0</v>
      </c>
      <c r="E61" s="30" t="n">
        <f aca="false">U333</f>
        <v>84.6740433333333</v>
      </c>
      <c r="F61" s="58" t="n">
        <f aca="false">D61*E61</f>
        <v>0</v>
      </c>
      <c r="N61" s="1" t="s">
        <v>1343</v>
      </c>
      <c r="R61" s="57" t="s">
        <v>202</v>
      </c>
      <c r="T61" s="59" t="n">
        <v>1</v>
      </c>
      <c r="U61" s="30" t="n">
        <f aca="false">AG74</f>
        <v>7.930344</v>
      </c>
      <c r="V61" s="30" t="n">
        <f aca="false">T61*U61</f>
        <v>7.930344</v>
      </c>
      <c r="AC61" s="57"/>
      <c r="AD61" s="58"/>
      <c r="AE61" s="59"/>
      <c r="AG61" s="55" t="n">
        <f aca="false">SUM(AG59:AG60)</f>
        <v>2.13182222222222</v>
      </c>
    </row>
    <row r="62" customFormat="false" ht="15" hidden="false" customHeight="false" outlineLevel="0" collapsed="false">
      <c r="A62" s="121" t="s">
        <v>630</v>
      </c>
      <c r="B62" s="188" t="n">
        <v>0.2</v>
      </c>
      <c r="C62" s="57" t="s">
        <v>295</v>
      </c>
      <c r="D62" s="1" t="n">
        <f aca="false">B62*$J$9</f>
        <v>0</v>
      </c>
      <c r="E62" s="30" t="n">
        <f aca="false">U334</f>
        <v>7.50579971428572</v>
      </c>
      <c r="F62" s="58" t="n">
        <f aca="false">D62*E62</f>
        <v>0</v>
      </c>
      <c r="N62" s="1" t="s">
        <v>1334</v>
      </c>
      <c r="R62" s="57" t="s">
        <v>202</v>
      </c>
      <c r="T62" s="59" t="n">
        <v>0.33</v>
      </c>
      <c r="U62" s="30" t="n">
        <f aca="false">AG89</f>
        <v>77.2277048</v>
      </c>
      <c r="V62" s="30" t="n">
        <f aca="false">T62*U62</f>
        <v>25.485142584</v>
      </c>
      <c r="Y62" s="56" t="s">
        <v>308</v>
      </c>
    </row>
    <row r="63" customFormat="false" ht="15" hidden="false" customHeight="false" outlineLevel="0" collapsed="false">
      <c r="A63" s="121" t="s">
        <v>1344</v>
      </c>
      <c r="B63" s="188" t="n">
        <v>1</v>
      </c>
      <c r="C63" s="57" t="s">
        <v>132</v>
      </c>
      <c r="D63" s="1" t="n">
        <f aca="false">B63*$J$9</f>
        <v>0</v>
      </c>
      <c r="E63" s="30" t="n">
        <f aca="false">U335</f>
        <v>2.9418736</v>
      </c>
      <c r="F63" s="58" t="n">
        <f aca="false">D63*E63</f>
        <v>0</v>
      </c>
      <c r="N63" s="1" t="s">
        <v>592</v>
      </c>
      <c r="R63" s="57" t="s">
        <v>132</v>
      </c>
      <c r="T63" s="59" t="n">
        <v>0.22</v>
      </c>
      <c r="U63" s="30" t="n">
        <f aca="false">AG106</f>
        <v>445.669224</v>
      </c>
      <c r="V63" s="30" t="n">
        <f aca="false">T63*U63</f>
        <v>98.04722928</v>
      </c>
      <c r="Y63" s="1" t="s">
        <v>309</v>
      </c>
      <c r="AC63" s="57" t="s">
        <v>310</v>
      </c>
      <c r="AE63" s="59" t="n">
        <v>3</v>
      </c>
      <c r="AF63" s="30" t="n">
        <f aca="false">AG61</f>
        <v>2.13182222222222</v>
      </c>
      <c r="AG63" s="30" t="n">
        <f aca="false">AE63%*AF63</f>
        <v>0.0639546666666667</v>
      </c>
    </row>
    <row r="64" customFormat="false" ht="15" hidden="false" customHeight="false" outlineLevel="0" collapsed="false">
      <c r="A64" s="121" t="s">
        <v>633</v>
      </c>
      <c r="B64" s="188" t="n">
        <v>0.2</v>
      </c>
      <c r="C64" s="57" t="s">
        <v>202</v>
      </c>
      <c r="D64" s="1" t="n">
        <f aca="false">B64*$J$9</f>
        <v>0</v>
      </c>
      <c r="E64" s="30" t="n">
        <f aca="false">U336</f>
        <v>445.90736</v>
      </c>
      <c r="F64" s="58" t="n">
        <f aca="false">D64*E64</f>
        <v>0</v>
      </c>
      <c r="N64" s="1" t="s">
        <v>594</v>
      </c>
      <c r="R64" s="57" t="s">
        <v>202</v>
      </c>
      <c r="T64" s="59" t="n">
        <v>0.0144</v>
      </c>
      <c r="U64" s="30" t="n">
        <f aca="false">AG125</f>
        <v>445.669224</v>
      </c>
      <c r="V64" s="30" t="n">
        <f aca="false">T64*U64</f>
        <v>6.4176368256</v>
      </c>
      <c r="X64" s="62"/>
      <c r="Y64" s="62"/>
      <c r="Z64" s="62"/>
      <c r="AA64" s="62"/>
      <c r="AB64" s="62"/>
      <c r="AC64" s="66"/>
      <c r="AD64" s="62"/>
      <c r="AE64" s="68"/>
      <c r="AF64" s="69"/>
      <c r="AG64" s="63" t="n">
        <f aca="false">SUM(AG63)</f>
        <v>0.0639546666666667</v>
      </c>
    </row>
    <row r="65" customFormat="false" ht="15" hidden="false" customHeight="false" outlineLevel="0" collapsed="false">
      <c r="A65" s="121" t="s">
        <v>604</v>
      </c>
      <c r="B65" s="188" t="n">
        <v>0.1889</v>
      </c>
      <c r="C65" s="57" t="s">
        <v>143</v>
      </c>
      <c r="D65" s="1" t="n">
        <f aca="false">B65*$J$9</f>
        <v>0</v>
      </c>
      <c r="E65" s="30" t="n">
        <f aca="false">U337</f>
        <v>19.2386832</v>
      </c>
      <c r="F65" s="58" t="n">
        <f aca="false">D65*E65</f>
        <v>0</v>
      </c>
      <c r="N65" s="1" t="s">
        <v>596</v>
      </c>
      <c r="R65" s="57" t="s">
        <v>132</v>
      </c>
      <c r="T65" s="59" t="n">
        <v>0.0766</v>
      </c>
      <c r="U65" s="30" t="n">
        <f aca="false">AG144</f>
        <v>118.0135648</v>
      </c>
      <c r="V65" s="30" t="n">
        <f aca="false">T65*U65</f>
        <v>9.03983906368</v>
      </c>
    </row>
    <row r="66" customFormat="false" ht="15" hidden="false" customHeight="false" outlineLevel="0" collapsed="false">
      <c r="A66" s="170" t="s">
        <v>82</v>
      </c>
      <c r="C66" s="1" t="s">
        <v>132</v>
      </c>
      <c r="D66" s="1" t="n">
        <f aca="false">J10</f>
        <v>0</v>
      </c>
      <c r="E66" s="30" t="n">
        <f aca="false">V390</f>
        <v>75.46</v>
      </c>
      <c r="F66" s="58" t="n">
        <f aca="false">D66*E66</f>
        <v>0</v>
      </c>
      <c r="N66" s="1" t="s">
        <v>598</v>
      </c>
      <c r="R66" s="57" t="s">
        <v>202</v>
      </c>
      <c r="T66" s="59" t="n">
        <v>0.0008</v>
      </c>
      <c r="U66" s="30" t="n">
        <f aca="false">AG163</f>
        <v>358</v>
      </c>
      <c r="V66" s="30" t="n">
        <f aca="false">T66*U66</f>
        <v>0.2864</v>
      </c>
      <c r="X66" s="14" t="s">
        <v>276</v>
      </c>
      <c r="Y66" s="14"/>
      <c r="Z66" s="14" t="s">
        <v>1345</v>
      </c>
      <c r="AA66" s="14"/>
    </row>
    <row r="67" customFormat="false" ht="15" hidden="false" customHeight="false" outlineLevel="0" collapsed="false">
      <c r="F67" s="58"/>
      <c r="N67" s="1" t="s">
        <v>600</v>
      </c>
      <c r="R67" s="57" t="s">
        <v>132</v>
      </c>
      <c r="T67" s="59" t="n">
        <v>1</v>
      </c>
      <c r="U67" s="30" t="n">
        <f aca="false">AG170</f>
        <v>2.9418736</v>
      </c>
      <c r="V67" s="30" t="n">
        <f aca="false">T67*U67</f>
        <v>2.9418736</v>
      </c>
      <c r="X67" s="14" t="s">
        <v>277</v>
      </c>
      <c r="Y67" s="14" t="s">
        <v>278</v>
      </c>
      <c r="Z67" s="38" t="s">
        <v>279</v>
      </c>
      <c r="AA67" s="54" t="n">
        <v>1</v>
      </c>
      <c r="AB67" s="38" t="s">
        <v>280</v>
      </c>
      <c r="AC67" s="54" t="n">
        <f aca="false">AA67</f>
        <v>1</v>
      </c>
      <c r="AD67" s="14" t="s">
        <v>281</v>
      </c>
      <c r="AF67" s="38" t="s">
        <v>132</v>
      </c>
      <c r="AG67" s="55" t="n">
        <f aca="false">AG71</f>
        <v>10.5</v>
      </c>
    </row>
    <row r="68" customFormat="false" ht="15" hidden="false" customHeight="false" outlineLevel="0" collapsed="false">
      <c r="A68" s="170" t="s">
        <v>83</v>
      </c>
      <c r="C68" s="1" t="s">
        <v>564</v>
      </c>
      <c r="D68" s="1" t="n">
        <f aca="false">J11</f>
        <v>0</v>
      </c>
      <c r="E68" s="30" t="n">
        <f aca="false">V397</f>
        <v>69.41</v>
      </c>
      <c r="G68" s="55" t="n">
        <f aca="false">D68*E68</f>
        <v>0</v>
      </c>
      <c r="N68" s="1" t="s">
        <v>602</v>
      </c>
      <c r="R68" s="57" t="s">
        <v>143</v>
      </c>
      <c r="T68" s="59" t="n">
        <v>0.1607</v>
      </c>
      <c r="U68" s="30" t="n">
        <f aca="false">AG183</f>
        <v>19.2386832</v>
      </c>
      <c r="V68" s="30" t="n">
        <f aca="false">T68*U68</f>
        <v>3.09165639024</v>
      </c>
      <c r="X68" s="14" t="s">
        <v>282</v>
      </c>
      <c r="Y68" s="14" t="s">
        <v>283</v>
      </c>
      <c r="AC68" s="38" t="s">
        <v>121</v>
      </c>
      <c r="AD68" s="38" t="s">
        <v>284</v>
      </c>
      <c r="AE68" s="38" t="s">
        <v>285</v>
      </c>
      <c r="AF68" s="38" t="s">
        <v>286</v>
      </c>
      <c r="AG68" s="38" t="s">
        <v>287</v>
      </c>
    </row>
    <row r="69" customFormat="false" ht="15" hidden="false" customHeight="false" outlineLevel="0" collapsed="false">
      <c r="F69" s="58"/>
      <c r="N69" s="1" t="s">
        <v>604</v>
      </c>
      <c r="R69" s="57" t="s">
        <v>143</v>
      </c>
      <c r="T69" s="59" t="n">
        <v>0.1889</v>
      </c>
      <c r="U69" s="30" t="n">
        <f aca="false">AG198</f>
        <v>19.2386832</v>
      </c>
      <c r="V69" s="30" t="n">
        <f aca="false">T69*U69</f>
        <v>3.63418725648</v>
      </c>
      <c r="Y69" s="56" t="s">
        <v>293</v>
      </c>
    </row>
    <row r="70" customFormat="false" ht="15" hidden="false" customHeight="false" outlineLevel="0" collapsed="false">
      <c r="F70" s="58"/>
      <c r="N70" s="1" t="s">
        <v>606</v>
      </c>
      <c r="R70" s="57" t="s">
        <v>143</v>
      </c>
      <c r="T70" s="59" t="n">
        <v>0.0074</v>
      </c>
      <c r="U70" s="30" t="n">
        <f aca="false">AG213</f>
        <v>616.64</v>
      </c>
      <c r="V70" s="30" t="n">
        <f aca="false">T70*U70</f>
        <v>4.563136</v>
      </c>
      <c r="Y70" s="1" t="s">
        <v>1345</v>
      </c>
      <c r="AE70" s="59" t="n">
        <v>1</v>
      </c>
      <c r="AF70" s="30" t="n">
        <v>10.5</v>
      </c>
      <c r="AG70" s="30" t="n">
        <f aca="false">AE70*AF70</f>
        <v>10.5</v>
      </c>
    </row>
    <row r="71" customFormat="false" ht="15" hidden="false" customHeight="false" outlineLevel="0" collapsed="false">
      <c r="A71" s="15" t="s">
        <v>111</v>
      </c>
      <c r="E71" s="30"/>
      <c r="F71" s="58"/>
      <c r="N71" s="1" t="s">
        <v>1339</v>
      </c>
      <c r="R71" s="57" t="s">
        <v>143</v>
      </c>
      <c r="T71" s="1" t="n">
        <v>0.025</v>
      </c>
      <c r="U71" s="30" t="n">
        <f aca="false">AG220</f>
        <v>51.058432</v>
      </c>
      <c r="V71" s="30" t="n">
        <f aca="false">T71*U71</f>
        <v>1.2764608</v>
      </c>
      <c r="X71" s="62"/>
      <c r="Y71" s="62"/>
      <c r="Z71" s="62"/>
      <c r="AA71" s="62"/>
      <c r="AB71" s="62"/>
      <c r="AC71" s="66"/>
      <c r="AD71" s="62"/>
      <c r="AE71" s="68"/>
      <c r="AF71" s="69"/>
      <c r="AG71" s="63" t="n">
        <f aca="false">SUM(AG70)</f>
        <v>10.5</v>
      </c>
    </row>
    <row r="72" customFormat="false" ht="15" hidden="false" customHeight="false" outlineLevel="0" collapsed="false">
      <c r="A72" s="1" t="s">
        <v>1346</v>
      </c>
      <c r="B72" s="1" t="n">
        <v>17.15</v>
      </c>
      <c r="C72" s="1" t="s">
        <v>1013</v>
      </c>
      <c r="D72" s="1" t="n">
        <v>1</v>
      </c>
      <c r="E72" s="30" t="n">
        <f aca="false">V400</f>
        <v>1433.7</v>
      </c>
      <c r="F72" s="58" t="n">
        <f aca="false">D72*E72</f>
        <v>1433.7</v>
      </c>
      <c r="M72" s="62"/>
      <c r="N72" s="62"/>
      <c r="O72" s="62"/>
      <c r="P72" s="62"/>
      <c r="Q72" s="62"/>
      <c r="R72" s="66"/>
      <c r="S72" s="62"/>
      <c r="T72" s="62"/>
      <c r="U72" s="62"/>
      <c r="V72" s="63" t="n">
        <f aca="false">SUM(V59:V71)</f>
        <v>162.7139058</v>
      </c>
    </row>
    <row r="73" customFormat="false" ht="15" hidden="false" customHeight="false" outlineLevel="0" collapsed="false">
      <c r="A73" s="1" t="s">
        <v>1347</v>
      </c>
      <c r="B73" s="1" t="n">
        <v>12.75</v>
      </c>
      <c r="C73" s="1" t="s">
        <v>1013</v>
      </c>
      <c r="D73" s="1" t="n">
        <v>1</v>
      </c>
      <c r="E73" s="30" t="n">
        <f aca="false">V407</f>
        <v>6500</v>
      </c>
      <c r="F73" s="58" t="n">
        <f aca="false">D73*E73</f>
        <v>6500</v>
      </c>
      <c r="X73" s="14" t="s">
        <v>1327</v>
      </c>
      <c r="Y73" s="14"/>
      <c r="Z73" s="14" t="s">
        <v>1348</v>
      </c>
      <c r="AB73" s="14"/>
      <c r="AC73" s="14"/>
      <c r="AD73" s="14"/>
      <c r="AE73" s="14"/>
      <c r="AF73" s="14"/>
    </row>
    <row r="74" customFormat="false" ht="15" hidden="false" customHeight="false" outlineLevel="0" collapsed="false">
      <c r="A74" s="1" t="s">
        <v>1349</v>
      </c>
      <c r="B74" s="1" t="n">
        <v>28.63</v>
      </c>
      <c r="C74" s="1" t="s">
        <v>1013</v>
      </c>
      <c r="D74" s="1" t="n">
        <v>1</v>
      </c>
      <c r="E74" s="30" t="n">
        <f aca="false">V414</f>
        <v>3300</v>
      </c>
      <c r="F74" s="58" t="n">
        <f aca="false">D74*E74</f>
        <v>3300</v>
      </c>
      <c r="X74" s="14" t="s">
        <v>277</v>
      </c>
      <c r="Y74" s="14" t="s">
        <v>278</v>
      </c>
      <c r="Z74" s="38" t="s">
        <v>279</v>
      </c>
      <c r="AA74" s="54" t="n">
        <v>500</v>
      </c>
      <c r="AB74" s="38" t="s">
        <v>280</v>
      </c>
      <c r="AC74" s="54" t="n">
        <f aca="false">AA74</f>
        <v>500</v>
      </c>
      <c r="AD74" s="14" t="s">
        <v>281</v>
      </c>
      <c r="AF74" s="38" t="s">
        <v>132</v>
      </c>
      <c r="AG74" s="55" t="n">
        <f aca="false">AG80+AG86</f>
        <v>7.930344</v>
      </c>
    </row>
    <row r="75" customFormat="false" ht="15" hidden="false" customHeight="false" outlineLevel="0" collapsed="false">
      <c r="A75" s="1" t="s">
        <v>1350</v>
      </c>
      <c r="C75" s="1" t="s">
        <v>1013</v>
      </c>
      <c r="D75" s="1" t="n">
        <v>1</v>
      </c>
      <c r="E75" s="30" t="n">
        <f aca="false">V421</f>
        <v>95160</v>
      </c>
      <c r="F75" s="58" t="n">
        <f aca="false">D75*E75</f>
        <v>95160</v>
      </c>
      <c r="X75" s="14" t="s">
        <v>282</v>
      </c>
      <c r="Y75" s="14" t="s">
        <v>283</v>
      </c>
      <c r="AC75" s="38" t="s">
        <v>121</v>
      </c>
      <c r="AD75" s="38" t="s">
        <v>284</v>
      </c>
      <c r="AE75" s="38" t="s">
        <v>285</v>
      </c>
      <c r="AF75" s="38" t="s">
        <v>286</v>
      </c>
      <c r="AG75" s="38" t="s">
        <v>287</v>
      </c>
    </row>
    <row r="76" customFormat="false" ht="15" hidden="false" customHeight="false" outlineLevel="0" collapsed="false">
      <c r="A76" s="15" t="s">
        <v>1351</v>
      </c>
      <c r="F76" s="58"/>
      <c r="Y76" s="56" t="s">
        <v>288</v>
      </c>
    </row>
    <row r="77" customFormat="false" ht="15" hidden="false" customHeight="false" outlineLevel="0" collapsed="false">
      <c r="A77" s="1" t="s">
        <v>1352</v>
      </c>
      <c r="C77" s="1" t="s">
        <v>1353</v>
      </c>
      <c r="D77" s="1" t="n">
        <f aca="false">J12</f>
        <v>0</v>
      </c>
      <c r="E77" s="30" t="n">
        <f aca="false">V428</f>
        <v>3770.83894085957</v>
      </c>
      <c r="F77" s="58"/>
      <c r="G77" s="64" t="n">
        <f aca="false">SUM(F78:F90)</f>
        <v>0</v>
      </c>
      <c r="Y77" s="1" t="s">
        <v>649</v>
      </c>
      <c r="AC77" s="57" t="s">
        <v>290</v>
      </c>
      <c r="AD77" s="58" t="n">
        <v>1</v>
      </c>
      <c r="AE77" s="59" t="n">
        <f aca="false">AD77*8/$AA$74</f>
        <v>0.016</v>
      </c>
      <c r="AF77" s="1" t="n">
        <v>34.73</v>
      </c>
      <c r="AG77" s="30" t="n">
        <f aca="false">AE77*AF77</f>
        <v>0.55568</v>
      </c>
    </row>
    <row r="78" customFormat="false" ht="15" hidden="false" customHeight="false" outlineLevel="0" collapsed="false">
      <c r="A78" s="1" t="s">
        <v>1354</v>
      </c>
      <c r="C78" s="57" t="s">
        <v>202</v>
      </c>
      <c r="D78" s="59" t="n">
        <f aca="false">1.98*$J$12</f>
        <v>0</v>
      </c>
      <c r="E78" s="30" t="n">
        <f aca="false">U431</f>
        <v>56.4628342857143</v>
      </c>
      <c r="F78" s="58" t="n">
        <f aca="false">D78*E78</f>
        <v>0</v>
      </c>
      <c r="Y78" s="1" t="s">
        <v>291</v>
      </c>
      <c r="AC78" s="57" t="s">
        <v>290</v>
      </c>
      <c r="AD78" s="58" t="n">
        <v>1</v>
      </c>
      <c r="AE78" s="59" t="n">
        <f aca="false">AD78*8/$AA$74</f>
        <v>0.016</v>
      </c>
      <c r="AF78" s="1" t="n">
        <v>23.6</v>
      </c>
      <c r="AG78" s="30" t="n">
        <f aca="false">AE78*AF78</f>
        <v>0.3776</v>
      </c>
    </row>
    <row r="79" customFormat="false" ht="15" hidden="false" customHeight="false" outlineLevel="0" collapsed="false">
      <c r="A79" s="1" t="s">
        <v>461</v>
      </c>
      <c r="C79" s="57" t="s">
        <v>202</v>
      </c>
      <c r="D79" s="59" t="n">
        <f aca="false">0.682058823529411*$J$12</f>
        <v>0</v>
      </c>
      <c r="E79" s="30" t="n">
        <f aca="false">U432</f>
        <v>77.2277048</v>
      </c>
      <c r="F79" s="58" t="n">
        <f aca="false">D79*E79</f>
        <v>0</v>
      </c>
      <c r="R79" s="57"/>
      <c r="Y79" s="1" t="s">
        <v>292</v>
      </c>
      <c r="AC79" s="57" t="s">
        <v>290</v>
      </c>
      <c r="AD79" s="58" t="n">
        <v>3</v>
      </c>
      <c r="AE79" s="59" t="n">
        <f aca="false">AD79*8/$AA$74</f>
        <v>0.048</v>
      </c>
      <c r="AF79" s="1" t="n">
        <v>20.51</v>
      </c>
      <c r="AG79" s="30" t="n">
        <f aca="false">AE79*AF79</f>
        <v>0.98448</v>
      </c>
    </row>
    <row r="80" customFormat="false" ht="15" hidden="false" customHeight="false" outlineLevel="0" collapsed="false">
      <c r="A80" s="1" t="s">
        <v>463</v>
      </c>
      <c r="C80" s="57" t="s">
        <v>202</v>
      </c>
      <c r="D80" s="59" t="n">
        <f aca="false">0.892941176470588*$JJ$9</f>
        <v>0</v>
      </c>
      <c r="E80" s="30" t="n">
        <f aca="false">U433</f>
        <v>30.614538</v>
      </c>
      <c r="F80" s="58" t="n">
        <f aca="false">D80*E80</f>
        <v>0</v>
      </c>
      <c r="R80" s="57"/>
      <c r="AC80" s="57"/>
      <c r="AG80" s="55" t="n">
        <f aca="false">SUM(AG77:AG79)</f>
        <v>1.91776</v>
      </c>
    </row>
    <row r="81" customFormat="false" ht="15" hidden="false" customHeight="false" outlineLevel="0" collapsed="false">
      <c r="A81" s="1" t="s">
        <v>467</v>
      </c>
      <c r="C81" s="57" t="s">
        <v>202</v>
      </c>
      <c r="D81" s="59" t="n">
        <f aca="false">0.50625*$J$12</f>
        <v>0</v>
      </c>
      <c r="E81" s="30" t="n">
        <f aca="false">U434</f>
        <v>12.11253</v>
      </c>
      <c r="F81" s="58" t="n">
        <f aca="false">D81*E81</f>
        <v>0</v>
      </c>
      <c r="R81" s="57"/>
      <c r="V81" s="30"/>
      <c r="Y81" s="56" t="s">
        <v>317</v>
      </c>
      <c r="AC81" s="57"/>
      <c r="AD81" s="58"/>
    </row>
    <row r="82" customFormat="false" ht="15" hidden="false" customHeight="false" outlineLevel="0" collapsed="false">
      <c r="A82" s="1" t="s">
        <v>469</v>
      </c>
      <c r="C82" s="57" t="s">
        <v>202</v>
      </c>
      <c r="D82" s="59" t="n">
        <f aca="false">0.50625*$J$12</f>
        <v>0</v>
      </c>
      <c r="E82" s="30" t="n">
        <f aca="false">U435</f>
        <v>22.9100074666667</v>
      </c>
      <c r="F82" s="58" t="n">
        <f aca="false">D82*E82</f>
        <v>0</v>
      </c>
      <c r="R82" s="57"/>
      <c r="U82" s="30"/>
      <c r="V82" s="30"/>
      <c r="Y82" s="1" t="s">
        <v>309</v>
      </c>
      <c r="AC82" s="57" t="s">
        <v>310</v>
      </c>
      <c r="AE82" s="59" t="n">
        <v>5</v>
      </c>
      <c r="AF82" s="30" t="n">
        <f aca="false">AG77</f>
        <v>0.55568</v>
      </c>
      <c r="AG82" s="30" t="n">
        <f aca="false">AE82%*AF82</f>
        <v>0.027784</v>
      </c>
    </row>
    <row r="83" customFormat="false" ht="15" hidden="false" customHeight="false" outlineLevel="0" collapsed="false">
      <c r="A83" s="1" t="s">
        <v>640</v>
      </c>
      <c r="C83" s="57" t="s">
        <v>143</v>
      </c>
      <c r="D83" s="59" t="n">
        <f aca="false">1*$J$12</f>
        <v>0</v>
      </c>
      <c r="E83" s="30" t="n">
        <f aca="false">U436</f>
        <v>1489.7348144</v>
      </c>
      <c r="F83" s="58" t="n">
        <f aca="false">D83*E83</f>
        <v>0</v>
      </c>
      <c r="R83" s="57"/>
      <c r="Y83" s="1" t="s">
        <v>655</v>
      </c>
      <c r="AC83" s="57" t="s">
        <v>337</v>
      </c>
      <c r="AD83" s="58" t="n">
        <v>1</v>
      </c>
      <c r="AE83" s="59" t="n">
        <f aca="false">AD83*8/$AA$74</f>
        <v>0.016</v>
      </c>
      <c r="AF83" s="1" t="n">
        <v>17.47</v>
      </c>
      <c r="AG83" s="30" t="n">
        <f aca="false">AE83*AF83</f>
        <v>0.27952</v>
      </c>
    </row>
    <row r="84" customFormat="false" ht="15" hidden="false" customHeight="false" outlineLevel="0" collapsed="false">
      <c r="A84" s="1" t="s">
        <v>1355</v>
      </c>
      <c r="C84" s="57" t="s">
        <v>143</v>
      </c>
      <c r="D84" s="59" t="n">
        <f aca="false">1*$J$12</f>
        <v>0</v>
      </c>
      <c r="E84" s="30" t="n">
        <f aca="false">U437</f>
        <v>1583.5817404</v>
      </c>
      <c r="F84" s="58" t="n">
        <f aca="false">D84*E84</f>
        <v>0</v>
      </c>
      <c r="R84" s="57"/>
      <c r="Y84" s="1" t="s">
        <v>657</v>
      </c>
      <c r="AC84" s="57" t="s">
        <v>337</v>
      </c>
      <c r="AD84" s="58" t="n">
        <v>1</v>
      </c>
      <c r="AE84" s="59" t="n">
        <f aca="false">AD84*8/$AA$74</f>
        <v>0.016</v>
      </c>
      <c r="AF84" s="1" t="n">
        <v>136.06</v>
      </c>
      <c r="AG84" s="30" t="n">
        <f aca="false">AE84*AF84</f>
        <v>2.17696</v>
      </c>
    </row>
    <row r="85" customFormat="false" ht="15" hidden="false" customHeight="false" outlineLevel="0" collapsed="false">
      <c r="A85" s="1" t="s">
        <v>644</v>
      </c>
      <c r="C85" s="57" t="s">
        <v>143</v>
      </c>
      <c r="D85" s="59" t="n">
        <f aca="false">1*$J$12</f>
        <v>0</v>
      </c>
      <c r="E85" s="30" t="n">
        <f aca="false">U438</f>
        <v>107.845655777778</v>
      </c>
      <c r="F85" s="58" t="n">
        <f aca="false">D85*E85</f>
        <v>0</v>
      </c>
      <c r="R85" s="57"/>
      <c r="Y85" s="1" t="s">
        <v>658</v>
      </c>
      <c r="Z85" s="84"/>
      <c r="AA85" s="84"/>
      <c r="AB85" s="84"/>
      <c r="AC85" s="57" t="s">
        <v>337</v>
      </c>
      <c r="AD85" s="58" t="n">
        <v>1</v>
      </c>
      <c r="AE85" s="59" t="n">
        <f aca="false">AD85*8/$AA$74</f>
        <v>0.016</v>
      </c>
      <c r="AF85" s="1" t="n">
        <v>220.52</v>
      </c>
      <c r="AG85" s="30" t="n">
        <f aca="false">AE85*AF85</f>
        <v>3.52832</v>
      </c>
    </row>
    <row r="86" customFormat="false" ht="15" hidden="false" customHeight="false" outlineLevel="0" collapsed="false">
      <c r="A86" s="1" t="s">
        <v>845</v>
      </c>
      <c r="C86" s="57" t="s">
        <v>143</v>
      </c>
      <c r="D86" s="59" t="n">
        <f aca="false">2.16060606060606*$J$12</f>
        <v>0</v>
      </c>
      <c r="E86" s="30" t="n">
        <f aca="false">U439</f>
        <v>110.42</v>
      </c>
      <c r="F86" s="58" t="n">
        <f aca="false">D86*E86</f>
        <v>0</v>
      </c>
      <c r="R86" s="57"/>
      <c r="X86" s="62"/>
      <c r="Y86" s="62"/>
      <c r="Z86" s="62"/>
      <c r="AA86" s="62"/>
      <c r="AB86" s="62"/>
      <c r="AC86" s="62"/>
      <c r="AD86" s="62"/>
      <c r="AE86" s="62"/>
      <c r="AF86" s="62"/>
      <c r="AG86" s="63" t="n">
        <f aca="false">SUM(AG82:AG85)</f>
        <v>6.012584</v>
      </c>
    </row>
    <row r="87" customFormat="false" ht="15" hidden="false" customHeight="false" outlineLevel="0" collapsed="false">
      <c r="A87" s="1" t="s">
        <v>646</v>
      </c>
      <c r="C87" s="57" t="s">
        <v>143</v>
      </c>
      <c r="D87" s="59" t="n">
        <f aca="false">0.119318181818182*$J$12</f>
        <v>0</v>
      </c>
      <c r="E87" s="30" t="n">
        <f aca="false">U440</f>
        <v>18.8570064</v>
      </c>
      <c r="F87" s="58" t="n">
        <f aca="false">D87*E87</f>
        <v>0</v>
      </c>
    </row>
    <row r="88" customFormat="false" ht="15" hidden="false" customHeight="false" outlineLevel="0" collapsed="false">
      <c r="A88" s="1" t="s">
        <v>847</v>
      </c>
      <c r="C88" s="57" t="s">
        <v>132</v>
      </c>
      <c r="D88" s="59" t="n">
        <f aca="false">0.386363636363636*$J$12</f>
        <v>0</v>
      </c>
      <c r="E88" s="30" t="n">
        <f aca="false">U441</f>
        <v>67.7683724615385</v>
      </c>
      <c r="F88" s="58" t="n">
        <f aca="false">D88*E88</f>
        <v>0</v>
      </c>
      <c r="X88" s="14" t="s">
        <v>1327</v>
      </c>
      <c r="Y88" s="14"/>
      <c r="Z88" s="14" t="s">
        <v>461</v>
      </c>
      <c r="AA88" s="14"/>
      <c r="AB88" s="14"/>
      <c r="AC88" s="14"/>
      <c r="AD88" s="14"/>
      <c r="AE88" s="14"/>
      <c r="AF88" s="14"/>
    </row>
    <row r="89" customFormat="false" ht="15" hidden="false" customHeight="false" outlineLevel="0" collapsed="false">
      <c r="A89" s="1" t="s">
        <v>849</v>
      </c>
      <c r="C89" s="57" t="s">
        <v>132</v>
      </c>
      <c r="D89" s="59" t="n">
        <f aca="false">0.4*$J$12</f>
        <v>0</v>
      </c>
      <c r="E89" s="30" t="n">
        <f aca="false">U442</f>
        <v>39.51</v>
      </c>
      <c r="F89" s="58" t="n">
        <f aca="false">D89*E89</f>
        <v>0</v>
      </c>
      <c r="X89" s="14" t="s">
        <v>277</v>
      </c>
      <c r="Y89" s="14" t="s">
        <v>325</v>
      </c>
      <c r="Z89" s="38" t="s">
        <v>279</v>
      </c>
      <c r="AA89" s="54" t="n">
        <v>25</v>
      </c>
      <c r="AB89" s="38" t="s">
        <v>280</v>
      </c>
      <c r="AC89" s="54" t="n">
        <f aca="false">AA89</f>
        <v>25</v>
      </c>
      <c r="AD89" s="14" t="s">
        <v>281</v>
      </c>
      <c r="AF89" s="38" t="s">
        <v>148</v>
      </c>
      <c r="AG89" s="55" t="n">
        <f aca="false">AG95+AG99+AG103</f>
        <v>77.2277048</v>
      </c>
    </row>
    <row r="90" customFormat="false" ht="15" hidden="false" customHeight="false" outlineLevel="0" collapsed="false">
      <c r="A90" s="1" t="s">
        <v>851</v>
      </c>
      <c r="C90" s="57" t="s">
        <v>132</v>
      </c>
      <c r="D90" s="59" t="n">
        <f aca="false">5.6*$J$12</f>
        <v>0</v>
      </c>
      <c r="E90" s="30" t="n">
        <f aca="false">U443</f>
        <v>17.38</v>
      </c>
      <c r="F90" s="58" t="n">
        <f aca="false">D90*E90</f>
        <v>0</v>
      </c>
      <c r="X90" s="14" t="s">
        <v>282</v>
      </c>
      <c r="Y90" s="14" t="s">
        <v>283</v>
      </c>
      <c r="AC90" s="38" t="s">
        <v>121</v>
      </c>
      <c r="AD90" s="38" t="s">
        <v>284</v>
      </c>
      <c r="AE90" s="38" t="s">
        <v>285</v>
      </c>
      <c r="AF90" s="38" t="s">
        <v>286</v>
      </c>
      <c r="AG90" s="38" t="s">
        <v>287</v>
      </c>
    </row>
    <row r="91" customFormat="false" ht="15" hidden="false" customHeight="false" outlineLevel="0" collapsed="false">
      <c r="A91" s="15" t="s">
        <v>1356</v>
      </c>
      <c r="Y91" s="56" t="s">
        <v>288</v>
      </c>
    </row>
    <row r="92" customFormat="false" ht="15" hidden="false" customHeight="false" outlineLevel="0" collapsed="false">
      <c r="A92" s="1" t="s">
        <v>1357</v>
      </c>
      <c r="C92" s="1" t="s">
        <v>1013</v>
      </c>
      <c r="D92" s="1" t="n">
        <f aca="false">'Datos iniciales '!E83</f>
        <v>0</v>
      </c>
      <c r="E92" s="30" t="n">
        <f aca="false">V715</f>
        <v>29580.5881071662</v>
      </c>
      <c r="G92" s="64" t="n">
        <f aca="false">D92*E92</f>
        <v>0</v>
      </c>
      <c r="Y92" s="1" t="s">
        <v>649</v>
      </c>
      <c r="AC92" s="57" t="s">
        <v>290</v>
      </c>
      <c r="AD92" s="58" t="n">
        <v>0.1</v>
      </c>
      <c r="AE92" s="59" t="n">
        <f aca="false">AD92*8/$AA$89</f>
        <v>0.032</v>
      </c>
      <c r="AF92" s="30" t="n">
        <v>34.73</v>
      </c>
      <c r="AG92" s="30" t="n">
        <f aca="false">AE92*AF92</f>
        <v>1.11136</v>
      </c>
    </row>
    <row r="93" customFormat="false" ht="15" hidden="false" customHeight="false" outlineLevel="0" collapsed="false">
      <c r="Y93" s="1" t="s">
        <v>1358</v>
      </c>
      <c r="AC93" s="57" t="s">
        <v>290</v>
      </c>
      <c r="AD93" s="58" t="n">
        <v>1</v>
      </c>
      <c r="AE93" s="59" t="n">
        <f aca="false">AD93*8/$AA$89</f>
        <v>0.32</v>
      </c>
      <c r="AF93" s="30" t="n">
        <v>30.97</v>
      </c>
      <c r="AG93" s="30" t="n">
        <f aca="false">AE93*AF93</f>
        <v>9.9104</v>
      </c>
    </row>
    <row r="94" customFormat="false" ht="15" hidden="false" customHeight="false" outlineLevel="0" collapsed="false">
      <c r="Y94" s="1" t="s">
        <v>292</v>
      </c>
      <c r="AC94" s="57" t="s">
        <v>290</v>
      </c>
      <c r="AD94" s="58" t="n">
        <v>2</v>
      </c>
      <c r="AE94" s="59" t="n">
        <f aca="false">AD94*8/$AA$89</f>
        <v>0.64</v>
      </c>
      <c r="AF94" s="30" t="n">
        <v>20.51</v>
      </c>
      <c r="AG94" s="30" t="n">
        <f aca="false">AE94*AF94</f>
        <v>13.1264</v>
      </c>
    </row>
    <row r="95" customFormat="false" ht="15" hidden="false" customHeight="false" outlineLevel="0" collapsed="false">
      <c r="AC95" s="57"/>
      <c r="AG95" s="55" t="n">
        <f aca="false">SUM(AG92:AG94)</f>
        <v>24.14816</v>
      </c>
    </row>
    <row r="96" customFormat="false" ht="15" hidden="false" customHeight="false" outlineLevel="0" collapsed="false">
      <c r="Y96" s="56" t="s">
        <v>293</v>
      </c>
      <c r="AC96" s="57"/>
      <c r="AE96" s="59"/>
      <c r="AF96" s="59"/>
    </row>
    <row r="97" customFormat="false" ht="15" hidden="false" customHeight="false" outlineLevel="0" collapsed="false">
      <c r="Y97" s="1" t="s">
        <v>662</v>
      </c>
      <c r="AC97" s="57" t="s">
        <v>202</v>
      </c>
      <c r="AE97" s="59" t="n">
        <v>0.08</v>
      </c>
      <c r="AF97" s="30" t="n">
        <v>6.14</v>
      </c>
      <c r="AG97" s="30" t="n">
        <f aca="false">AE97*AF97</f>
        <v>0.4912</v>
      </c>
    </row>
    <row r="98" customFormat="false" ht="15" hidden="false" customHeight="false" outlineLevel="0" collapsed="false">
      <c r="Y98" s="1" t="s">
        <v>653</v>
      </c>
      <c r="AC98" s="57" t="s">
        <v>202</v>
      </c>
      <c r="AE98" s="59" t="n">
        <v>1.05</v>
      </c>
      <c r="AF98" s="30" t="n">
        <v>44.07</v>
      </c>
      <c r="AG98" s="30" t="n">
        <f aca="false">AE98*AF98</f>
        <v>46.2735</v>
      </c>
    </row>
    <row r="99" customFormat="false" ht="15" hidden="false" customHeight="false" outlineLevel="0" collapsed="false">
      <c r="E99" s="30"/>
      <c r="F99" s="58"/>
      <c r="AC99" s="57"/>
      <c r="AE99" s="59"/>
      <c r="AF99" s="59"/>
      <c r="AG99" s="55" t="n">
        <f aca="false">SUM(AG97:AG98)</f>
        <v>46.7647</v>
      </c>
    </row>
    <row r="100" customFormat="false" ht="15" hidden="false" customHeight="false" outlineLevel="0" collapsed="false">
      <c r="Y100" s="56" t="s">
        <v>317</v>
      </c>
      <c r="AC100" s="57"/>
      <c r="AD100" s="58"/>
    </row>
    <row r="101" customFormat="false" ht="15" hidden="false" customHeight="false" outlineLevel="0" collapsed="false">
      <c r="Y101" s="1" t="s">
        <v>309</v>
      </c>
      <c r="AC101" s="57" t="s">
        <v>310</v>
      </c>
      <c r="AD101" s="58"/>
      <c r="AE101" s="59" t="n">
        <v>3</v>
      </c>
      <c r="AF101" s="30" t="n">
        <f aca="false">AG95</f>
        <v>24.14816</v>
      </c>
      <c r="AG101" s="30" t="n">
        <f aca="false">AE101%*AF101</f>
        <v>0.7244448</v>
      </c>
    </row>
    <row r="102" customFormat="false" ht="15" hidden="false" customHeight="false" outlineLevel="0" collapsed="false">
      <c r="Y102" s="1" t="s">
        <v>655</v>
      </c>
      <c r="AC102" s="57" t="s">
        <v>337</v>
      </c>
      <c r="AD102" s="58" t="n">
        <v>1</v>
      </c>
      <c r="AE102" s="59" t="n">
        <f aca="false">AD102*8/$AA$89</f>
        <v>0.32</v>
      </c>
      <c r="AF102" s="30" t="n">
        <v>17.47</v>
      </c>
      <c r="AG102" s="30" t="n">
        <f aca="false">AE102*AF102</f>
        <v>5.5904</v>
      </c>
    </row>
    <row r="103" customFormat="false" ht="15" hidden="false" customHeight="false" outlineLevel="0" collapsed="false">
      <c r="X103" s="62"/>
      <c r="Y103" s="62"/>
      <c r="Z103" s="62"/>
      <c r="AA103" s="62"/>
      <c r="AB103" s="62"/>
      <c r="AC103" s="62"/>
      <c r="AD103" s="62"/>
      <c r="AE103" s="62"/>
      <c r="AF103" s="62"/>
      <c r="AG103" s="63" t="n">
        <f aca="false">SUM(AG101:AG102)</f>
        <v>6.3148448</v>
      </c>
    </row>
    <row r="104" customFormat="false" ht="15" hidden="false" customHeight="false" outlineLevel="0" collapsed="false">
      <c r="AC104" s="57"/>
      <c r="AD104" s="58"/>
      <c r="AE104" s="59"/>
      <c r="AF104" s="30"/>
      <c r="AG104" s="30"/>
    </row>
    <row r="105" customFormat="false" ht="15" hidden="false" customHeight="false" outlineLevel="0" collapsed="false">
      <c r="X105" s="14" t="s">
        <v>1327</v>
      </c>
      <c r="Y105" s="14"/>
      <c r="Z105" s="14" t="s">
        <v>592</v>
      </c>
      <c r="AA105" s="14"/>
      <c r="AB105" s="14"/>
      <c r="AC105" s="14"/>
      <c r="AD105" s="14"/>
      <c r="AE105" s="14"/>
      <c r="AF105" s="14"/>
    </row>
    <row r="106" customFormat="false" ht="15" hidden="false" customHeight="false" outlineLevel="0" collapsed="false">
      <c r="X106" s="14" t="s">
        <v>277</v>
      </c>
      <c r="Y106" s="14" t="s">
        <v>415</v>
      </c>
      <c r="Z106" s="38" t="s">
        <v>279</v>
      </c>
      <c r="AA106" s="54" t="n">
        <v>30</v>
      </c>
      <c r="AB106" s="38" t="s">
        <v>280</v>
      </c>
      <c r="AC106" s="54" t="n">
        <f aca="false">AA106</f>
        <v>30</v>
      </c>
      <c r="AD106" s="14" t="s">
        <v>281</v>
      </c>
      <c r="AF106" s="38" t="s">
        <v>202</v>
      </c>
      <c r="AG106" s="55" t="n">
        <f aca="false">AG113+AG118+AG122</f>
        <v>445.669224</v>
      </c>
    </row>
    <row r="107" customFormat="false" ht="15" hidden="false" customHeight="false" outlineLevel="0" collapsed="false">
      <c r="X107" s="14" t="s">
        <v>282</v>
      </c>
      <c r="Y107" s="14" t="s">
        <v>283</v>
      </c>
      <c r="AC107" s="38" t="s">
        <v>121</v>
      </c>
      <c r="AD107" s="38" t="s">
        <v>284</v>
      </c>
      <c r="AE107" s="38" t="s">
        <v>285</v>
      </c>
      <c r="AF107" s="38" t="s">
        <v>286</v>
      </c>
      <c r="AG107" s="38" t="s">
        <v>287</v>
      </c>
    </row>
    <row r="108" customFormat="false" ht="15" hidden="false" customHeight="false" outlineLevel="0" collapsed="false">
      <c r="Y108" s="56" t="s">
        <v>288</v>
      </c>
    </row>
    <row r="109" customFormat="false" ht="15" hidden="false" customHeight="false" outlineLevel="0" collapsed="false">
      <c r="Y109" s="1" t="s">
        <v>649</v>
      </c>
      <c r="AC109" s="57" t="s">
        <v>290</v>
      </c>
      <c r="AD109" s="58" t="n">
        <v>0.1</v>
      </c>
      <c r="AE109" s="59" t="n">
        <f aca="false">AD109*8/$AA$106</f>
        <v>0.0266666666666667</v>
      </c>
      <c r="AF109" s="30" t="n">
        <v>34.73</v>
      </c>
      <c r="AG109" s="30" t="n">
        <f aca="false">AE109*AF109</f>
        <v>0.926133333333333</v>
      </c>
    </row>
    <row r="110" customFormat="false" ht="15" hidden="false" customHeight="false" outlineLevel="0" collapsed="false">
      <c r="Y110" s="1" t="s">
        <v>289</v>
      </c>
      <c r="AC110" s="57" t="s">
        <v>290</v>
      </c>
      <c r="AD110" s="58" t="n">
        <v>2</v>
      </c>
      <c r="AE110" s="59" t="n">
        <f aca="false">AD110*8/$AA$106</f>
        <v>0.533333333333333</v>
      </c>
      <c r="AF110" s="30" t="n">
        <v>28.94</v>
      </c>
      <c r="AG110" s="30" t="n">
        <f aca="false">AE110*AF110</f>
        <v>15.4346666666667</v>
      </c>
    </row>
    <row r="111" customFormat="false" ht="15" hidden="false" customHeight="false" outlineLevel="0" collapsed="false">
      <c r="Y111" s="1" t="s">
        <v>291</v>
      </c>
      <c r="AC111" s="57" t="s">
        <v>290</v>
      </c>
      <c r="AD111" s="58" t="n">
        <v>1</v>
      </c>
      <c r="AE111" s="59" t="n">
        <f aca="false">AD111*8/$AA$106</f>
        <v>0.266666666666667</v>
      </c>
      <c r="AF111" s="30" t="n">
        <v>22.66</v>
      </c>
      <c r="AG111" s="30" t="n">
        <f aca="false">AE111*AF111</f>
        <v>6.04266666666667</v>
      </c>
    </row>
    <row r="112" customFormat="false" ht="15" hidden="false" customHeight="false" outlineLevel="0" collapsed="false">
      <c r="Y112" s="1" t="s">
        <v>292</v>
      </c>
      <c r="AC112" s="57" t="s">
        <v>290</v>
      </c>
      <c r="AD112" s="58" t="n">
        <v>4</v>
      </c>
      <c r="AE112" s="59" t="n">
        <f aca="false">AD112*8/$AA$106</f>
        <v>1.06666666666667</v>
      </c>
      <c r="AF112" s="30" t="n">
        <v>20.51</v>
      </c>
      <c r="AG112" s="30" t="n">
        <f aca="false">AE112*AF112</f>
        <v>21.8773333333333</v>
      </c>
    </row>
    <row r="113" customFormat="false" ht="15" hidden="false" customHeight="false" outlineLevel="0" collapsed="false">
      <c r="AG113" s="55" t="n">
        <f aca="false">SUM(AG109:AG112)</f>
        <v>44.2808</v>
      </c>
    </row>
    <row r="114" customFormat="false" ht="15" hidden="false" customHeight="false" outlineLevel="0" collapsed="false">
      <c r="Y114" s="56" t="s">
        <v>293</v>
      </c>
    </row>
    <row r="115" customFormat="false" ht="15" hidden="false" customHeight="false" outlineLevel="0" collapsed="false">
      <c r="Y115" s="1" t="s">
        <v>718</v>
      </c>
      <c r="AB115" s="1" t="s">
        <v>295</v>
      </c>
      <c r="AE115" s="59" t="n">
        <v>0.1</v>
      </c>
      <c r="AF115" s="30" t="n">
        <v>24.52</v>
      </c>
      <c r="AG115" s="30" t="n">
        <f aca="false">AE115*AF115</f>
        <v>2.452</v>
      </c>
    </row>
    <row r="116" customFormat="false" ht="15" hidden="false" customHeight="false" outlineLevel="0" collapsed="false">
      <c r="Y116" s="1" t="s">
        <v>719</v>
      </c>
      <c r="AB116" s="1" t="s">
        <v>295</v>
      </c>
      <c r="AE116" s="59" t="n">
        <v>1.02</v>
      </c>
      <c r="AF116" s="30" t="n">
        <v>358</v>
      </c>
      <c r="AG116" s="30" t="n">
        <f aca="false">AE116*AF116</f>
        <v>365.16</v>
      </c>
    </row>
    <row r="117" customFormat="false" ht="15" hidden="false" customHeight="false" outlineLevel="0" collapsed="false">
      <c r="Y117" s="1" t="s">
        <v>720</v>
      </c>
      <c r="AB117" s="1" t="s">
        <v>304</v>
      </c>
      <c r="AE117" s="59" t="n">
        <v>1.02</v>
      </c>
      <c r="AF117" s="30" t="n">
        <v>30</v>
      </c>
      <c r="AG117" s="30" t="n">
        <f aca="false">AE117*AF117</f>
        <v>30.6</v>
      </c>
    </row>
    <row r="118" customFormat="false" ht="15" hidden="false" customHeight="false" outlineLevel="0" collapsed="false">
      <c r="AG118" s="55" t="n">
        <f aca="false">SUM(AG115:AG117)</f>
        <v>398.212</v>
      </c>
    </row>
    <row r="119" customFormat="false" ht="15" hidden="false" customHeight="false" outlineLevel="0" collapsed="false">
      <c r="Y119" s="56" t="s">
        <v>317</v>
      </c>
    </row>
    <row r="120" customFormat="false" ht="15" hidden="false" customHeight="false" outlineLevel="0" collapsed="false">
      <c r="Y120" s="1" t="s">
        <v>309</v>
      </c>
      <c r="AC120" s="57" t="s">
        <v>310</v>
      </c>
      <c r="AE120" s="59" t="n">
        <v>3</v>
      </c>
      <c r="AF120" s="30" t="n">
        <f aca="false">AG113</f>
        <v>44.2808</v>
      </c>
      <c r="AG120" s="30" t="n">
        <f aca="false">AE120%*AF120</f>
        <v>1.328424</v>
      </c>
    </row>
    <row r="121" customFormat="false" ht="15" hidden="false" customHeight="false" outlineLevel="0" collapsed="false">
      <c r="Y121" s="1" t="s">
        <v>721</v>
      </c>
      <c r="AC121" s="57" t="s">
        <v>337</v>
      </c>
      <c r="AD121" s="58" t="n">
        <v>1</v>
      </c>
      <c r="AE121" s="59" t="n">
        <f aca="false">AD121*8/$AA$106</f>
        <v>0.266666666666667</v>
      </c>
      <c r="AF121" s="30" t="n">
        <v>6.93</v>
      </c>
      <c r="AG121" s="30" t="n">
        <f aca="false">AE121*AF121</f>
        <v>1.848</v>
      </c>
    </row>
    <row r="122" customFormat="false" ht="15" hidden="false" customHeight="false" outlineLevel="0" collapsed="false">
      <c r="X122" s="62"/>
      <c r="Y122" s="62"/>
      <c r="Z122" s="62"/>
      <c r="AA122" s="62"/>
      <c r="AB122" s="62"/>
      <c r="AC122" s="62"/>
      <c r="AD122" s="62"/>
      <c r="AE122" s="62"/>
      <c r="AF122" s="62"/>
      <c r="AG122" s="63" t="n">
        <f aca="false">SUM(AG120:AG121)</f>
        <v>3.176424</v>
      </c>
    </row>
    <row r="124" customFormat="false" ht="15" hidden="false" customHeight="false" outlineLevel="0" collapsed="false">
      <c r="X124" s="14" t="s">
        <v>1327</v>
      </c>
      <c r="Y124" s="14"/>
      <c r="Z124" s="14" t="s">
        <v>594</v>
      </c>
      <c r="AA124" s="14"/>
      <c r="AB124" s="14"/>
      <c r="AC124" s="14"/>
      <c r="AD124" s="14"/>
      <c r="AE124" s="14"/>
      <c r="AF124" s="14"/>
    </row>
    <row r="125" customFormat="false" ht="15" hidden="false" customHeight="false" outlineLevel="0" collapsed="false">
      <c r="X125" s="14" t="s">
        <v>277</v>
      </c>
      <c r="Y125" s="14" t="s">
        <v>415</v>
      </c>
      <c r="Z125" s="38" t="s">
        <v>279</v>
      </c>
      <c r="AA125" s="54" t="n">
        <v>30</v>
      </c>
      <c r="AB125" s="38" t="s">
        <v>280</v>
      </c>
      <c r="AC125" s="54" t="n">
        <f aca="false">AA125</f>
        <v>30</v>
      </c>
      <c r="AD125" s="14" t="s">
        <v>281</v>
      </c>
      <c r="AF125" s="38" t="s">
        <v>202</v>
      </c>
      <c r="AG125" s="55" t="n">
        <f aca="false">AG132+AG137+AG141</f>
        <v>445.669224</v>
      </c>
    </row>
    <row r="126" customFormat="false" ht="15" hidden="false" customHeight="false" outlineLevel="0" collapsed="false">
      <c r="X126" s="14" t="s">
        <v>282</v>
      </c>
      <c r="Y126" s="14" t="s">
        <v>283</v>
      </c>
      <c r="AC126" s="38" t="s">
        <v>121</v>
      </c>
      <c r="AD126" s="38" t="s">
        <v>284</v>
      </c>
      <c r="AE126" s="38" t="s">
        <v>285</v>
      </c>
      <c r="AF126" s="38" t="s">
        <v>286</v>
      </c>
      <c r="AG126" s="38" t="s">
        <v>287</v>
      </c>
    </row>
    <row r="127" customFormat="false" ht="15" hidden="false" customHeight="false" outlineLevel="0" collapsed="false">
      <c r="Y127" s="56" t="s">
        <v>288</v>
      </c>
    </row>
    <row r="128" customFormat="false" ht="15" hidden="false" customHeight="false" outlineLevel="0" collapsed="false">
      <c r="Y128" s="1" t="s">
        <v>649</v>
      </c>
      <c r="AC128" s="57" t="s">
        <v>290</v>
      </c>
      <c r="AD128" s="58" t="n">
        <v>0.1</v>
      </c>
      <c r="AE128" s="59" t="n">
        <f aca="false">AD128*8/$AA$125</f>
        <v>0.0266666666666667</v>
      </c>
      <c r="AF128" s="30" t="n">
        <v>34.73</v>
      </c>
      <c r="AG128" s="30" t="n">
        <f aca="false">AE128*AF128</f>
        <v>0.926133333333333</v>
      </c>
    </row>
    <row r="129" customFormat="false" ht="15" hidden="false" customHeight="false" outlineLevel="0" collapsed="false">
      <c r="Y129" s="1" t="s">
        <v>289</v>
      </c>
      <c r="AC129" s="57" t="s">
        <v>290</v>
      </c>
      <c r="AD129" s="58" t="n">
        <v>2</v>
      </c>
      <c r="AE129" s="59" t="n">
        <f aca="false">AD129*8/$AA$125</f>
        <v>0.533333333333333</v>
      </c>
      <c r="AF129" s="30" t="n">
        <v>28.94</v>
      </c>
      <c r="AG129" s="30" t="n">
        <f aca="false">AE129*AF129</f>
        <v>15.4346666666667</v>
      </c>
    </row>
    <row r="130" customFormat="false" ht="15" hidden="false" customHeight="false" outlineLevel="0" collapsed="false">
      <c r="Y130" s="1" t="s">
        <v>291</v>
      </c>
      <c r="AC130" s="57" t="s">
        <v>290</v>
      </c>
      <c r="AD130" s="58" t="n">
        <v>1</v>
      </c>
      <c r="AE130" s="59" t="n">
        <f aca="false">AD130*8/$AA$125</f>
        <v>0.266666666666667</v>
      </c>
      <c r="AF130" s="30" t="n">
        <v>22.66</v>
      </c>
      <c r="AG130" s="30" t="n">
        <f aca="false">AE130*AF130</f>
        <v>6.04266666666667</v>
      </c>
    </row>
    <row r="131" customFormat="false" ht="15" hidden="false" customHeight="false" outlineLevel="0" collapsed="false">
      <c r="Y131" s="1" t="s">
        <v>292</v>
      </c>
      <c r="AC131" s="57" t="s">
        <v>290</v>
      </c>
      <c r="AD131" s="58" t="n">
        <v>4</v>
      </c>
      <c r="AE131" s="59" t="n">
        <f aca="false">AD131*8/$AA$125</f>
        <v>1.06666666666667</v>
      </c>
      <c r="AF131" s="30" t="n">
        <v>20.51</v>
      </c>
      <c r="AG131" s="30" t="n">
        <f aca="false">AE131*AF131</f>
        <v>21.8773333333333</v>
      </c>
    </row>
    <row r="132" customFormat="false" ht="15" hidden="false" customHeight="false" outlineLevel="0" collapsed="false">
      <c r="AG132" s="55" t="n">
        <f aca="false">SUM(AG128:AG131)</f>
        <v>44.2808</v>
      </c>
    </row>
    <row r="133" customFormat="false" ht="15" hidden="false" customHeight="false" outlineLevel="0" collapsed="false">
      <c r="Y133" s="56" t="s">
        <v>293</v>
      </c>
    </row>
    <row r="134" customFormat="false" ht="15" hidden="false" customHeight="false" outlineLevel="0" collapsed="false">
      <c r="Y134" s="1" t="s">
        <v>718</v>
      </c>
      <c r="AB134" s="1" t="s">
        <v>295</v>
      </c>
      <c r="AE134" s="59" t="n">
        <v>0.1</v>
      </c>
      <c r="AF134" s="30" t="n">
        <v>24.52</v>
      </c>
      <c r="AG134" s="30" t="n">
        <f aca="false">AE134*AF134</f>
        <v>2.452</v>
      </c>
    </row>
    <row r="135" customFormat="false" ht="15" hidden="false" customHeight="false" outlineLevel="0" collapsed="false">
      <c r="Y135" s="1" t="s">
        <v>719</v>
      </c>
      <c r="AB135" s="1" t="s">
        <v>295</v>
      </c>
      <c r="AE135" s="59" t="n">
        <v>1.02</v>
      </c>
      <c r="AF135" s="1" t="n">
        <v>358</v>
      </c>
      <c r="AG135" s="30" t="n">
        <f aca="false">AE135*AF135</f>
        <v>365.16</v>
      </c>
    </row>
    <row r="136" customFormat="false" ht="15" hidden="false" customHeight="false" outlineLevel="0" collapsed="false">
      <c r="Y136" s="1" t="s">
        <v>720</v>
      </c>
      <c r="AB136" s="1" t="s">
        <v>304</v>
      </c>
      <c r="AE136" s="59" t="n">
        <v>1.02</v>
      </c>
      <c r="AF136" s="30" t="n">
        <v>30</v>
      </c>
      <c r="AG136" s="30" t="n">
        <f aca="false">AE136*AF136</f>
        <v>30.6</v>
      </c>
    </row>
    <row r="137" customFormat="false" ht="15" hidden="false" customHeight="false" outlineLevel="0" collapsed="false">
      <c r="AG137" s="55" t="n">
        <f aca="false">SUM(AG134:AG136)</f>
        <v>398.212</v>
      </c>
    </row>
    <row r="138" customFormat="false" ht="15" hidden="false" customHeight="false" outlineLevel="0" collapsed="false">
      <c r="Y138" s="56" t="s">
        <v>317</v>
      </c>
    </row>
    <row r="139" customFormat="false" ht="15" hidden="false" customHeight="false" outlineLevel="0" collapsed="false">
      <c r="Y139" s="1" t="s">
        <v>309</v>
      </c>
      <c r="AC139" s="57" t="s">
        <v>310</v>
      </c>
      <c r="AE139" s="59" t="n">
        <v>3</v>
      </c>
      <c r="AF139" s="30" t="n">
        <f aca="false">AG132</f>
        <v>44.2808</v>
      </c>
      <c r="AG139" s="30" t="n">
        <f aca="false">AE139%*AF139</f>
        <v>1.328424</v>
      </c>
    </row>
    <row r="140" customFormat="false" ht="15" hidden="false" customHeight="false" outlineLevel="0" collapsed="false">
      <c r="Y140" s="1" t="s">
        <v>721</v>
      </c>
      <c r="AC140" s="57" t="s">
        <v>337</v>
      </c>
      <c r="AD140" s="58" t="n">
        <v>1</v>
      </c>
      <c r="AE140" s="59" t="n">
        <f aca="false">AD140*8/$AA$125</f>
        <v>0.266666666666667</v>
      </c>
      <c r="AF140" s="30" t="n">
        <v>6.93</v>
      </c>
      <c r="AG140" s="30" t="n">
        <f aca="false">AE140*AF140</f>
        <v>1.848</v>
      </c>
    </row>
    <row r="141" customFormat="false" ht="15" hidden="false" customHeight="false" outlineLevel="0" collapsed="false">
      <c r="X141" s="62"/>
      <c r="Y141" s="62"/>
      <c r="Z141" s="62"/>
      <c r="AA141" s="62"/>
      <c r="AB141" s="62"/>
      <c r="AC141" s="62"/>
      <c r="AD141" s="62"/>
      <c r="AE141" s="62"/>
      <c r="AF141" s="62"/>
      <c r="AG141" s="63" t="n">
        <f aca="false">SUM(AG139:AG140)</f>
        <v>3.176424</v>
      </c>
    </row>
    <row r="143" customFormat="false" ht="15" hidden="false" customHeight="false" outlineLevel="0" collapsed="false">
      <c r="X143" s="14" t="s">
        <v>1327</v>
      </c>
      <c r="Y143" s="14"/>
      <c r="Z143" s="14" t="s">
        <v>596</v>
      </c>
      <c r="AA143" s="14"/>
      <c r="AB143" s="14"/>
      <c r="AC143" s="14"/>
      <c r="AD143" s="14"/>
      <c r="AE143" s="14"/>
      <c r="AF143" s="14"/>
      <c r="AI143" s="189"/>
      <c r="AJ143" s="190"/>
      <c r="AK143" s="190"/>
      <c r="AL143" s="191"/>
      <c r="AM143" s="190"/>
      <c r="AN143" s="190"/>
      <c r="AO143" s="190"/>
      <c r="AP143" s="190"/>
      <c r="AQ143" s="190"/>
      <c r="AR143" s="192"/>
      <c r="AS143" s="190"/>
    </row>
    <row r="144" customFormat="false" ht="15" hidden="false" customHeight="false" outlineLevel="0" collapsed="false">
      <c r="X144" s="14" t="s">
        <v>277</v>
      </c>
      <c r="Y144" s="14" t="s">
        <v>278</v>
      </c>
      <c r="Z144" s="38" t="s">
        <v>279</v>
      </c>
      <c r="AA144" s="54" t="n">
        <v>25</v>
      </c>
      <c r="AB144" s="38" t="s">
        <v>280</v>
      </c>
      <c r="AC144" s="54" t="n">
        <f aca="false">AA144</f>
        <v>25</v>
      </c>
      <c r="AD144" s="14" t="s">
        <v>281</v>
      </c>
      <c r="AF144" s="38" t="s">
        <v>132</v>
      </c>
      <c r="AG144" s="55" t="n">
        <f aca="false">AG151+AG156+AG160</f>
        <v>118.0135648</v>
      </c>
      <c r="AI144" s="193"/>
      <c r="AJ144" s="190"/>
      <c r="AK144" s="191"/>
      <c r="AL144" s="190"/>
      <c r="AM144" s="194"/>
      <c r="AN144" s="194"/>
      <c r="AO144" s="190"/>
      <c r="AP144" s="190"/>
      <c r="AQ144" s="194"/>
      <c r="AR144" s="195"/>
      <c r="AS144" s="190"/>
    </row>
    <row r="145" customFormat="false" ht="15" hidden="false" customHeight="false" outlineLevel="0" collapsed="false">
      <c r="X145" s="14" t="s">
        <v>282</v>
      </c>
      <c r="Y145" s="14" t="s">
        <v>283</v>
      </c>
      <c r="AC145" s="38" t="s">
        <v>121</v>
      </c>
      <c r="AD145" s="38" t="s">
        <v>284</v>
      </c>
      <c r="AE145" s="38" t="s">
        <v>285</v>
      </c>
      <c r="AF145" s="38" t="s">
        <v>286</v>
      </c>
      <c r="AG145" s="38" t="s">
        <v>287</v>
      </c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2"/>
      <c r="AS145" s="190"/>
    </row>
    <row r="146" customFormat="false" ht="15" hidden="false" customHeight="false" outlineLevel="0" collapsed="false">
      <c r="Y146" s="56" t="s">
        <v>288</v>
      </c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2"/>
      <c r="AS146" s="190"/>
    </row>
    <row r="147" customFormat="false" ht="15" hidden="false" customHeight="false" outlineLevel="0" collapsed="false">
      <c r="Y147" s="1" t="s">
        <v>649</v>
      </c>
      <c r="AC147" s="57" t="s">
        <v>290</v>
      </c>
      <c r="AD147" s="58" t="n">
        <v>0.1</v>
      </c>
      <c r="AE147" s="59" t="n">
        <f aca="false">AD147*8/$AA$144</f>
        <v>0.032</v>
      </c>
      <c r="AF147" s="30" t="n">
        <v>34.73</v>
      </c>
      <c r="AG147" s="30" t="n">
        <f aca="false">AE147*AF147</f>
        <v>1.11136</v>
      </c>
      <c r="AI147" s="196"/>
      <c r="AJ147" s="190"/>
      <c r="AK147" s="191"/>
      <c r="AL147" s="190"/>
      <c r="AM147" s="190"/>
      <c r="AN147" s="196"/>
      <c r="AO147" s="190"/>
      <c r="AP147" s="197"/>
      <c r="AQ147" s="197"/>
      <c r="AR147" s="192"/>
      <c r="AS147" s="197"/>
    </row>
    <row r="148" customFormat="false" ht="15" hidden="false" customHeight="false" outlineLevel="0" collapsed="false">
      <c r="Y148" s="1" t="s">
        <v>289</v>
      </c>
      <c r="AC148" s="57" t="s">
        <v>290</v>
      </c>
      <c r="AD148" s="58" t="n">
        <v>1</v>
      </c>
      <c r="AE148" s="59" t="n">
        <f aca="false">AD148*8/$AA$144</f>
        <v>0.32</v>
      </c>
      <c r="AF148" s="30" t="n">
        <v>28.94</v>
      </c>
      <c r="AG148" s="30" t="n">
        <f aca="false">AE148*AF148</f>
        <v>9.2608</v>
      </c>
      <c r="AI148" s="190"/>
      <c r="AJ148" s="190"/>
      <c r="AK148" s="190"/>
      <c r="AL148" s="190"/>
      <c r="AM148" s="198"/>
      <c r="AN148" s="190"/>
      <c r="AO148" s="190"/>
      <c r="AP148" s="190"/>
      <c r="AQ148" s="190"/>
      <c r="AR148" s="192"/>
      <c r="AS148" s="190"/>
    </row>
    <row r="149" customFormat="false" ht="15" hidden="false" customHeight="false" outlineLevel="0" collapsed="false">
      <c r="Y149" s="1" t="s">
        <v>291</v>
      </c>
      <c r="AC149" s="57" t="s">
        <v>290</v>
      </c>
      <c r="AD149" s="58" t="n">
        <v>2</v>
      </c>
      <c r="AE149" s="59" t="n">
        <f aca="false">AD149*8/$AA$144</f>
        <v>0.64</v>
      </c>
      <c r="AF149" s="30" t="n">
        <v>22.66</v>
      </c>
      <c r="AG149" s="30" t="n">
        <f aca="false">AE149*AF149</f>
        <v>14.5024</v>
      </c>
      <c r="AI149" s="193"/>
      <c r="AJ149" s="190"/>
      <c r="AK149" s="193"/>
      <c r="AL149" s="190"/>
      <c r="AM149" s="190"/>
      <c r="AN149" s="193"/>
      <c r="AO149" s="190"/>
      <c r="AP149" s="199"/>
      <c r="AQ149" s="199"/>
      <c r="AR149" s="192"/>
      <c r="AS149" s="192"/>
    </row>
    <row r="150" customFormat="false" ht="15" hidden="false" customHeight="false" outlineLevel="0" collapsed="false">
      <c r="Y150" s="1" t="s">
        <v>292</v>
      </c>
      <c r="AC150" s="57" t="s">
        <v>290</v>
      </c>
      <c r="AD150" s="58" t="n">
        <v>8</v>
      </c>
      <c r="AE150" s="59" t="n">
        <f aca="false">AD150*8/$AA$144</f>
        <v>2.56</v>
      </c>
      <c r="AF150" s="30" t="n">
        <v>20.51</v>
      </c>
      <c r="AG150" s="30" t="n">
        <f aca="false">AE150*AF150</f>
        <v>52.5056</v>
      </c>
      <c r="AI150" s="193"/>
      <c r="AJ150" s="190"/>
      <c r="AK150" s="193"/>
      <c r="AL150" s="190"/>
      <c r="AM150" s="190"/>
      <c r="AN150" s="193"/>
      <c r="AO150" s="190"/>
      <c r="AP150" s="199"/>
      <c r="AQ150" s="199"/>
      <c r="AR150" s="192"/>
      <c r="AS150" s="192"/>
    </row>
    <row r="151" customFormat="false" ht="15" hidden="false" customHeight="false" outlineLevel="0" collapsed="false">
      <c r="AG151" s="55" t="n">
        <f aca="false">SUM(AG147:AG150)</f>
        <v>77.38016</v>
      </c>
      <c r="AI151" s="193"/>
      <c r="AJ151" s="190"/>
      <c r="AK151" s="193"/>
      <c r="AL151" s="190"/>
      <c r="AM151" s="190"/>
      <c r="AN151" s="193"/>
      <c r="AO151" s="190"/>
      <c r="AP151" s="199"/>
      <c r="AQ151" s="199"/>
      <c r="AR151" s="192"/>
      <c r="AS151" s="192"/>
    </row>
    <row r="152" customFormat="false" ht="15" hidden="false" customHeight="false" outlineLevel="0" collapsed="false">
      <c r="Y152" s="56" t="s">
        <v>293</v>
      </c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2"/>
      <c r="AS152" s="195"/>
    </row>
    <row r="153" customFormat="false" ht="15" hidden="false" customHeight="false" outlineLevel="0" collapsed="false">
      <c r="Y153" s="1" t="s">
        <v>722</v>
      </c>
      <c r="AB153" s="1" t="s">
        <v>295</v>
      </c>
      <c r="AE153" s="59" t="n">
        <v>0.1</v>
      </c>
      <c r="AF153" s="30" t="n">
        <v>4.64</v>
      </c>
      <c r="AG153" s="30" t="n">
        <f aca="false">AE153*AF153</f>
        <v>0.464</v>
      </c>
      <c r="AI153" s="190"/>
      <c r="AJ153" s="190"/>
      <c r="AK153" s="190"/>
      <c r="AL153" s="190"/>
      <c r="AM153" s="198"/>
      <c r="AN153" s="190"/>
      <c r="AO153" s="190"/>
      <c r="AP153" s="190"/>
      <c r="AQ153" s="190"/>
      <c r="AR153" s="192"/>
      <c r="AS153" s="190"/>
    </row>
    <row r="154" customFormat="false" ht="15" hidden="false" customHeight="false" outlineLevel="0" collapsed="false">
      <c r="Y154" s="1" t="s">
        <v>723</v>
      </c>
      <c r="AB154" s="1" t="s">
        <v>295</v>
      </c>
      <c r="AE154" s="59" t="n">
        <v>0.15</v>
      </c>
      <c r="AF154" s="1" t="n">
        <v>4.16</v>
      </c>
      <c r="AG154" s="30" t="n">
        <f aca="false">AE154*AF154</f>
        <v>0.624</v>
      </c>
      <c r="AI154" s="193"/>
      <c r="AJ154" s="190"/>
      <c r="AK154" s="193"/>
      <c r="AL154" s="190"/>
      <c r="AM154" s="190"/>
      <c r="AN154" s="193"/>
      <c r="AO154" s="190"/>
      <c r="AP154" s="190"/>
      <c r="AQ154" s="199"/>
      <c r="AR154" s="192"/>
      <c r="AS154" s="192"/>
    </row>
    <row r="155" customFormat="false" ht="15" hidden="false" customHeight="false" outlineLevel="0" collapsed="false">
      <c r="Y155" s="1" t="s">
        <v>307</v>
      </c>
      <c r="AB155" s="1" t="s">
        <v>304</v>
      </c>
      <c r="AE155" s="59" t="n">
        <v>4.03</v>
      </c>
      <c r="AF155" s="30" t="n">
        <v>8.8</v>
      </c>
      <c r="AG155" s="30" t="n">
        <f aca="false">AE155*AF155</f>
        <v>35.464</v>
      </c>
      <c r="AI155" s="193"/>
      <c r="AJ155" s="190"/>
      <c r="AK155" s="193"/>
      <c r="AL155" s="190"/>
      <c r="AM155" s="190"/>
      <c r="AN155" s="193"/>
      <c r="AO155" s="190"/>
      <c r="AP155" s="190"/>
      <c r="AQ155" s="199"/>
      <c r="AR155" s="192"/>
      <c r="AS155" s="192"/>
    </row>
    <row r="156" customFormat="false" ht="15" hidden="false" customHeight="false" outlineLevel="0" collapsed="false">
      <c r="AG156" s="55" t="n">
        <f aca="false">SUM(AG153:AG155)</f>
        <v>36.552</v>
      </c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2"/>
      <c r="AS156" s="195"/>
    </row>
    <row r="157" customFormat="false" ht="15" hidden="false" customHeight="false" outlineLevel="0" collapsed="false">
      <c r="Y157" s="56" t="s">
        <v>317</v>
      </c>
      <c r="AI157" s="190"/>
      <c r="AJ157" s="190"/>
      <c r="AK157" s="190"/>
      <c r="AL157" s="190"/>
      <c r="AM157" s="198"/>
      <c r="AN157" s="190"/>
      <c r="AO157" s="190"/>
      <c r="AP157" s="190"/>
      <c r="AQ157" s="190"/>
      <c r="AR157" s="192"/>
      <c r="AS157" s="190"/>
    </row>
    <row r="158" customFormat="false" ht="15" hidden="false" customHeight="false" outlineLevel="0" collapsed="false">
      <c r="Y158" s="1" t="s">
        <v>309</v>
      </c>
      <c r="AC158" s="57" t="s">
        <v>310</v>
      </c>
      <c r="AE158" s="59" t="n">
        <v>3</v>
      </c>
      <c r="AF158" s="30" t="n">
        <f aca="false">AG151</f>
        <v>77.38016</v>
      </c>
      <c r="AG158" s="30" t="n">
        <f aca="false">AE158%*AF158</f>
        <v>2.3214048</v>
      </c>
      <c r="AS158" s="192"/>
    </row>
    <row r="159" customFormat="false" ht="15" hidden="false" customHeight="false" outlineLevel="0" collapsed="false">
      <c r="Y159" s="1" t="s">
        <v>724</v>
      </c>
      <c r="AC159" s="57" t="s">
        <v>337</v>
      </c>
      <c r="AD159" s="58" t="n">
        <v>1</v>
      </c>
      <c r="AE159" s="59" t="n">
        <f aca="false">AD159*8/$AA$144</f>
        <v>0.32</v>
      </c>
      <c r="AF159" s="30" t="n">
        <v>5.5</v>
      </c>
      <c r="AG159" s="30" t="n">
        <f aca="false">AE159*AF159</f>
        <v>1.76</v>
      </c>
      <c r="AS159" s="192"/>
    </row>
    <row r="160" customFormat="false" ht="15" hidden="false" customHeight="false" outlineLevel="0" collapsed="false">
      <c r="X160" s="62"/>
      <c r="Y160" s="62"/>
      <c r="Z160" s="62"/>
      <c r="AA160" s="62"/>
      <c r="AB160" s="62"/>
      <c r="AC160" s="62"/>
      <c r="AD160" s="62"/>
      <c r="AE160" s="62"/>
      <c r="AF160" s="62"/>
      <c r="AG160" s="63" t="n">
        <f aca="false">SUM(AG158:AG159)</f>
        <v>4.0814048</v>
      </c>
      <c r="AS160" s="195"/>
    </row>
    <row r="162" customFormat="false" ht="15" hidden="false" customHeight="false" outlineLevel="0" collapsed="false">
      <c r="X162" s="14" t="s">
        <v>276</v>
      </c>
      <c r="Y162" s="14"/>
      <c r="Z162" s="14" t="s">
        <v>598</v>
      </c>
      <c r="AA162" s="14"/>
    </row>
    <row r="163" customFormat="false" ht="15" hidden="false" customHeight="false" outlineLevel="0" collapsed="false">
      <c r="X163" s="14" t="s">
        <v>277</v>
      </c>
      <c r="Y163" s="14" t="s">
        <v>415</v>
      </c>
      <c r="Z163" s="38" t="s">
        <v>279</v>
      </c>
      <c r="AA163" s="54" t="n">
        <v>1</v>
      </c>
      <c r="AB163" s="38" t="s">
        <v>280</v>
      </c>
      <c r="AC163" s="54" t="n">
        <f aca="false">AA163</f>
        <v>1</v>
      </c>
      <c r="AD163" s="14" t="s">
        <v>281</v>
      </c>
      <c r="AF163" s="38" t="s">
        <v>202</v>
      </c>
      <c r="AG163" s="55" t="n">
        <f aca="false">AG167</f>
        <v>358</v>
      </c>
    </row>
    <row r="164" customFormat="false" ht="15" hidden="false" customHeight="false" outlineLevel="0" collapsed="false">
      <c r="X164" s="14" t="s">
        <v>282</v>
      </c>
      <c r="Y164" s="14" t="s">
        <v>283</v>
      </c>
      <c r="AC164" s="38" t="s">
        <v>121</v>
      </c>
      <c r="AD164" s="38" t="s">
        <v>284</v>
      </c>
      <c r="AE164" s="38" t="s">
        <v>285</v>
      </c>
      <c r="AF164" s="38" t="s">
        <v>286</v>
      </c>
      <c r="AG164" s="38" t="s">
        <v>287</v>
      </c>
    </row>
    <row r="165" customFormat="false" ht="15" hidden="false" customHeight="false" outlineLevel="0" collapsed="false">
      <c r="Y165" s="56" t="s">
        <v>288</v>
      </c>
    </row>
    <row r="166" customFormat="false" ht="15" hidden="false" customHeight="false" outlineLevel="0" collapsed="false">
      <c r="Y166" s="1" t="s">
        <v>598</v>
      </c>
      <c r="AE166" s="59" t="n">
        <v>1</v>
      </c>
      <c r="AF166" s="30" t="n">
        <v>358</v>
      </c>
      <c r="AG166" s="30" t="n">
        <f aca="false">AE166*AF166</f>
        <v>358</v>
      </c>
    </row>
    <row r="167" customFormat="false" ht="15" hidden="false" customHeight="false" outlineLevel="0" collapsed="false">
      <c r="X167" s="62"/>
      <c r="Y167" s="62"/>
      <c r="Z167" s="62"/>
      <c r="AA167" s="62"/>
      <c r="AB167" s="62"/>
      <c r="AC167" s="66"/>
      <c r="AD167" s="62"/>
      <c r="AE167" s="68"/>
      <c r="AF167" s="69"/>
      <c r="AG167" s="63" t="n">
        <f aca="false">SUM(AG166)</f>
        <v>358</v>
      </c>
    </row>
    <row r="169" customFormat="false" ht="15" hidden="false" customHeight="false" outlineLevel="0" collapsed="false">
      <c r="X169" s="14" t="s">
        <v>1327</v>
      </c>
      <c r="Y169" s="14"/>
      <c r="Z169" s="14" t="s">
        <v>1344</v>
      </c>
      <c r="AA169" s="14"/>
      <c r="AB169" s="14"/>
      <c r="AC169" s="14"/>
      <c r="AD169" s="14"/>
      <c r="AE169" s="14"/>
      <c r="AF169" s="14"/>
    </row>
    <row r="170" customFormat="false" ht="15" hidden="false" customHeight="false" outlineLevel="0" collapsed="false">
      <c r="X170" s="14" t="s">
        <v>277</v>
      </c>
      <c r="Y170" s="14" t="s">
        <v>278</v>
      </c>
      <c r="Z170" s="38" t="s">
        <v>279</v>
      </c>
      <c r="AA170" s="54" t="n">
        <v>250</v>
      </c>
      <c r="AB170" s="38" t="s">
        <v>280</v>
      </c>
      <c r="AC170" s="54" t="n">
        <f aca="false">AA170</f>
        <v>250</v>
      </c>
      <c r="AD170" s="14" t="s">
        <v>281</v>
      </c>
      <c r="AF170" s="38" t="s">
        <v>132</v>
      </c>
      <c r="AG170" s="55" t="n">
        <f aca="false">AG174+AG177+AG180</f>
        <v>2.9418736</v>
      </c>
    </row>
    <row r="171" customFormat="false" ht="15" hidden="false" customHeight="false" outlineLevel="0" collapsed="false">
      <c r="X171" s="14" t="s">
        <v>282</v>
      </c>
      <c r="Y171" s="14" t="s">
        <v>283</v>
      </c>
      <c r="AC171" s="38" t="s">
        <v>121</v>
      </c>
      <c r="AD171" s="38" t="s">
        <v>284</v>
      </c>
      <c r="AE171" s="38" t="s">
        <v>285</v>
      </c>
      <c r="AF171" s="38" t="s">
        <v>286</v>
      </c>
      <c r="AG171" s="38" t="s">
        <v>287</v>
      </c>
    </row>
    <row r="172" customFormat="false" ht="15" hidden="false" customHeight="false" outlineLevel="0" collapsed="false">
      <c r="Y172" s="56" t="s">
        <v>288</v>
      </c>
    </row>
    <row r="173" customFormat="false" ht="15" hidden="false" customHeight="false" outlineLevel="0" collapsed="false">
      <c r="Y173" s="1" t="s">
        <v>291</v>
      </c>
      <c r="AC173" s="57" t="s">
        <v>290</v>
      </c>
      <c r="AD173" s="58" t="n">
        <v>1</v>
      </c>
      <c r="AE173" s="59" t="n">
        <f aca="false">AD173*8/$AA$170</f>
        <v>0.032</v>
      </c>
      <c r="AF173" s="30" t="n">
        <v>22.66</v>
      </c>
      <c r="AG173" s="30" t="n">
        <f aca="false">AE173*AF173</f>
        <v>0.72512</v>
      </c>
    </row>
    <row r="174" customFormat="false" ht="15" hidden="false" customHeight="false" outlineLevel="0" collapsed="false">
      <c r="AC174" s="57"/>
      <c r="AD174" s="58"/>
      <c r="AE174" s="59"/>
      <c r="AF174" s="30"/>
      <c r="AG174" s="55" t="n">
        <f aca="false">SUM(AG173:AG173)</f>
        <v>0.72512</v>
      </c>
    </row>
    <row r="175" customFormat="false" ht="15" hidden="false" customHeight="false" outlineLevel="0" collapsed="false">
      <c r="Y175" s="56" t="s">
        <v>293</v>
      </c>
    </row>
    <row r="176" customFormat="false" ht="15" hidden="false" customHeight="false" outlineLevel="0" collapsed="false">
      <c r="Y176" s="1" t="s">
        <v>725</v>
      </c>
      <c r="AC176" s="57" t="s">
        <v>437</v>
      </c>
      <c r="AE176" s="59" t="n">
        <v>0.05</v>
      </c>
      <c r="AF176" s="30" t="n">
        <v>43.9</v>
      </c>
      <c r="AG176" s="30" t="n">
        <f aca="false">AE176*AF176</f>
        <v>2.195</v>
      </c>
    </row>
    <row r="177" customFormat="false" ht="15" hidden="false" customHeight="false" outlineLevel="0" collapsed="false">
      <c r="AG177" s="55" t="n">
        <f aca="false">SUM(AG176)</f>
        <v>2.195</v>
      </c>
    </row>
    <row r="178" customFormat="false" ht="15" hidden="false" customHeight="false" outlineLevel="0" collapsed="false">
      <c r="Y178" s="56" t="s">
        <v>317</v>
      </c>
    </row>
    <row r="179" customFormat="false" ht="15" hidden="false" customHeight="false" outlineLevel="0" collapsed="false">
      <c r="Y179" s="1" t="s">
        <v>309</v>
      </c>
      <c r="AC179" s="57" t="s">
        <v>310</v>
      </c>
      <c r="AE179" s="59" t="n">
        <v>3</v>
      </c>
      <c r="AF179" s="30" t="n">
        <f aca="false">AG174</f>
        <v>0.72512</v>
      </c>
      <c r="AG179" s="30" t="n">
        <f aca="false">AE179%*AF179</f>
        <v>0.0217536</v>
      </c>
    </row>
    <row r="180" customFormat="false" ht="15" hidden="false" customHeight="false" outlineLevel="0" collapsed="false">
      <c r="X180" s="62"/>
      <c r="Y180" s="62"/>
      <c r="Z180" s="62"/>
      <c r="AA180" s="62"/>
      <c r="AB180" s="62"/>
      <c r="AC180" s="62"/>
      <c r="AD180" s="62"/>
      <c r="AE180" s="62"/>
      <c r="AF180" s="62"/>
      <c r="AG180" s="63" t="n">
        <f aca="false">SUM(AG179)</f>
        <v>0.0217536</v>
      </c>
    </row>
    <row r="181" customFormat="false" ht="15" hidden="false" customHeight="false" outlineLevel="0" collapsed="false">
      <c r="AE181" s="59"/>
      <c r="AF181" s="30"/>
      <c r="AG181" s="30"/>
    </row>
    <row r="182" customFormat="false" ht="15" hidden="false" customHeight="false" outlineLevel="0" collapsed="false">
      <c r="X182" s="14" t="s">
        <v>1327</v>
      </c>
      <c r="Y182" s="14"/>
      <c r="Z182" s="14" t="s">
        <v>602</v>
      </c>
      <c r="AA182" s="14"/>
      <c r="AB182" s="14"/>
      <c r="AC182" s="14"/>
      <c r="AD182" s="14"/>
      <c r="AE182" s="14"/>
      <c r="AF182" s="14"/>
    </row>
    <row r="183" customFormat="false" ht="15" hidden="false" customHeight="false" outlineLevel="0" collapsed="false">
      <c r="X183" s="14" t="s">
        <v>277</v>
      </c>
      <c r="Y183" s="14" t="s">
        <v>313</v>
      </c>
      <c r="Z183" s="38" t="s">
        <v>279</v>
      </c>
      <c r="AA183" s="54" t="n">
        <v>100</v>
      </c>
      <c r="AB183" s="38" t="s">
        <v>280</v>
      </c>
      <c r="AC183" s="54" t="n">
        <f aca="false">AA183</f>
        <v>100</v>
      </c>
      <c r="AD183" s="14" t="s">
        <v>281</v>
      </c>
      <c r="AF183" s="38" t="s">
        <v>143</v>
      </c>
      <c r="AG183" s="55" t="n">
        <f aca="false">AG188+AG192+AG195</f>
        <v>19.2386832</v>
      </c>
    </row>
    <row r="184" customFormat="false" ht="15" hidden="false" customHeight="false" outlineLevel="0" collapsed="false">
      <c r="X184" s="14" t="s">
        <v>282</v>
      </c>
      <c r="Y184" s="14" t="s">
        <v>283</v>
      </c>
      <c r="AC184" s="38" t="s">
        <v>121</v>
      </c>
      <c r="AD184" s="38" t="s">
        <v>284</v>
      </c>
      <c r="AE184" s="38" t="s">
        <v>285</v>
      </c>
      <c r="AF184" s="38" t="s">
        <v>286</v>
      </c>
      <c r="AG184" s="38" t="s">
        <v>287</v>
      </c>
    </row>
    <row r="185" customFormat="false" ht="15" hidden="false" customHeight="false" outlineLevel="0" collapsed="false">
      <c r="Y185" s="56" t="s">
        <v>288</v>
      </c>
    </row>
    <row r="186" customFormat="false" ht="15" hidden="false" customHeight="false" outlineLevel="0" collapsed="false">
      <c r="Y186" s="1" t="s">
        <v>649</v>
      </c>
      <c r="AC186" s="57" t="s">
        <v>290</v>
      </c>
      <c r="AD186" s="58" t="n">
        <v>1</v>
      </c>
      <c r="AE186" s="59" t="n">
        <f aca="false">AD186*8/$AA$183</f>
        <v>0.08</v>
      </c>
      <c r="AF186" s="30" t="n">
        <v>34.73</v>
      </c>
      <c r="AG186" s="30" t="n">
        <f aca="false">AE186*AF186</f>
        <v>2.7784</v>
      </c>
    </row>
    <row r="187" customFormat="false" ht="15" hidden="false" customHeight="false" outlineLevel="0" collapsed="false">
      <c r="Y187" s="1" t="s">
        <v>289</v>
      </c>
      <c r="AC187" s="57" t="s">
        <v>290</v>
      </c>
      <c r="AD187" s="58" t="n">
        <v>0.2</v>
      </c>
      <c r="AE187" s="59" t="n">
        <f aca="false">AD187*8/$AA$183</f>
        <v>0.016</v>
      </c>
      <c r="AF187" s="30" t="n">
        <v>28.94</v>
      </c>
      <c r="AG187" s="30" t="n">
        <f aca="false">AE187*AF187</f>
        <v>0.46304</v>
      </c>
    </row>
    <row r="188" customFormat="false" ht="15" hidden="false" customHeight="false" outlineLevel="0" collapsed="false">
      <c r="AC188" s="57"/>
      <c r="AD188" s="58"/>
      <c r="AE188" s="59"/>
      <c r="AF188" s="30"/>
      <c r="AG188" s="55" t="n">
        <f aca="false">SUM(AG186:AG187)</f>
        <v>3.24144</v>
      </c>
    </row>
    <row r="189" customFormat="false" ht="15" hidden="false" customHeight="false" outlineLevel="0" collapsed="false">
      <c r="Y189" s="56" t="s">
        <v>293</v>
      </c>
      <c r="AC189" s="57"/>
    </row>
    <row r="190" customFormat="false" ht="15" hidden="false" customHeight="false" outlineLevel="0" collapsed="false">
      <c r="Y190" s="1" t="s">
        <v>726</v>
      </c>
      <c r="AC190" s="57" t="s">
        <v>132</v>
      </c>
      <c r="AE190" s="59" t="n">
        <v>0.05</v>
      </c>
      <c r="AF190" s="30" t="n">
        <v>18</v>
      </c>
      <c r="AG190" s="30" t="n">
        <f aca="false">AE190*AF190</f>
        <v>0.9</v>
      </c>
    </row>
    <row r="191" customFormat="false" ht="15" hidden="false" customHeight="false" outlineLevel="0" collapsed="false">
      <c r="Y191" s="1" t="s">
        <v>727</v>
      </c>
      <c r="AC191" s="57" t="s">
        <v>437</v>
      </c>
      <c r="AE191" s="59" t="n">
        <v>0.1</v>
      </c>
      <c r="AF191" s="30" t="n">
        <v>150</v>
      </c>
      <c r="AG191" s="30" t="n">
        <f aca="false">AE191*AF191</f>
        <v>15</v>
      </c>
    </row>
    <row r="192" customFormat="false" ht="15" hidden="false" customHeight="false" outlineLevel="0" collapsed="false">
      <c r="AG192" s="55" t="n">
        <f aca="false">SUM(AG190:AG191)</f>
        <v>15.9</v>
      </c>
    </row>
    <row r="193" customFormat="false" ht="15" hidden="false" customHeight="false" outlineLevel="0" collapsed="false">
      <c r="Y193" s="56" t="s">
        <v>317</v>
      </c>
    </row>
    <row r="194" customFormat="false" ht="15" hidden="false" customHeight="false" outlineLevel="0" collapsed="false">
      <c r="Y194" s="1" t="s">
        <v>309</v>
      </c>
      <c r="AC194" s="57" t="s">
        <v>310</v>
      </c>
      <c r="AE194" s="59" t="n">
        <v>3</v>
      </c>
      <c r="AF194" s="30" t="n">
        <f aca="false">AG188</f>
        <v>3.24144</v>
      </c>
      <c r="AG194" s="30" t="n">
        <f aca="false">AE194%*AF194</f>
        <v>0.0972432</v>
      </c>
    </row>
    <row r="195" customFormat="false" ht="15" hidden="false" customHeight="false" outlineLevel="0" collapsed="false">
      <c r="X195" s="62"/>
      <c r="Y195" s="62"/>
      <c r="Z195" s="62"/>
      <c r="AA195" s="62"/>
      <c r="AB195" s="62"/>
      <c r="AC195" s="62"/>
      <c r="AD195" s="62"/>
      <c r="AE195" s="62"/>
      <c r="AF195" s="62"/>
      <c r="AG195" s="63" t="n">
        <f aca="false">SUM(AG194)</f>
        <v>0.0972432</v>
      </c>
    </row>
    <row r="197" customFormat="false" ht="15" hidden="false" customHeight="false" outlineLevel="0" collapsed="false">
      <c r="X197" s="14" t="s">
        <v>1327</v>
      </c>
      <c r="Y197" s="14"/>
      <c r="Z197" s="14" t="s">
        <v>604</v>
      </c>
      <c r="AA197" s="14"/>
      <c r="AB197" s="14"/>
      <c r="AC197" s="14"/>
      <c r="AD197" s="14"/>
      <c r="AE197" s="14"/>
      <c r="AF197" s="14"/>
    </row>
    <row r="198" customFormat="false" ht="15" hidden="false" customHeight="false" outlineLevel="0" collapsed="false">
      <c r="X198" s="14" t="s">
        <v>277</v>
      </c>
      <c r="Y198" s="14" t="s">
        <v>313</v>
      </c>
      <c r="Z198" s="38" t="s">
        <v>279</v>
      </c>
      <c r="AA198" s="54" t="n">
        <v>100</v>
      </c>
      <c r="AB198" s="38" t="s">
        <v>280</v>
      </c>
      <c r="AC198" s="54" t="n">
        <f aca="false">AA198</f>
        <v>100</v>
      </c>
      <c r="AD198" s="14" t="s">
        <v>281</v>
      </c>
      <c r="AF198" s="38" t="s">
        <v>143</v>
      </c>
      <c r="AG198" s="55" t="n">
        <f aca="false">AG203+AG207+AG210</f>
        <v>19.2386832</v>
      </c>
    </row>
    <row r="199" customFormat="false" ht="15" hidden="false" customHeight="false" outlineLevel="0" collapsed="false">
      <c r="X199" s="14" t="s">
        <v>282</v>
      </c>
      <c r="Y199" s="14" t="s">
        <v>283</v>
      </c>
      <c r="AC199" s="38" t="s">
        <v>121</v>
      </c>
      <c r="AD199" s="38" t="s">
        <v>284</v>
      </c>
      <c r="AE199" s="38" t="s">
        <v>285</v>
      </c>
      <c r="AF199" s="38" t="s">
        <v>286</v>
      </c>
      <c r="AG199" s="38" t="s">
        <v>287</v>
      </c>
    </row>
    <row r="200" customFormat="false" ht="15" hidden="false" customHeight="false" outlineLevel="0" collapsed="false">
      <c r="Y200" s="56" t="s">
        <v>288</v>
      </c>
    </row>
    <row r="201" customFormat="false" ht="15" hidden="false" customHeight="false" outlineLevel="0" collapsed="false">
      <c r="Y201" s="1" t="s">
        <v>649</v>
      </c>
      <c r="AC201" s="57" t="s">
        <v>290</v>
      </c>
      <c r="AD201" s="58" t="n">
        <v>1</v>
      </c>
      <c r="AE201" s="59" t="n">
        <f aca="false">AD201*8/$AA$198</f>
        <v>0.08</v>
      </c>
      <c r="AF201" s="30" t="n">
        <v>34.73</v>
      </c>
      <c r="AG201" s="30" t="n">
        <f aca="false">AE201*AF201</f>
        <v>2.7784</v>
      </c>
    </row>
    <row r="202" customFormat="false" ht="15" hidden="false" customHeight="false" outlineLevel="0" collapsed="false">
      <c r="Y202" s="1" t="s">
        <v>289</v>
      </c>
      <c r="AC202" s="57" t="s">
        <v>290</v>
      </c>
      <c r="AD202" s="58" t="n">
        <v>0.2</v>
      </c>
      <c r="AE202" s="59" t="n">
        <f aca="false">AD202*8/$AA$198</f>
        <v>0.016</v>
      </c>
      <c r="AF202" s="30" t="n">
        <v>28.94</v>
      </c>
      <c r="AG202" s="30" t="n">
        <f aca="false">AE202*AF202</f>
        <v>0.46304</v>
      </c>
    </row>
    <row r="203" customFormat="false" ht="15" hidden="false" customHeight="false" outlineLevel="0" collapsed="false">
      <c r="AC203" s="57"/>
      <c r="AD203" s="58"/>
      <c r="AE203" s="59"/>
      <c r="AF203" s="30"/>
      <c r="AG203" s="55" t="n">
        <f aca="false">SUM(AG201:AG202)</f>
        <v>3.24144</v>
      </c>
    </row>
    <row r="204" customFormat="false" ht="15" hidden="false" customHeight="false" outlineLevel="0" collapsed="false">
      <c r="Y204" s="56" t="s">
        <v>293</v>
      </c>
      <c r="AC204" s="57"/>
    </row>
    <row r="205" customFormat="false" ht="15" hidden="false" customHeight="false" outlineLevel="0" collapsed="false">
      <c r="Y205" s="1" t="s">
        <v>726</v>
      </c>
      <c r="AC205" s="57" t="s">
        <v>132</v>
      </c>
      <c r="AE205" s="59" t="n">
        <v>0.05</v>
      </c>
      <c r="AF205" s="30" t="n">
        <v>18</v>
      </c>
      <c r="AG205" s="30" t="n">
        <f aca="false">AE205*AF205</f>
        <v>0.9</v>
      </c>
    </row>
    <row r="206" customFormat="false" ht="15" hidden="false" customHeight="false" outlineLevel="0" collapsed="false">
      <c r="Y206" s="1" t="s">
        <v>727</v>
      </c>
      <c r="AC206" s="57" t="s">
        <v>437</v>
      </c>
      <c r="AE206" s="59" t="n">
        <v>0.1</v>
      </c>
      <c r="AF206" s="30" t="n">
        <v>150</v>
      </c>
      <c r="AG206" s="30" t="n">
        <f aca="false">AE206*AF206</f>
        <v>15</v>
      </c>
    </row>
    <row r="207" customFormat="false" ht="15" hidden="false" customHeight="false" outlineLevel="0" collapsed="false">
      <c r="AG207" s="55" t="n">
        <f aca="false">SUM(AG205:AG206)</f>
        <v>15.9</v>
      </c>
    </row>
    <row r="208" customFormat="false" ht="15" hidden="false" customHeight="false" outlineLevel="0" collapsed="false">
      <c r="Y208" s="56" t="s">
        <v>317</v>
      </c>
    </row>
    <row r="209" customFormat="false" ht="15" hidden="false" customHeight="false" outlineLevel="0" collapsed="false">
      <c r="Y209" s="1" t="s">
        <v>309</v>
      </c>
      <c r="AC209" s="57" t="s">
        <v>310</v>
      </c>
      <c r="AE209" s="59" t="n">
        <v>3</v>
      </c>
      <c r="AF209" s="30" t="n">
        <f aca="false">AG203</f>
        <v>3.24144</v>
      </c>
      <c r="AG209" s="30" t="n">
        <f aca="false">AE209%*AF209</f>
        <v>0.0972432</v>
      </c>
    </row>
    <row r="210" customFormat="false" ht="15" hidden="false" customHeight="false" outlineLevel="0" collapsed="false">
      <c r="X210" s="62"/>
      <c r="Y210" s="62"/>
      <c r="Z210" s="62"/>
      <c r="AA210" s="62"/>
      <c r="AB210" s="62"/>
      <c r="AC210" s="62"/>
      <c r="AD210" s="62"/>
      <c r="AE210" s="62"/>
      <c r="AF210" s="62"/>
      <c r="AG210" s="63" t="n">
        <f aca="false">SUM(AG209)</f>
        <v>0.0972432</v>
      </c>
    </row>
    <row r="212" customFormat="false" ht="15" hidden="false" customHeight="false" outlineLevel="0" collapsed="false">
      <c r="X212" s="14" t="s">
        <v>276</v>
      </c>
      <c r="Y212" s="14"/>
      <c r="Z212" s="14" t="s">
        <v>606</v>
      </c>
      <c r="AA212" s="14"/>
    </row>
    <row r="213" customFormat="false" ht="15" hidden="false" customHeight="false" outlineLevel="0" collapsed="false">
      <c r="X213" s="14" t="s">
        <v>277</v>
      </c>
      <c r="Y213" s="14" t="s">
        <v>313</v>
      </c>
      <c r="Z213" s="38" t="s">
        <v>279</v>
      </c>
      <c r="AA213" s="54" t="n">
        <v>1</v>
      </c>
      <c r="AB213" s="38" t="s">
        <v>280</v>
      </c>
      <c r="AC213" s="54" t="n">
        <f aca="false">AA213</f>
        <v>1</v>
      </c>
      <c r="AD213" s="14" t="s">
        <v>281</v>
      </c>
      <c r="AF213" s="38" t="s">
        <v>143</v>
      </c>
      <c r="AG213" s="55" t="n">
        <f aca="false">AG217</f>
        <v>616.64</v>
      </c>
    </row>
    <row r="214" customFormat="false" ht="15" hidden="false" customHeight="false" outlineLevel="0" collapsed="false">
      <c r="X214" s="14" t="s">
        <v>282</v>
      </c>
      <c r="Y214" s="14" t="s">
        <v>283</v>
      </c>
      <c r="AC214" s="38" t="s">
        <v>121</v>
      </c>
      <c r="AD214" s="38" t="s">
        <v>284</v>
      </c>
      <c r="AE214" s="38" t="s">
        <v>285</v>
      </c>
      <c r="AF214" s="38" t="s">
        <v>286</v>
      </c>
      <c r="AG214" s="38" t="s">
        <v>287</v>
      </c>
    </row>
    <row r="215" customFormat="false" ht="15" hidden="false" customHeight="false" outlineLevel="0" collapsed="false">
      <c r="Y215" s="56" t="s">
        <v>288</v>
      </c>
    </row>
    <row r="216" customFormat="false" ht="15" hidden="false" customHeight="false" outlineLevel="0" collapsed="false">
      <c r="Y216" s="1" t="s">
        <v>606</v>
      </c>
      <c r="AE216" s="59" t="n">
        <v>1</v>
      </c>
      <c r="AF216" s="30" t="n">
        <v>616.64</v>
      </c>
      <c r="AG216" s="30" t="n">
        <f aca="false">AE216*AF216</f>
        <v>616.64</v>
      </c>
    </row>
    <row r="217" customFormat="false" ht="15" hidden="false" customHeight="false" outlineLevel="0" collapsed="false">
      <c r="X217" s="62"/>
      <c r="Y217" s="62"/>
      <c r="Z217" s="62"/>
      <c r="AA217" s="62"/>
      <c r="AB217" s="62"/>
      <c r="AC217" s="66"/>
      <c r="AD217" s="62"/>
      <c r="AE217" s="68"/>
      <c r="AF217" s="69"/>
      <c r="AG217" s="63" t="n">
        <f aca="false">SUM(AG216)</f>
        <v>616.64</v>
      </c>
    </row>
    <row r="219" customFormat="false" ht="15" hidden="false" customHeight="false" outlineLevel="0" collapsed="false">
      <c r="X219" s="14" t="s">
        <v>1327</v>
      </c>
      <c r="Y219" s="14"/>
      <c r="Z219" s="14" t="s">
        <v>1339</v>
      </c>
      <c r="AA219" s="14"/>
      <c r="AB219" s="14"/>
      <c r="AC219" s="14"/>
      <c r="AD219" s="14"/>
      <c r="AE219" s="14"/>
      <c r="AF219" s="14"/>
    </row>
    <row r="220" customFormat="false" ht="15" hidden="false" customHeight="false" outlineLevel="0" collapsed="false">
      <c r="X220" s="14" t="s">
        <v>277</v>
      </c>
      <c r="Y220" s="14" t="s">
        <v>278</v>
      </c>
      <c r="Z220" s="38" t="s">
        <v>279</v>
      </c>
      <c r="AA220" s="54" t="n">
        <v>10</v>
      </c>
      <c r="AB220" s="38" t="s">
        <v>280</v>
      </c>
      <c r="AC220" s="54" t="n">
        <f aca="false">AA220</f>
        <v>10</v>
      </c>
      <c r="AD220" s="14" t="s">
        <v>281</v>
      </c>
      <c r="AF220" s="38" t="s">
        <v>132</v>
      </c>
      <c r="AG220" s="55" t="n">
        <f aca="false">AG226+AG230+AG233</f>
        <v>51.058432</v>
      </c>
    </row>
    <row r="221" customFormat="false" ht="15" hidden="false" customHeight="false" outlineLevel="0" collapsed="false">
      <c r="X221" s="14" t="s">
        <v>282</v>
      </c>
      <c r="Y221" s="14" t="s">
        <v>283</v>
      </c>
      <c r="AC221" s="38" t="s">
        <v>121</v>
      </c>
      <c r="AD221" s="38" t="s">
        <v>284</v>
      </c>
      <c r="AE221" s="38" t="s">
        <v>285</v>
      </c>
      <c r="AF221" s="38" t="s">
        <v>286</v>
      </c>
      <c r="AG221" s="38" t="s">
        <v>287</v>
      </c>
    </row>
    <row r="222" customFormat="false" ht="15" hidden="false" customHeight="false" outlineLevel="0" collapsed="false">
      <c r="Y222" s="56" t="s">
        <v>288</v>
      </c>
    </row>
    <row r="223" customFormat="false" ht="15" hidden="false" customHeight="false" outlineLevel="0" collapsed="false">
      <c r="Y223" s="1" t="s">
        <v>649</v>
      </c>
      <c r="AC223" s="57" t="s">
        <v>290</v>
      </c>
      <c r="AD223" s="58" t="n">
        <v>0.1</v>
      </c>
      <c r="AE223" s="59" t="n">
        <f aca="false">AD223*8/$AA$220</f>
        <v>0.08</v>
      </c>
      <c r="AF223" s="30" t="n">
        <v>34.73</v>
      </c>
      <c r="AG223" s="30" t="n">
        <f aca="false">AE223*AF223</f>
        <v>2.7784</v>
      </c>
    </row>
    <row r="224" customFormat="false" ht="15" hidden="false" customHeight="false" outlineLevel="0" collapsed="false">
      <c r="Y224" s="1" t="s">
        <v>289</v>
      </c>
      <c r="AC224" s="57" t="s">
        <v>290</v>
      </c>
      <c r="AD224" s="58" t="n">
        <v>1</v>
      </c>
      <c r="AE224" s="59" t="n">
        <f aca="false">AD224*8/$AA$220</f>
        <v>0.8</v>
      </c>
      <c r="AF224" s="30" t="n">
        <v>28.94</v>
      </c>
      <c r="AG224" s="30" t="n">
        <f aca="false">AE224*AF224</f>
        <v>23.152</v>
      </c>
    </row>
    <row r="225" customFormat="false" ht="15" hidden="false" customHeight="false" outlineLevel="0" collapsed="false">
      <c r="Y225" s="1" t="s">
        <v>292</v>
      </c>
      <c r="AC225" s="57" t="s">
        <v>290</v>
      </c>
      <c r="AD225" s="58" t="n">
        <v>0.5</v>
      </c>
      <c r="AE225" s="59" t="n">
        <f aca="false">AD225*8/$AA$220</f>
        <v>0.4</v>
      </c>
      <c r="AF225" s="30" t="n">
        <v>20.51</v>
      </c>
      <c r="AG225" s="30" t="n">
        <f aca="false">AE225*AF225</f>
        <v>8.204</v>
      </c>
    </row>
    <row r="226" customFormat="false" ht="15" hidden="false" customHeight="false" outlineLevel="0" collapsed="false">
      <c r="AG226" s="55" t="n">
        <f aca="false">SUM(AG223:AG225)</f>
        <v>34.1344</v>
      </c>
    </row>
    <row r="227" customFormat="false" ht="15" hidden="false" customHeight="false" outlineLevel="0" collapsed="false">
      <c r="Y227" s="56" t="s">
        <v>293</v>
      </c>
      <c r="AC227" s="57"/>
    </row>
    <row r="228" customFormat="false" ht="15" hidden="false" customHeight="false" outlineLevel="0" collapsed="false">
      <c r="Y228" s="1" t="s">
        <v>957</v>
      </c>
      <c r="AC228" s="57" t="s">
        <v>437</v>
      </c>
      <c r="AE228" s="59" t="n">
        <v>0.05</v>
      </c>
      <c r="AF228" s="30" t="n">
        <v>18</v>
      </c>
      <c r="AG228" s="30" t="n">
        <f aca="false">AE228*AF228</f>
        <v>0.9</v>
      </c>
    </row>
    <row r="229" customFormat="false" ht="15" hidden="false" customHeight="false" outlineLevel="0" collapsed="false">
      <c r="Y229" s="1" t="s">
        <v>958</v>
      </c>
      <c r="AC229" s="57" t="s">
        <v>437</v>
      </c>
      <c r="AE229" s="59" t="n">
        <v>0.1</v>
      </c>
      <c r="AF229" s="30" t="n">
        <v>150</v>
      </c>
      <c r="AG229" s="30" t="n">
        <f aca="false">AE229*AF229</f>
        <v>15</v>
      </c>
    </row>
    <row r="230" customFormat="false" ht="15" hidden="false" customHeight="false" outlineLevel="0" collapsed="false">
      <c r="AG230" s="55" t="n">
        <f aca="false">SUM(AG228:AG229)</f>
        <v>15.9</v>
      </c>
    </row>
    <row r="231" customFormat="false" ht="15" hidden="false" customHeight="false" outlineLevel="0" collapsed="false">
      <c r="Y231" s="56" t="s">
        <v>317</v>
      </c>
    </row>
    <row r="232" customFormat="false" ht="15" hidden="false" customHeight="false" outlineLevel="0" collapsed="false">
      <c r="Y232" s="1" t="s">
        <v>309</v>
      </c>
      <c r="AC232" s="57" t="s">
        <v>310</v>
      </c>
      <c r="AE232" s="59" t="n">
        <v>3</v>
      </c>
      <c r="AF232" s="30" t="n">
        <f aca="false">AG226</f>
        <v>34.1344</v>
      </c>
      <c r="AG232" s="30" t="n">
        <f aca="false">AE232%*AF232</f>
        <v>1.024032</v>
      </c>
    </row>
    <row r="233" customFormat="false" ht="15" hidden="false" customHeight="false" outlineLevel="0" collapsed="false">
      <c r="X233" s="62"/>
      <c r="Y233" s="62"/>
      <c r="Z233" s="62"/>
      <c r="AA233" s="62"/>
      <c r="AB233" s="62"/>
      <c r="AC233" s="62"/>
      <c r="AD233" s="62"/>
      <c r="AE233" s="62"/>
      <c r="AF233" s="62"/>
      <c r="AG233" s="63" t="n">
        <f aca="false">SUM(AG232)</f>
        <v>1.024032</v>
      </c>
    </row>
    <row r="234" customFormat="false" ht="15" hidden="false" customHeight="false" outlineLevel="0" collapsed="false">
      <c r="AG234" s="55"/>
    </row>
    <row r="235" customFormat="false" ht="15" hidden="false" customHeight="false" outlineLevel="0" collapsed="false">
      <c r="M235" s="14" t="s">
        <v>276</v>
      </c>
      <c r="N235" s="14"/>
      <c r="O235" s="14" t="s">
        <v>1359</v>
      </c>
      <c r="P235" s="14"/>
      <c r="Q235" s="14"/>
      <c r="R235" s="14"/>
      <c r="S235" s="14"/>
      <c r="T235" s="14"/>
      <c r="U235" s="14"/>
    </row>
    <row r="236" customFormat="false" ht="15" hidden="false" customHeight="false" outlineLevel="0" collapsed="false">
      <c r="M236" s="14" t="s">
        <v>277</v>
      </c>
      <c r="N236" s="14" t="s">
        <v>278</v>
      </c>
      <c r="O236" s="38" t="s">
        <v>279</v>
      </c>
      <c r="P236" s="54" t="n">
        <v>1</v>
      </c>
      <c r="Q236" s="38" t="s">
        <v>280</v>
      </c>
      <c r="R236" s="54" t="n">
        <f aca="false">P236</f>
        <v>1</v>
      </c>
      <c r="S236" s="14" t="s">
        <v>281</v>
      </c>
      <c r="U236" s="38" t="s">
        <v>132</v>
      </c>
      <c r="V236" s="55" t="n">
        <f aca="false">V240</f>
        <v>169.49</v>
      </c>
    </row>
    <row r="237" customFormat="false" ht="15" hidden="false" customHeight="false" outlineLevel="0" collapsed="false">
      <c r="M237" s="14" t="s">
        <v>282</v>
      </c>
      <c r="N237" s="14" t="s">
        <v>283</v>
      </c>
      <c r="R237" s="38" t="s">
        <v>121</v>
      </c>
      <c r="S237" s="38" t="s">
        <v>284</v>
      </c>
      <c r="T237" s="38" t="s">
        <v>285</v>
      </c>
      <c r="U237" s="38" t="s">
        <v>286</v>
      </c>
      <c r="V237" s="38" t="s">
        <v>287</v>
      </c>
    </row>
    <row r="238" customFormat="false" ht="15" hidden="false" customHeight="false" outlineLevel="0" collapsed="false">
      <c r="N238" s="56" t="s">
        <v>293</v>
      </c>
    </row>
    <row r="239" customFormat="false" ht="15" hidden="false" customHeight="false" outlineLevel="0" collapsed="false">
      <c r="N239" s="1" t="s">
        <v>1359</v>
      </c>
      <c r="R239" s="57" t="s">
        <v>132</v>
      </c>
      <c r="S239" s="58"/>
      <c r="T239" s="59" t="n">
        <v>1</v>
      </c>
      <c r="U239" s="30" t="n">
        <v>169.49</v>
      </c>
      <c r="V239" s="30" t="n">
        <f aca="false">T239*U239</f>
        <v>169.49</v>
      </c>
    </row>
    <row r="240" customFormat="false" ht="15" hidden="false" customHeight="false" outlineLevel="0" collapsed="false">
      <c r="M240" s="62"/>
      <c r="N240" s="62"/>
      <c r="O240" s="62"/>
      <c r="P240" s="62"/>
      <c r="Q240" s="62"/>
      <c r="R240" s="62"/>
      <c r="S240" s="62"/>
      <c r="T240" s="62"/>
      <c r="U240" s="62"/>
      <c r="V240" s="63" t="n">
        <f aca="false">SUM(V239)</f>
        <v>169.49</v>
      </c>
    </row>
    <row r="241" customFormat="false" ht="15" hidden="false" customHeight="false" outlineLevel="0" collapsed="false">
      <c r="R241" s="57"/>
      <c r="S241" s="58"/>
      <c r="T241" s="59"/>
      <c r="U241" s="30"/>
      <c r="V241" s="30"/>
    </row>
    <row r="242" customFormat="false" ht="15" hidden="false" customHeight="false" outlineLevel="0" collapsed="false">
      <c r="M242" s="14" t="s">
        <v>276</v>
      </c>
      <c r="N242" s="14"/>
      <c r="O242" s="14" t="s">
        <v>79</v>
      </c>
      <c r="P242" s="14"/>
      <c r="Q242" s="14"/>
      <c r="R242" s="14"/>
      <c r="S242" s="14"/>
      <c r="T242" s="14"/>
      <c r="U242" s="14"/>
    </row>
    <row r="243" customFormat="false" ht="15" hidden="false" customHeight="false" outlineLevel="0" collapsed="false">
      <c r="M243" s="14" t="s">
        <v>277</v>
      </c>
      <c r="N243" s="14" t="s">
        <v>325</v>
      </c>
      <c r="O243" s="38" t="s">
        <v>279</v>
      </c>
      <c r="P243" s="54" t="n">
        <v>1</v>
      </c>
      <c r="Q243" s="38" t="s">
        <v>280</v>
      </c>
      <c r="R243" s="54" t="n">
        <f aca="false">P243</f>
        <v>1</v>
      </c>
      <c r="S243" s="14" t="s">
        <v>281</v>
      </c>
      <c r="U243" s="38" t="s">
        <v>148</v>
      </c>
      <c r="V243" s="55" t="n">
        <f aca="false">V250+V269+V272</f>
        <v>2147.20033126552</v>
      </c>
    </row>
    <row r="244" customFormat="false" ht="15" hidden="false" customHeight="false" outlineLevel="0" collapsed="false">
      <c r="M244" s="14" t="s">
        <v>282</v>
      </c>
      <c r="N244" s="14" t="s">
        <v>283</v>
      </c>
      <c r="R244" s="38" t="s">
        <v>121</v>
      </c>
      <c r="S244" s="38" t="s">
        <v>284</v>
      </c>
      <c r="T244" s="38" t="s">
        <v>285</v>
      </c>
      <c r="U244" s="38" t="s">
        <v>286</v>
      </c>
      <c r="V244" s="38" t="s">
        <v>287</v>
      </c>
    </row>
    <row r="245" customFormat="false" ht="15" hidden="false" customHeight="false" outlineLevel="0" collapsed="false">
      <c r="N245" s="56" t="s">
        <v>288</v>
      </c>
    </row>
    <row r="246" customFormat="false" ht="15" hidden="false" customHeight="false" outlineLevel="0" collapsed="false">
      <c r="N246" s="1" t="s">
        <v>649</v>
      </c>
      <c r="R246" s="57" t="s">
        <v>290</v>
      </c>
      <c r="S246" s="58" t="n">
        <v>0.1</v>
      </c>
      <c r="T246" s="59" t="n">
        <f aca="false">S246*8/$P$243</f>
        <v>0.8</v>
      </c>
      <c r="U246" s="30" t="n">
        <v>34.73</v>
      </c>
      <c r="V246" s="30" t="n">
        <f aca="false">T246*U246</f>
        <v>27.784</v>
      </c>
    </row>
    <row r="247" customFormat="false" ht="15" hidden="false" customHeight="false" outlineLevel="0" collapsed="false">
      <c r="N247" s="1" t="s">
        <v>289</v>
      </c>
      <c r="R247" s="57" t="s">
        <v>290</v>
      </c>
      <c r="S247" s="58" t="n">
        <v>1</v>
      </c>
      <c r="T247" s="59" t="n">
        <f aca="false">S247*8/$P$243</f>
        <v>8</v>
      </c>
      <c r="U247" s="30" t="n">
        <v>28.94</v>
      </c>
      <c r="V247" s="30" t="n">
        <f aca="false">T247*U247</f>
        <v>231.52</v>
      </c>
    </row>
    <row r="248" customFormat="false" ht="15" hidden="false" customHeight="false" outlineLevel="0" collapsed="false">
      <c r="N248" s="1" t="s">
        <v>675</v>
      </c>
      <c r="R248" s="57" t="s">
        <v>290</v>
      </c>
      <c r="S248" s="58" t="n">
        <v>1</v>
      </c>
      <c r="T248" s="59" t="n">
        <f aca="false">S248*8/$P$243</f>
        <v>8</v>
      </c>
      <c r="U248" s="1" t="n">
        <v>22.66</v>
      </c>
      <c r="V248" s="30" t="n">
        <f aca="false">T248*U248</f>
        <v>181.28</v>
      </c>
    </row>
    <row r="249" customFormat="false" ht="15" hidden="false" customHeight="false" outlineLevel="0" collapsed="false">
      <c r="N249" s="1" t="s">
        <v>292</v>
      </c>
      <c r="R249" s="57" t="s">
        <v>290</v>
      </c>
      <c r="S249" s="58" t="n">
        <v>2</v>
      </c>
      <c r="T249" s="59" t="n">
        <f aca="false">S249*8/$P$243</f>
        <v>16</v>
      </c>
      <c r="U249" s="30" t="n">
        <v>20.51</v>
      </c>
      <c r="V249" s="30" t="n">
        <f aca="false">T249*U249</f>
        <v>328.16</v>
      </c>
    </row>
    <row r="250" customFormat="false" ht="15" hidden="false" customHeight="false" outlineLevel="0" collapsed="false">
      <c r="V250" s="55" t="n">
        <f aca="false">SUM(V246:V249)</f>
        <v>768.744</v>
      </c>
    </row>
    <row r="251" customFormat="false" ht="15" hidden="false" customHeight="false" outlineLevel="0" collapsed="false">
      <c r="N251" s="56" t="s">
        <v>293</v>
      </c>
      <c r="R251" s="57"/>
    </row>
    <row r="252" customFormat="false" ht="15" hidden="false" customHeight="false" outlineLevel="0" collapsed="false">
      <c r="N252" s="121" t="s">
        <v>294</v>
      </c>
      <c r="R252" s="57" t="s">
        <v>295</v>
      </c>
      <c r="T252" s="59" t="n">
        <v>0.5</v>
      </c>
      <c r="U252" s="1" t="n">
        <v>2.64</v>
      </c>
      <c r="V252" s="30" t="n">
        <f aca="false">T252*U252</f>
        <v>1.32</v>
      </c>
    </row>
    <row r="253" customFormat="false" ht="15" hidden="false" customHeight="false" outlineLevel="0" collapsed="false">
      <c r="N253" s="121" t="s">
        <v>723</v>
      </c>
      <c r="R253" s="57" t="s">
        <v>295</v>
      </c>
      <c r="T253" s="59" t="n">
        <v>0.592</v>
      </c>
      <c r="U253" s="1" t="n">
        <v>4.16</v>
      </c>
      <c r="V253" s="30" t="n">
        <f aca="false">T253*U253</f>
        <v>2.46272</v>
      </c>
    </row>
    <row r="254" customFormat="false" ht="15" hidden="false" customHeight="false" outlineLevel="0" collapsed="false">
      <c r="N254" s="121" t="s">
        <v>965</v>
      </c>
      <c r="R254" s="57" t="s">
        <v>132</v>
      </c>
      <c r="T254" s="59" t="n">
        <v>0.03</v>
      </c>
      <c r="U254" s="1" t="n">
        <v>83.22</v>
      </c>
      <c r="V254" s="30" t="n">
        <f aca="false">T254*U254</f>
        <v>2.4966</v>
      </c>
    </row>
    <row r="255" customFormat="false" ht="15" hidden="false" customHeight="false" outlineLevel="0" collapsed="false">
      <c r="N255" s="119" t="s">
        <v>892</v>
      </c>
      <c r="R255" s="57" t="s">
        <v>202</v>
      </c>
      <c r="T255" s="59" t="n">
        <v>0.138</v>
      </c>
      <c r="U255" s="1" t="n">
        <v>50.85</v>
      </c>
      <c r="V255" s="30" t="n">
        <f aca="false">T255*U255</f>
        <v>7.0173</v>
      </c>
    </row>
    <row r="256" customFormat="false" ht="15" hidden="false" customHeight="false" outlineLevel="0" collapsed="false">
      <c r="N256" s="121" t="s">
        <v>697</v>
      </c>
      <c r="R256" s="57" t="s">
        <v>202</v>
      </c>
      <c r="T256" s="59" t="n">
        <v>0.255</v>
      </c>
      <c r="U256" s="30" t="n">
        <v>47</v>
      </c>
      <c r="V256" s="30" t="n">
        <f aca="false">T256*U256</f>
        <v>11.985</v>
      </c>
    </row>
    <row r="257" customFormat="false" ht="15" hidden="false" customHeight="false" outlineLevel="0" collapsed="false">
      <c r="N257" s="121" t="s">
        <v>718</v>
      </c>
      <c r="R257" s="57" t="s">
        <v>429</v>
      </c>
      <c r="T257" s="59" t="n">
        <v>4.326</v>
      </c>
      <c r="U257" s="1" t="n">
        <v>24.52</v>
      </c>
      <c r="V257" s="30" t="n">
        <f aca="false">T257*U257</f>
        <v>106.07352</v>
      </c>
    </row>
    <row r="258" customFormat="false" ht="15" hidden="false" customHeight="false" outlineLevel="0" collapsed="false">
      <c r="N258" s="121" t="s">
        <v>307</v>
      </c>
      <c r="R258" s="57" t="s">
        <v>304</v>
      </c>
      <c r="S258" s="58"/>
      <c r="T258" s="59" t="n">
        <v>12.116</v>
      </c>
      <c r="U258" s="30" t="n">
        <v>8.8</v>
      </c>
      <c r="V258" s="30" t="n">
        <f aca="false">T258*U258</f>
        <v>106.6208</v>
      </c>
    </row>
    <row r="259" customFormat="false" ht="15" hidden="false" customHeight="false" outlineLevel="0" collapsed="false">
      <c r="N259" s="121" t="s">
        <v>966</v>
      </c>
      <c r="R259" s="57" t="s">
        <v>437</v>
      </c>
      <c r="S259" s="58"/>
      <c r="T259" s="59" t="n">
        <v>0.057</v>
      </c>
      <c r="U259" s="30" t="n">
        <v>38.98</v>
      </c>
      <c r="V259" s="30" t="n">
        <f aca="false">T259*U259</f>
        <v>2.22186</v>
      </c>
    </row>
    <row r="260" customFormat="false" ht="15" hidden="false" customHeight="false" outlineLevel="0" collapsed="false">
      <c r="N260" s="121" t="s">
        <v>967</v>
      </c>
      <c r="R260" s="57" t="s">
        <v>437</v>
      </c>
      <c r="S260" s="58"/>
      <c r="T260" s="59" t="n">
        <v>0.1</v>
      </c>
      <c r="U260" s="30" t="n">
        <v>94</v>
      </c>
      <c r="V260" s="30" t="n">
        <f aca="false">T260*U260</f>
        <v>9.4</v>
      </c>
    </row>
    <row r="261" customFormat="false" ht="15" hidden="false" customHeight="false" outlineLevel="0" collapsed="false">
      <c r="N261" s="121" t="s">
        <v>968</v>
      </c>
      <c r="R261" s="57" t="s">
        <v>143</v>
      </c>
      <c r="S261" s="58"/>
      <c r="T261" s="59" t="n">
        <v>2.7</v>
      </c>
      <c r="U261" s="30" t="n">
        <v>52.704</v>
      </c>
      <c r="V261" s="30" t="n">
        <f aca="false">T261*U261</f>
        <v>142.3008</v>
      </c>
    </row>
    <row r="262" customFormat="false" ht="15" hidden="false" customHeight="false" outlineLevel="0" collapsed="false">
      <c r="N262" s="121" t="s">
        <v>969</v>
      </c>
      <c r="R262" s="57" t="s">
        <v>143</v>
      </c>
      <c r="T262" s="59" t="n">
        <v>2.7</v>
      </c>
      <c r="U262" s="30" t="n">
        <v>101.4918</v>
      </c>
      <c r="V262" s="30" t="n">
        <f aca="false">T262*U262</f>
        <v>274.02786</v>
      </c>
    </row>
    <row r="263" customFormat="false" ht="15" hidden="false" customHeight="false" outlineLevel="0" collapsed="false">
      <c r="N263" s="121" t="s">
        <v>970</v>
      </c>
      <c r="R263" s="57" t="s">
        <v>143</v>
      </c>
      <c r="T263" s="59" t="n">
        <v>3.3</v>
      </c>
      <c r="U263" s="30" t="n">
        <v>123.0126</v>
      </c>
      <c r="V263" s="30" t="n">
        <f aca="false">T263*U263</f>
        <v>405.94158</v>
      </c>
    </row>
    <row r="264" customFormat="false" ht="15" hidden="false" customHeight="false" outlineLevel="0" collapsed="false">
      <c r="N264" s="121" t="s">
        <v>971</v>
      </c>
      <c r="R264" s="57" t="s">
        <v>143</v>
      </c>
      <c r="T264" s="59" t="n">
        <v>18</v>
      </c>
      <c r="U264" s="30" t="n">
        <v>14.8154476148987</v>
      </c>
      <c r="V264" s="30" t="n">
        <f aca="false">T264*U264</f>
        <v>266.678057068177</v>
      </c>
    </row>
    <row r="265" customFormat="false" ht="15" hidden="false" customHeight="false" outlineLevel="0" collapsed="false">
      <c r="N265" s="121" t="s">
        <v>972</v>
      </c>
      <c r="R265" s="57" t="s">
        <v>148</v>
      </c>
      <c r="T265" s="59" t="n">
        <v>6</v>
      </c>
      <c r="U265" s="30" t="n">
        <v>0.67</v>
      </c>
      <c r="V265" s="30" t="n">
        <f aca="false">T265*U265</f>
        <v>4.02</v>
      </c>
    </row>
    <row r="266" customFormat="false" ht="15" hidden="false" customHeight="false" outlineLevel="0" collapsed="false">
      <c r="N266" s="121" t="s">
        <v>973</v>
      </c>
      <c r="R266" s="57" t="s">
        <v>148</v>
      </c>
      <c r="T266" s="59" t="n">
        <v>6</v>
      </c>
      <c r="U266" s="30" t="n">
        <v>0.628839032890438</v>
      </c>
      <c r="V266" s="30" t="n">
        <f aca="false">T266*U266</f>
        <v>3.77303419734263</v>
      </c>
    </row>
    <row r="267" customFormat="false" ht="15" hidden="false" customHeight="false" outlineLevel="0" collapsed="false">
      <c r="N267" s="121" t="s">
        <v>974</v>
      </c>
      <c r="R267" s="57" t="s">
        <v>295</v>
      </c>
      <c r="T267" s="59" t="n">
        <v>0.1</v>
      </c>
      <c r="U267" s="30" t="n">
        <v>84.9</v>
      </c>
      <c r="V267" s="30" t="n">
        <f aca="false">T267*U267</f>
        <v>8.49</v>
      </c>
    </row>
    <row r="268" customFormat="false" ht="15" hidden="false" customHeight="false" outlineLevel="0" collapsed="false">
      <c r="N268" s="121" t="s">
        <v>662</v>
      </c>
      <c r="R268" s="57" t="s">
        <v>202</v>
      </c>
      <c r="T268" s="59" t="n">
        <v>0.092</v>
      </c>
      <c r="U268" s="30" t="n">
        <v>6.14</v>
      </c>
      <c r="V268" s="30" t="n">
        <f aca="false">T268*U268</f>
        <v>0.56488</v>
      </c>
    </row>
    <row r="269" customFormat="false" ht="15" hidden="false" customHeight="false" outlineLevel="0" collapsed="false">
      <c r="V269" s="55" t="n">
        <f aca="false">SUM(V252:V268)</f>
        <v>1355.39401126552</v>
      </c>
    </row>
    <row r="270" customFormat="false" ht="15" hidden="false" customHeight="false" outlineLevel="0" collapsed="false">
      <c r="N270" s="56" t="s">
        <v>317</v>
      </c>
    </row>
    <row r="271" customFormat="false" ht="15" hidden="false" customHeight="false" outlineLevel="0" collapsed="false">
      <c r="N271" s="1" t="s">
        <v>309</v>
      </c>
      <c r="R271" s="57" t="s">
        <v>310</v>
      </c>
      <c r="T271" s="59" t="n">
        <v>3</v>
      </c>
      <c r="U271" s="30" t="n">
        <f aca="false">V250</f>
        <v>768.744</v>
      </c>
      <c r="V271" s="30" t="n">
        <f aca="false">T271%*U271</f>
        <v>23.06232</v>
      </c>
    </row>
    <row r="272" customFormat="false" ht="15" hidden="false" customHeight="false" outlineLevel="0" collapsed="false">
      <c r="M272" s="62"/>
      <c r="N272" s="62"/>
      <c r="O272" s="62"/>
      <c r="P272" s="62"/>
      <c r="Q272" s="62"/>
      <c r="R272" s="62"/>
      <c r="S272" s="62"/>
      <c r="T272" s="62"/>
      <c r="U272" s="62"/>
      <c r="V272" s="63" t="n">
        <f aca="false">SUM(V271)</f>
        <v>23.06232</v>
      </c>
    </row>
    <row r="273" customFormat="false" ht="15" hidden="false" customHeight="false" outlineLevel="0" collapsed="false">
      <c r="R273" s="57"/>
      <c r="S273" s="58"/>
      <c r="T273" s="59"/>
      <c r="U273" s="30"/>
      <c r="V273" s="30"/>
    </row>
    <row r="274" customFormat="false" ht="15" hidden="false" customHeight="false" outlineLevel="0" collapsed="false">
      <c r="F274" s="174"/>
      <c r="G274" s="181"/>
      <c r="H274" s="200"/>
      <c r="I274" s="115"/>
      <c r="J274" s="200"/>
      <c r="K274" s="201"/>
      <c r="M274" s="14" t="s">
        <v>276</v>
      </c>
      <c r="N274" s="14"/>
      <c r="O274" s="14" t="s">
        <v>1360</v>
      </c>
      <c r="P274" s="14"/>
      <c r="Q274" s="14"/>
      <c r="R274" s="14"/>
      <c r="S274" s="14"/>
      <c r="T274" s="14"/>
      <c r="U274" s="14"/>
    </row>
    <row r="275" customFormat="false" ht="15" hidden="false" customHeight="false" outlineLevel="0" collapsed="false">
      <c r="F275" s="174"/>
      <c r="G275" s="181"/>
      <c r="H275" s="200"/>
      <c r="I275" s="115"/>
      <c r="J275" s="200"/>
      <c r="K275" s="201"/>
      <c r="M275" s="14" t="s">
        <v>277</v>
      </c>
      <c r="N275" s="14" t="s">
        <v>278</v>
      </c>
      <c r="O275" s="38" t="s">
        <v>279</v>
      </c>
      <c r="P275" s="54" t="n">
        <v>1</v>
      </c>
      <c r="Q275" s="38" t="s">
        <v>280</v>
      </c>
      <c r="R275" s="54" t="n">
        <f aca="false">P275</f>
        <v>1</v>
      </c>
      <c r="S275" s="14" t="s">
        <v>281</v>
      </c>
      <c r="U275" s="38" t="s">
        <v>132</v>
      </c>
      <c r="V275" s="55" t="n">
        <f aca="false">V289</f>
        <v>136.58560240992</v>
      </c>
      <c r="X275" s="14" t="s">
        <v>1327</v>
      </c>
      <c r="Y275" s="14"/>
      <c r="Z275" s="14" t="s">
        <v>619</v>
      </c>
      <c r="AA275" s="14"/>
      <c r="AB275" s="14"/>
      <c r="AC275" s="14"/>
      <c r="AD275" s="14"/>
      <c r="AE275" s="14"/>
      <c r="AF275" s="14"/>
    </row>
    <row r="276" customFormat="false" ht="15" hidden="false" customHeight="false" outlineLevel="0" collapsed="false">
      <c r="F276" s="174"/>
      <c r="G276" s="181"/>
      <c r="H276" s="200"/>
      <c r="I276" s="115"/>
      <c r="J276" s="200"/>
      <c r="K276" s="201"/>
      <c r="M276" s="14" t="s">
        <v>282</v>
      </c>
      <c r="N276" s="14" t="s">
        <v>283</v>
      </c>
      <c r="R276" s="38" t="s">
        <v>121</v>
      </c>
      <c r="S276" s="38" t="s">
        <v>284</v>
      </c>
      <c r="T276" s="38" t="s">
        <v>285</v>
      </c>
      <c r="U276" s="38" t="s">
        <v>286</v>
      </c>
      <c r="V276" s="38" t="s">
        <v>287</v>
      </c>
      <c r="X276" s="14" t="s">
        <v>277</v>
      </c>
      <c r="Y276" s="14" t="s">
        <v>415</v>
      </c>
      <c r="Z276" s="38" t="s">
        <v>279</v>
      </c>
      <c r="AA276" s="54" t="n">
        <v>25</v>
      </c>
      <c r="AB276" s="38" t="s">
        <v>280</v>
      </c>
      <c r="AC276" s="54" t="n">
        <f aca="false">AA276</f>
        <v>25</v>
      </c>
      <c r="AD276" s="14" t="s">
        <v>281</v>
      </c>
      <c r="AF276" s="38" t="s">
        <v>202</v>
      </c>
      <c r="AG276" s="55" t="n">
        <f aca="false">AG283+AG288+AG292</f>
        <v>447.9006688</v>
      </c>
    </row>
    <row r="277" customFormat="false" ht="15" hidden="false" customHeight="false" outlineLevel="0" collapsed="false">
      <c r="F277" s="116"/>
      <c r="G277" s="202"/>
      <c r="H277" s="184"/>
      <c r="I277" s="117"/>
      <c r="J277" s="200"/>
      <c r="K277" s="201"/>
      <c r="N277" s="56" t="s">
        <v>293</v>
      </c>
      <c r="X277" s="14" t="s">
        <v>282</v>
      </c>
      <c r="Y277" s="14" t="s">
        <v>283</v>
      </c>
      <c r="AC277" s="38" t="s">
        <v>121</v>
      </c>
      <c r="AD277" s="38" t="s">
        <v>284</v>
      </c>
      <c r="AE277" s="38" t="s">
        <v>285</v>
      </c>
      <c r="AF277" s="38" t="s">
        <v>286</v>
      </c>
      <c r="AG277" s="38" t="s">
        <v>287</v>
      </c>
    </row>
    <row r="278" customFormat="false" ht="15" hidden="false" customHeight="false" outlineLevel="0" collapsed="false">
      <c r="F278" s="118"/>
      <c r="G278" s="203"/>
      <c r="H278" s="118"/>
      <c r="I278" s="82"/>
      <c r="J278" s="204"/>
      <c r="K278" s="201"/>
      <c r="N278" s="114"/>
      <c r="R278" s="57"/>
      <c r="S278" s="58"/>
      <c r="T278" s="115"/>
      <c r="U278" s="30"/>
      <c r="V278" s="30"/>
      <c r="Y278" s="56" t="s">
        <v>288</v>
      </c>
    </row>
    <row r="279" customFormat="false" ht="15" hidden="false" customHeight="false" outlineLevel="0" collapsed="false">
      <c r="F279" s="118"/>
      <c r="G279" s="203"/>
      <c r="H279" s="118"/>
      <c r="I279" s="82"/>
      <c r="J279" s="204"/>
      <c r="K279" s="201"/>
      <c r="N279" s="114"/>
      <c r="R279" s="57"/>
      <c r="T279" s="115"/>
      <c r="U279" s="30"/>
      <c r="V279" s="30"/>
      <c r="Y279" s="1" t="s">
        <v>649</v>
      </c>
      <c r="AC279" s="57" t="s">
        <v>290</v>
      </c>
      <c r="AD279" s="58" t="n">
        <v>0.1</v>
      </c>
      <c r="AE279" s="59" t="n">
        <f aca="false">AD279*8/$AA$276</f>
        <v>0.032</v>
      </c>
      <c r="AF279" s="30" t="n">
        <v>34.73</v>
      </c>
      <c r="AG279" s="30" t="n">
        <f aca="false">AE279*AF279</f>
        <v>1.11136</v>
      </c>
    </row>
    <row r="280" customFormat="false" ht="15" hidden="false" customHeight="false" outlineLevel="0" collapsed="false">
      <c r="F280" s="118"/>
      <c r="G280" s="203"/>
      <c r="H280" s="118"/>
      <c r="I280" s="82"/>
      <c r="J280" s="204"/>
      <c r="K280" s="201"/>
      <c r="N280" s="114" t="s">
        <v>1332</v>
      </c>
      <c r="R280" s="57" t="s">
        <v>132</v>
      </c>
      <c r="S280" s="58"/>
      <c r="T280" s="115" t="n">
        <v>1</v>
      </c>
      <c r="U280" s="30" t="n">
        <f aca="false">AG74</f>
        <v>7.930344</v>
      </c>
      <c r="V280" s="30" t="n">
        <f aca="false">T280*U280</f>
        <v>7.930344</v>
      </c>
      <c r="Y280" s="1" t="s">
        <v>289</v>
      </c>
      <c r="AC280" s="57" t="s">
        <v>290</v>
      </c>
      <c r="AD280" s="58" t="n">
        <v>2</v>
      </c>
      <c r="AE280" s="59" t="n">
        <f aca="false">AD280*8/$AA$276</f>
        <v>0.64</v>
      </c>
      <c r="AF280" s="30" t="n">
        <v>28.94</v>
      </c>
      <c r="AG280" s="30" t="n">
        <f aca="false">AE280*AF280</f>
        <v>18.5216</v>
      </c>
    </row>
    <row r="281" customFormat="false" ht="15" hidden="false" customHeight="false" outlineLevel="0" collapsed="false">
      <c r="F281" s="118"/>
      <c r="G281" s="203"/>
      <c r="H281" s="118"/>
      <c r="I281" s="82"/>
      <c r="J281" s="204"/>
      <c r="K281" s="201"/>
      <c r="N281" s="116" t="s">
        <v>1334</v>
      </c>
      <c r="R281" s="57" t="s">
        <v>132</v>
      </c>
      <c r="S281" s="58"/>
      <c r="T281" s="117" t="n">
        <v>0.33</v>
      </c>
      <c r="U281" s="30" t="n">
        <f aca="false">AG89</f>
        <v>77.2277048</v>
      </c>
      <c r="V281" s="30" t="n">
        <f aca="false">T281*U281</f>
        <v>25.485142584</v>
      </c>
      <c r="Y281" s="1" t="s">
        <v>291</v>
      </c>
      <c r="AC281" s="57" t="s">
        <v>290</v>
      </c>
      <c r="AD281" s="58" t="n">
        <v>1</v>
      </c>
      <c r="AE281" s="59" t="n">
        <f aca="false">AD281*8/$AA$276</f>
        <v>0.32</v>
      </c>
      <c r="AF281" s="30" t="n">
        <v>22.66</v>
      </c>
      <c r="AG281" s="30" t="n">
        <f aca="false">AE281*AF281</f>
        <v>7.2512</v>
      </c>
    </row>
    <row r="282" customFormat="false" ht="15" hidden="false" customHeight="false" outlineLevel="0" collapsed="false">
      <c r="F282" s="118"/>
      <c r="G282" s="203"/>
      <c r="H282" s="118"/>
      <c r="I282" s="82"/>
      <c r="J282" s="204"/>
      <c r="K282" s="201"/>
      <c r="N282" s="118" t="s">
        <v>619</v>
      </c>
      <c r="R282" s="57" t="s">
        <v>132</v>
      </c>
      <c r="S282" s="58"/>
      <c r="T282" s="82" t="n">
        <v>0.12</v>
      </c>
      <c r="U282" s="30" t="n">
        <f aca="false">AG276</f>
        <v>447.9006688</v>
      </c>
      <c r="V282" s="30" t="n">
        <f aca="false">T282*U282</f>
        <v>53.748080256</v>
      </c>
      <c r="Y282" s="1" t="s">
        <v>292</v>
      </c>
      <c r="AC282" s="57" t="s">
        <v>290</v>
      </c>
      <c r="AD282" s="58" t="n">
        <v>4</v>
      </c>
      <c r="AE282" s="59" t="n">
        <f aca="false">AD282*8/$AA$276</f>
        <v>1.28</v>
      </c>
      <c r="AF282" s="30" t="n">
        <v>20.51</v>
      </c>
      <c r="AG282" s="30" t="n">
        <f aca="false">AE282*AF282</f>
        <v>26.2528</v>
      </c>
    </row>
    <row r="283" customFormat="false" ht="15" hidden="false" customHeight="false" outlineLevel="0" collapsed="false">
      <c r="F283" s="118"/>
      <c r="G283" s="203"/>
      <c r="H283" s="118"/>
      <c r="I283" s="82"/>
      <c r="J283" s="204"/>
      <c r="K283" s="201"/>
      <c r="N283" s="118" t="s">
        <v>621</v>
      </c>
      <c r="R283" s="57" t="s">
        <v>202</v>
      </c>
      <c r="S283" s="58"/>
      <c r="T283" s="82" t="n">
        <v>0.014</v>
      </c>
      <c r="U283" s="30" t="n">
        <f aca="false">AG295</f>
        <v>447.9006688</v>
      </c>
      <c r="V283" s="30" t="n">
        <f aca="false">T283*U283</f>
        <v>6.2706093632</v>
      </c>
      <c r="AG283" s="55" t="n">
        <f aca="false">SUM(AG279:AG282)</f>
        <v>53.13696</v>
      </c>
    </row>
    <row r="284" customFormat="false" ht="15" hidden="false" customHeight="false" outlineLevel="0" collapsed="false">
      <c r="F284" s="118"/>
      <c r="G284" s="203"/>
      <c r="H284" s="118"/>
      <c r="I284" s="82"/>
      <c r="J284" s="204"/>
      <c r="K284" s="201"/>
      <c r="N284" s="118" t="s">
        <v>596</v>
      </c>
      <c r="R284" s="57" t="s">
        <v>132</v>
      </c>
      <c r="S284" s="58"/>
      <c r="T284" s="82" t="n">
        <v>0.2</v>
      </c>
      <c r="U284" s="30" t="n">
        <f aca="false">AG144</f>
        <v>118.0135648</v>
      </c>
      <c r="V284" s="30" t="n">
        <f aca="false">T284*U284</f>
        <v>23.60271296</v>
      </c>
      <c r="Y284" s="56" t="s">
        <v>293</v>
      </c>
    </row>
    <row r="285" customFormat="false" ht="15" hidden="false" customHeight="false" outlineLevel="0" collapsed="false">
      <c r="N285" s="118" t="s">
        <v>600</v>
      </c>
      <c r="R285" s="57" t="s">
        <v>132</v>
      </c>
      <c r="S285" s="58"/>
      <c r="T285" s="82" t="n">
        <v>1</v>
      </c>
      <c r="U285" s="30" t="n">
        <f aca="false">AG170</f>
        <v>2.9418736</v>
      </c>
      <c r="V285" s="30" t="n">
        <f aca="false">T285*U285</f>
        <v>2.9418736</v>
      </c>
      <c r="Y285" s="1" t="s">
        <v>718</v>
      </c>
      <c r="AB285" s="1" t="s">
        <v>295</v>
      </c>
      <c r="AE285" s="59" t="n">
        <v>0.1</v>
      </c>
      <c r="AF285" s="30" t="n">
        <v>24.52</v>
      </c>
      <c r="AG285" s="30" t="n">
        <f aca="false">AE285*AF285</f>
        <v>2.452</v>
      </c>
    </row>
    <row r="286" customFormat="false" ht="15" hidden="false" customHeight="false" outlineLevel="0" collapsed="false">
      <c r="N286" s="118" t="s">
        <v>837</v>
      </c>
      <c r="R286" s="57" t="s">
        <v>132</v>
      </c>
      <c r="S286" s="58"/>
      <c r="T286" s="82" t="n">
        <v>1</v>
      </c>
      <c r="U286" s="30" t="n">
        <f aca="false">AG314</f>
        <v>9.880996</v>
      </c>
      <c r="V286" s="30" t="n">
        <f aca="false">T286*U286</f>
        <v>9.880996</v>
      </c>
      <c r="Y286" s="1" t="s">
        <v>729</v>
      </c>
      <c r="AB286" s="1" t="s">
        <v>295</v>
      </c>
      <c r="AE286" s="59" t="n">
        <v>1.05</v>
      </c>
      <c r="AF286" s="30" t="n">
        <v>340</v>
      </c>
      <c r="AG286" s="30" t="n">
        <f aca="false">AE286*AF286</f>
        <v>357</v>
      </c>
    </row>
    <row r="287" customFormat="false" ht="15" hidden="false" customHeight="false" outlineLevel="0" collapsed="false">
      <c r="N287" s="118" t="s">
        <v>602</v>
      </c>
      <c r="R287" s="57" t="s">
        <v>143</v>
      </c>
      <c r="S287" s="58"/>
      <c r="T287" s="82" t="n">
        <v>0.1607</v>
      </c>
      <c r="U287" s="30" t="n">
        <f aca="false">AG183</f>
        <v>19.2386832</v>
      </c>
      <c r="V287" s="30" t="n">
        <f aca="false">T287*U287</f>
        <v>3.09165639024</v>
      </c>
      <c r="Y287" s="1" t="s">
        <v>720</v>
      </c>
      <c r="AB287" s="1" t="s">
        <v>304</v>
      </c>
      <c r="AE287" s="59" t="n">
        <v>1.05</v>
      </c>
      <c r="AF287" s="30" t="n">
        <v>30</v>
      </c>
      <c r="AG287" s="30" t="n">
        <f aca="false">AE287*AF287</f>
        <v>31.5</v>
      </c>
    </row>
    <row r="288" customFormat="false" ht="15" hidden="false" customHeight="false" outlineLevel="0" collapsed="false">
      <c r="N288" s="118" t="s">
        <v>604</v>
      </c>
      <c r="R288" s="57" t="s">
        <v>143</v>
      </c>
      <c r="S288" s="58"/>
      <c r="T288" s="82" t="n">
        <v>0.1889</v>
      </c>
      <c r="U288" s="30" t="n">
        <f aca="false">AG198</f>
        <v>19.2386832</v>
      </c>
      <c r="V288" s="30" t="n">
        <f aca="false">T288*U288</f>
        <v>3.63418725648</v>
      </c>
      <c r="AG288" s="55" t="n">
        <f aca="false">SUM(AG285:AG287)</f>
        <v>390.952</v>
      </c>
    </row>
    <row r="289" customFormat="false" ht="15" hidden="false" customHeight="false" outlineLevel="0" collapsed="false">
      <c r="M289" s="62"/>
      <c r="N289" s="62"/>
      <c r="O289" s="62"/>
      <c r="P289" s="62"/>
      <c r="Q289" s="62"/>
      <c r="R289" s="62"/>
      <c r="S289" s="62"/>
      <c r="T289" s="62"/>
      <c r="U289" s="62"/>
      <c r="V289" s="63" t="n">
        <f aca="false">SUM(V278:V288)</f>
        <v>136.58560240992</v>
      </c>
      <c r="Y289" s="56" t="s">
        <v>317</v>
      </c>
    </row>
    <row r="290" customFormat="false" ht="15" hidden="false" customHeight="false" outlineLevel="0" collapsed="false">
      <c r="R290" s="57"/>
      <c r="S290" s="58"/>
      <c r="T290" s="59"/>
      <c r="U290" s="30"/>
      <c r="V290" s="30"/>
      <c r="Y290" s="1" t="s">
        <v>309</v>
      </c>
      <c r="AC290" s="57" t="s">
        <v>310</v>
      </c>
      <c r="AE290" s="59" t="n">
        <v>3</v>
      </c>
      <c r="AF290" s="30" t="n">
        <f aca="false">AG283</f>
        <v>53.13696</v>
      </c>
      <c r="AG290" s="30" t="n">
        <f aca="false">AE290%*AF290</f>
        <v>1.5941088</v>
      </c>
    </row>
    <row r="291" customFormat="false" ht="15" hidden="false" customHeight="false" outlineLevel="0" collapsed="false">
      <c r="R291" s="57"/>
      <c r="S291" s="58"/>
      <c r="T291" s="59"/>
      <c r="U291" s="30"/>
      <c r="V291" s="30"/>
      <c r="Y291" s="1" t="s">
        <v>721</v>
      </c>
      <c r="AC291" s="57" t="s">
        <v>337</v>
      </c>
      <c r="AD291" s="58" t="n">
        <v>1</v>
      </c>
      <c r="AE291" s="59" t="n">
        <f aca="false">AD291*8/$AA$276</f>
        <v>0.32</v>
      </c>
      <c r="AF291" s="30" t="n">
        <v>6.93</v>
      </c>
      <c r="AG291" s="30" t="n">
        <f aca="false">AE291*AF291</f>
        <v>2.2176</v>
      </c>
    </row>
    <row r="292" customFormat="false" ht="15" hidden="false" customHeight="false" outlineLevel="0" collapsed="false">
      <c r="R292" s="57"/>
      <c r="S292" s="58"/>
      <c r="T292" s="59"/>
      <c r="U292" s="30"/>
      <c r="V292" s="30"/>
      <c r="X292" s="62"/>
      <c r="Y292" s="62"/>
      <c r="Z292" s="62"/>
      <c r="AA292" s="62"/>
      <c r="AB292" s="62"/>
      <c r="AC292" s="62"/>
      <c r="AD292" s="62"/>
      <c r="AE292" s="62"/>
      <c r="AF292" s="62"/>
      <c r="AG292" s="63" t="n">
        <f aca="false">SUM(AG290:AG291)</f>
        <v>3.8117088</v>
      </c>
    </row>
    <row r="293" customFormat="false" ht="15" hidden="false" customHeight="false" outlineLevel="0" collapsed="false">
      <c r="R293" s="57"/>
      <c r="S293" s="58"/>
      <c r="T293" s="59"/>
      <c r="U293" s="30"/>
      <c r="V293" s="30"/>
      <c r="AC293" s="57"/>
      <c r="AE293" s="59"/>
      <c r="AF293" s="30"/>
      <c r="AG293" s="30"/>
    </row>
    <row r="294" customFormat="false" ht="15" hidden="false" customHeight="false" outlineLevel="0" collapsed="false">
      <c r="R294" s="57"/>
      <c r="S294" s="58"/>
      <c r="T294" s="59"/>
      <c r="U294" s="30"/>
      <c r="V294" s="30"/>
      <c r="X294" s="14" t="s">
        <v>1327</v>
      </c>
      <c r="Y294" s="14"/>
      <c r="Z294" s="14" t="s">
        <v>621</v>
      </c>
      <c r="AA294" s="14"/>
      <c r="AB294" s="14"/>
      <c r="AC294" s="14"/>
      <c r="AD294" s="14"/>
      <c r="AE294" s="14"/>
      <c r="AF294" s="14"/>
    </row>
    <row r="295" customFormat="false" ht="15" hidden="false" customHeight="false" outlineLevel="0" collapsed="false">
      <c r="R295" s="57"/>
      <c r="S295" s="58"/>
      <c r="T295" s="59"/>
      <c r="U295" s="30"/>
      <c r="V295" s="30"/>
      <c r="X295" s="14" t="s">
        <v>277</v>
      </c>
      <c r="Y295" s="14" t="s">
        <v>415</v>
      </c>
      <c r="Z295" s="38" t="s">
        <v>279</v>
      </c>
      <c r="AA295" s="54" t="n">
        <v>25</v>
      </c>
      <c r="AB295" s="38" t="s">
        <v>280</v>
      </c>
      <c r="AC295" s="54" t="n">
        <f aca="false">AA295</f>
        <v>25</v>
      </c>
      <c r="AD295" s="14" t="s">
        <v>281</v>
      </c>
      <c r="AF295" s="38" t="s">
        <v>202</v>
      </c>
      <c r="AG295" s="55" t="n">
        <f aca="false">AG302+AG307+AG311</f>
        <v>447.9006688</v>
      </c>
    </row>
    <row r="296" customFormat="false" ht="15" hidden="false" customHeight="false" outlineLevel="0" collapsed="false">
      <c r="R296" s="57"/>
      <c r="S296" s="58"/>
      <c r="T296" s="59"/>
      <c r="U296" s="30"/>
      <c r="V296" s="30"/>
      <c r="X296" s="14" t="s">
        <v>282</v>
      </c>
      <c r="Y296" s="14" t="s">
        <v>283</v>
      </c>
      <c r="AC296" s="38" t="s">
        <v>121</v>
      </c>
      <c r="AD296" s="38" t="s">
        <v>284</v>
      </c>
      <c r="AE296" s="38" t="s">
        <v>285</v>
      </c>
      <c r="AF296" s="38" t="s">
        <v>286</v>
      </c>
      <c r="AG296" s="38" t="s">
        <v>287</v>
      </c>
    </row>
    <row r="297" customFormat="false" ht="15" hidden="false" customHeight="false" outlineLevel="0" collapsed="false">
      <c r="R297" s="57"/>
      <c r="S297" s="58"/>
      <c r="T297" s="59"/>
      <c r="U297" s="30"/>
      <c r="V297" s="30"/>
      <c r="Y297" s="56" t="s">
        <v>288</v>
      </c>
    </row>
    <row r="298" customFormat="false" ht="15" hidden="false" customHeight="false" outlineLevel="0" collapsed="false">
      <c r="R298" s="57"/>
      <c r="S298" s="58"/>
      <c r="T298" s="59"/>
      <c r="U298" s="30"/>
      <c r="V298" s="30"/>
      <c r="Y298" s="1" t="s">
        <v>649</v>
      </c>
      <c r="AC298" s="57" t="s">
        <v>290</v>
      </c>
      <c r="AD298" s="58" t="n">
        <v>0.1</v>
      </c>
      <c r="AE298" s="59" t="n">
        <f aca="false">AD298*8/$AA$295</f>
        <v>0.032</v>
      </c>
      <c r="AF298" s="30" t="n">
        <v>34.73</v>
      </c>
      <c r="AG298" s="30" t="n">
        <f aca="false">AE298*AF298</f>
        <v>1.11136</v>
      </c>
    </row>
    <row r="299" customFormat="false" ht="15" hidden="false" customHeight="false" outlineLevel="0" collapsed="false">
      <c r="R299" s="57"/>
      <c r="S299" s="58"/>
      <c r="T299" s="59"/>
      <c r="U299" s="30"/>
      <c r="V299" s="30"/>
      <c r="Y299" s="1" t="s">
        <v>289</v>
      </c>
      <c r="AC299" s="57" t="s">
        <v>290</v>
      </c>
      <c r="AD299" s="58" t="n">
        <v>2</v>
      </c>
      <c r="AE299" s="59" t="n">
        <f aca="false">AD299*8/$AA$295</f>
        <v>0.64</v>
      </c>
      <c r="AF299" s="30" t="n">
        <v>28.94</v>
      </c>
      <c r="AG299" s="30" t="n">
        <f aca="false">AE299*AF299</f>
        <v>18.5216</v>
      </c>
    </row>
    <row r="300" customFormat="false" ht="15" hidden="false" customHeight="false" outlineLevel="0" collapsed="false">
      <c r="R300" s="57"/>
      <c r="S300" s="58"/>
      <c r="T300" s="59"/>
      <c r="U300" s="30"/>
      <c r="V300" s="30"/>
      <c r="Y300" s="1" t="s">
        <v>291</v>
      </c>
      <c r="AC300" s="57" t="s">
        <v>290</v>
      </c>
      <c r="AD300" s="58" t="n">
        <v>1</v>
      </c>
      <c r="AE300" s="59" t="n">
        <f aca="false">AD300*8/$AA$295</f>
        <v>0.32</v>
      </c>
      <c r="AF300" s="30" t="n">
        <v>22.66</v>
      </c>
      <c r="AG300" s="30" t="n">
        <f aca="false">AE300*AF300</f>
        <v>7.2512</v>
      </c>
    </row>
    <row r="301" customFormat="false" ht="15" hidden="false" customHeight="false" outlineLevel="0" collapsed="false">
      <c r="R301" s="57"/>
      <c r="S301" s="58"/>
      <c r="T301" s="59"/>
      <c r="U301" s="30"/>
      <c r="V301" s="30"/>
      <c r="Y301" s="1" t="s">
        <v>292</v>
      </c>
      <c r="AC301" s="57" t="s">
        <v>290</v>
      </c>
      <c r="AD301" s="58" t="n">
        <v>4</v>
      </c>
      <c r="AE301" s="59" t="n">
        <f aca="false">AD301*8/$AA$295</f>
        <v>1.28</v>
      </c>
      <c r="AF301" s="30" t="n">
        <v>20.51</v>
      </c>
      <c r="AG301" s="30" t="n">
        <f aca="false">AE301*AF301</f>
        <v>26.2528</v>
      </c>
    </row>
    <row r="302" customFormat="false" ht="15" hidden="false" customHeight="false" outlineLevel="0" collapsed="false">
      <c r="R302" s="57"/>
      <c r="S302" s="58"/>
      <c r="T302" s="59"/>
      <c r="U302" s="30"/>
      <c r="V302" s="30"/>
      <c r="AG302" s="55" t="n">
        <f aca="false">SUM(AG298:AG301)</f>
        <v>53.13696</v>
      </c>
    </row>
    <row r="303" customFormat="false" ht="15" hidden="false" customHeight="false" outlineLevel="0" collapsed="false">
      <c r="R303" s="57"/>
      <c r="S303" s="58"/>
      <c r="T303" s="59"/>
      <c r="U303" s="30"/>
      <c r="V303" s="30"/>
      <c r="Y303" s="56" t="s">
        <v>293</v>
      </c>
    </row>
    <row r="304" customFormat="false" ht="15" hidden="false" customHeight="false" outlineLevel="0" collapsed="false">
      <c r="R304" s="57"/>
      <c r="S304" s="58"/>
      <c r="T304" s="59"/>
      <c r="U304" s="30"/>
      <c r="V304" s="30"/>
      <c r="Y304" s="1" t="s">
        <v>718</v>
      </c>
      <c r="AB304" s="1" t="s">
        <v>295</v>
      </c>
      <c r="AE304" s="59" t="n">
        <v>0.1</v>
      </c>
      <c r="AF304" s="30" t="n">
        <v>24.52</v>
      </c>
      <c r="AG304" s="30" t="n">
        <f aca="false">AE304*AF304</f>
        <v>2.452</v>
      </c>
    </row>
    <row r="305" customFormat="false" ht="15" hidden="false" customHeight="false" outlineLevel="0" collapsed="false">
      <c r="R305" s="57"/>
      <c r="S305" s="58"/>
      <c r="T305" s="59"/>
      <c r="U305" s="30"/>
      <c r="V305" s="30"/>
      <c r="Y305" s="1" t="s">
        <v>729</v>
      </c>
      <c r="AB305" s="1" t="s">
        <v>295</v>
      </c>
      <c r="AE305" s="59" t="n">
        <v>1.05</v>
      </c>
      <c r="AF305" s="30" t="n">
        <v>340</v>
      </c>
      <c r="AG305" s="30" t="n">
        <f aca="false">AE305*AF305</f>
        <v>357</v>
      </c>
    </row>
    <row r="306" customFormat="false" ht="15" hidden="false" customHeight="false" outlineLevel="0" collapsed="false">
      <c r="R306" s="57"/>
      <c r="S306" s="58"/>
      <c r="T306" s="59"/>
      <c r="U306" s="30"/>
      <c r="V306" s="30"/>
      <c r="Y306" s="1" t="s">
        <v>720</v>
      </c>
      <c r="AB306" s="1" t="s">
        <v>304</v>
      </c>
      <c r="AE306" s="59" t="n">
        <v>1.05</v>
      </c>
      <c r="AF306" s="30" t="n">
        <v>30</v>
      </c>
      <c r="AG306" s="30" t="n">
        <f aca="false">AE306*AF306</f>
        <v>31.5</v>
      </c>
    </row>
    <row r="307" customFormat="false" ht="15" hidden="false" customHeight="false" outlineLevel="0" collapsed="false">
      <c r="R307" s="57"/>
      <c r="S307" s="58"/>
      <c r="T307" s="59"/>
      <c r="U307" s="30"/>
      <c r="V307" s="30"/>
      <c r="AG307" s="55" t="n">
        <f aca="false">SUM(AG304:AG306)</f>
        <v>390.952</v>
      </c>
    </row>
    <row r="308" customFormat="false" ht="15" hidden="false" customHeight="false" outlineLevel="0" collapsed="false">
      <c r="R308" s="57"/>
      <c r="S308" s="58"/>
      <c r="T308" s="59"/>
      <c r="U308" s="30"/>
      <c r="V308" s="30"/>
      <c r="Y308" s="56" t="s">
        <v>317</v>
      </c>
    </row>
    <row r="309" customFormat="false" ht="15" hidden="false" customHeight="false" outlineLevel="0" collapsed="false">
      <c r="R309" s="57"/>
      <c r="S309" s="58"/>
      <c r="T309" s="59"/>
      <c r="U309" s="30"/>
      <c r="V309" s="30"/>
      <c r="Y309" s="1" t="s">
        <v>309</v>
      </c>
      <c r="AC309" s="57" t="s">
        <v>310</v>
      </c>
      <c r="AE309" s="59" t="n">
        <v>3</v>
      </c>
      <c r="AF309" s="30" t="n">
        <f aca="false">AG302</f>
        <v>53.13696</v>
      </c>
      <c r="AG309" s="30" t="n">
        <f aca="false">AE309%*AF309</f>
        <v>1.5941088</v>
      </c>
    </row>
    <row r="310" customFormat="false" ht="15" hidden="false" customHeight="false" outlineLevel="0" collapsed="false">
      <c r="R310" s="57"/>
      <c r="S310" s="58"/>
      <c r="T310" s="59"/>
      <c r="U310" s="30"/>
      <c r="V310" s="30"/>
      <c r="Y310" s="1" t="s">
        <v>721</v>
      </c>
      <c r="AC310" s="57" t="s">
        <v>337</v>
      </c>
      <c r="AD310" s="58" t="n">
        <v>1</v>
      </c>
      <c r="AE310" s="59" t="n">
        <f aca="false">AD310*8/$AA$295</f>
        <v>0.32</v>
      </c>
      <c r="AF310" s="30" t="n">
        <v>6.93</v>
      </c>
      <c r="AG310" s="30" t="n">
        <f aca="false">AE310*AF310</f>
        <v>2.2176</v>
      </c>
    </row>
    <row r="311" customFormat="false" ht="15" hidden="false" customHeight="false" outlineLevel="0" collapsed="false">
      <c r="R311" s="57"/>
      <c r="S311" s="58"/>
      <c r="T311" s="59"/>
      <c r="U311" s="30"/>
      <c r="V311" s="30"/>
      <c r="X311" s="62"/>
      <c r="Y311" s="62"/>
      <c r="Z311" s="62"/>
      <c r="AA311" s="62"/>
      <c r="AB311" s="62"/>
      <c r="AC311" s="62"/>
      <c r="AD311" s="62"/>
      <c r="AE311" s="62"/>
      <c r="AF311" s="62"/>
      <c r="AG311" s="63" t="n">
        <f aca="false">SUM(AG309:AG310)</f>
        <v>3.8117088</v>
      </c>
    </row>
    <row r="312" customFormat="false" ht="15" hidden="false" customHeight="false" outlineLevel="0" collapsed="false">
      <c r="R312" s="57"/>
      <c r="S312" s="58"/>
      <c r="T312" s="59"/>
      <c r="U312" s="30"/>
      <c r="V312" s="30"/>
      <c r="AC312" s="57"/>
      <c r="AE312" s="59"/>
      <c r="AF312" s="30"/>
      <c r="AG312" s="30"/>
    </row>
    <row r="313" customFormat="false" ht="15" hidden="false" customHeight="false" outlineLevel="0" collapsed="false">
      <c r="R313" s="57"/>
      <c r="S313" s="58"/>
      <c r="T313" s="59"/>
      <c r="U313" s="30"/>
      <c r="V313" s="30"/>
      <c r="X313" s="14" t="s">
        <v>1327</v>
      </c>
      <c r="Y313" s="14"/>
      <c r="Z313" s="14" t="s">
        <v>837</v>
      </c>
      <c r="AA313" s="14"/>
      <c r="AB313" s="14"/>
      <c r="AC313" s="14"/>
      <c r="AD313" s="14"/>
      <c r="AE313" s="14"/>
      <c r="AF313" s="14"/>
    </row>
    <row r="314" customFormat="false" ht="15" hidden="false" customHeight="false" outlineLevel="0" collapsed="false">
      <c r="R314" s="57"/>
      <c r="S314" s="58"/>
      <c r="T314" s="59"/>
      <c r="U314" s="30"/>
      <c r="V314" s="30"/>
      <c r="X314" s="14" t="s">
        <v>277</v>
      </c>
      <c r="Y314" s="14" t="s">
        <v>278</v>
      </c>
      <c r="Z314" s="38" t="s">
        <v>279</v>
      </c>
      <c r="AA314" s="54" t="n">
        <v>20</v>
      </c>
      <c r="AB314" s="38" t="s">
        <v>280</v>
      </c>
      <c r="AC314" s="54" t="n">
        <f aca="false">AA314</f>
        <v>20</v>
      </c>
      <c r="AD314" s="14" t="s">
        <v>281</v>
      </c>
      <c r="AF314" s="38" t="s">
        <v>132</v>
      </c>
      <c r="AG314" s="55" t="n">
        <f aca="false">AG319+AG322</f>
        <v>9.880996</v>
      </c>
    </row>
    <row r="315" customFormat="false" ht="15" hidden="false" customHeight="false" outlineLevel="0" collapsed="false">
      <c r="R315" s="57"/>
      <c r="S315" s="58"/>
      <c r="T315" s="59"/>
      <c r="U315" s="30"/>
      <c r="V315" s="30"/>
      <c r="X315" s="14" t="s">
        <v>282</v>
      </c>
      <c r="Y315" s="14" t="s">
        <v>283</v>
      </c>
      <c r="AC315" s="38" t="s">
        <v>121</v>
      </c>
      <c r="AD315" s="38" t="s">
        <v>284</v>
      </c>
      <c r="AE315" s="38" t="s">
        <v>285</v>
      </c>
      <c r="AF315" s="38" t="s">
        <v>286</v>
      </c>
      <c r="AG315" s="38" t="s">
        <v>287</v>
      </c>
    </row>
    <row r="316" customFormat="false" ht="15" hidden="false" customHeight="false" outlineLevel="0" collapsed="false">
      <c r="R316" s="57"/>
      <c r="S316" s="58"/>
      <c r="T316" s="59"/>
      <c r="U316" s="30"/>
      <c r="V316" s="30"/>
      <c r="Y316" s="56" t="s">
        <v>288</v>
      </c>
    </row>
    <row r="317" customFormat="false" ht="15" hidden="false" customHeight="false" outlineLevel="0" collapsed="false">
      <c r="R317" s="57"/>
      <c r="S317" s="58"/>
      <c r="T317" s="59"/>
      <c r="U317" s="30"/>
      <c r="V317" s="30"/>
      <c r="Y317" s="1" t="s">
        <v>649</v>
      </c>
      <c r="AC317" s="57" t="s">
        <v>290</v>
      </c>
      <c r="AD317" s="58" t="n">
        <v>0.1</v>
      </c>
      <c r="AE317" s="59" t="n">
        <f aca="false">AD317*8/$AA$314</f>
        <v>0.04</v>
      </c>
      <c r="AF317" s="30" t="n">
        <v>34.73</v>
      </c>
      <c r="AG317" s="30" t="n">
        <f aca="false">AE317*AF317</f>
        <v>1.3892</v>
      </c>
    </row>
    <row r="318" customFormat="false" ht="15" hidden="false" customHeight="false" outlineLevel="0" collapsed="false">
      <c r="R318" s="57"/>
      <c r="S318" s="58"/>
      <c r="T318" s="59"/>
      <c r="U318" s="30"/>
      <c r="V318" s="30"/>
      <c r="Y318" s="1" t="s">
        <v>292</v>
      </c>
      <c r="AC318" s="57" t="s">
        <v>290</v>
      </c>
      <c r="AD318" s="58" t="n">
        <v>1</v>
      </c>
      <c r="AE318" s="59" t="n">
        <f aca="false">AD318*8/$AA$314</f>
        <v>0.4</v>
      </c>
      <c r="AF318" s="30" t="n">
        <v>20.51</v>
      </c>
      <c r="AG318" s="30" t="n">
        <f aca="false">AE318*AF318</f>
        <v>8.204</v>
      </c>
    </row>
    <row r="319" customFormat="false" ht="15" hidden="false" customHeight="false" outlineLevel="0" collapsed="false">
      <c r="R319" s="57"/>
      <c r="S319" s="58"/>
      <c r="T319" s="59"/>
      <c r="U319" s="30"/>
      <c r="V319" s="30"/>
      <c r="AG319" s="55" t="n">
        <f aca="false">SUM(AG317:AG318)</f>
        <v>9.5932</v>
      </c>
    </row>
    <row r="320" customFormat="false" ht="15" hidden="false" customHeight="false" outlineLevel="0" collapsed="false">
      <c r="R320" s="57"/>
      <c r="S320" s="58"/>
      <c r="T320" s="59"/>
      <c r="U320" s="30"/>
      <c r="V320" s="30"/>
      <c r="Y320" s="56" t="s">
        <v>317</v>
      </c>
    </row>
    <row r="321" customFormat="false" ht="15" hidden="false" customHeight="false" outlineLevel="0" collapsed="false">
      <c r="R321" s="57"/>
      <c r="S321" s="58"/>
      <c r="T321" s="59"/>
      <c r="U321" s="30"/>
      <c r="V321" s="30"/>
      <c r="Y321" s="1" t="s">
        <v>309</v>
      </c>
      <c r="AC321" s="57" t="s">
        <v>310</v>
      </c>
      <c r="AE321" s="59" t="n">
        <v>3</v>
      </c>
      <c r="AF321" s="30" t="n">
        <f aca="false">AG319</f>
        <v>9.5932</v>
      </c>
      <c r="AG321" s="30" t="n">
        <f aca="false">AE321%*AF321</f>
        <v>0.287796</v>
      </c>
    </row>
    <row r="322" customFormat="false" ht="15" hidden="false" customHeight="false" outlineLevel="0" collapsed="false">
      <c r="R322" s="57"/>
      <c r="S322" s="58"/>
      <c r="T322" s="59"/>
      <c r="U322" s="30"/>
      <c r="V322" s="30"/>
      <c r="X322" s="62"/>
      <c r="Y322" s="62"/>
      <c r="Z322" s="62"/>
      <c r="AA322" s="62"/>
      <c r="AB322" s="62"/>
      <c r="AC322" s="62"/>
      <c r="AD322" s="62"/>
      <c r="AE322" s="62"/>
      <c r="AF322" s="62"/>
      <c r="AG322" s="63" t="n">
        <f aca="false">SUM(AG321)</f>
        <v>0.287796</v>
      </c>
    </row>
    <row r="323" customFormat="false" ht="15" hidden="false" customHeight="false" outlineLevel="0" collapsed="false">
      <c r="R323" s="57"/>
      <c r="S323" s="58"/>
      <c r="T323" s="59"/>
      <c r="U323" s="30"/>
      <c r="V323" s="30"/>
    </row>
    <row r="324" customFormat="false" ht="15" hidden="false" customHeight="false" outlineLevel="0" collapsed="false">
      <c r="M324" s="14" t="s">
        <v>276</v>
      </c>
      <c r="N324" s="14"/>
      <c r="O324" s="14" t="s">
        <v>1361</v>
      </c>
      <c r="P324" s="14"/>
      <c r="Q324" s="14"/>
      <c r="R324" s="14"/>
      <c r="S324" s="14"/>
      <c r="T324" s="14"/>
      <c r="U324" s="14"/>
      <c r="X324" s="14" t="s">
        <v>1362</v>
      </c>
      <c r="Y324" s="14"/>
      <c r="Z324" s="14" t="s">
        <v>840</v>
      </c>
      <c r="AA324" s="14"/>
      <c r="AB324" s="14"/>
      <c r="AC324" s="14"/>
      <c r="AD324" s="14"/>
      <c r="AE324" s="14"/>
      <c r="AF324" s="14"/>
    </row>
    <row r="325" customFormat="false" ht="15" hidden="false" customHeight="false" outlineLevel="0" collapsed="false">
      <c r="M325" s="14" t="s">
        <v>277</v>
      </c>
      <c r="N325" s="14" t="s">
        <v>278</v>
      </c>
      <c r="O325" s="38" t="s">
        <v>279</v>
      </c>
      <c r="P325" s="54" t="n">
        <v>1</v>
      </c>
      <c r="Q325" s="38" t="s">
        <v>280</v>
      </c>
      <c r="R325" s="54" t="n">
        <f aca="false">P325</f>
        <v>1</v>
      </c>
      <c r="S325" s="14" t="s">
        <v>281</v>
      </c>
      <c r="U325" s="38" t="s">
        <v>132</v>
      </c>
      <c r="V325" s="55" t="n">
        <f aca="false">V338</f>
        <v>171.725839133337</v>
      </c>
      <c r="X325" s="14" t="s">
        <v>277</v>
      </c>
      <c r="Y325" s="14" t="s">
        <v>331</v>
      </c>
      <c r="Z325" s="38" t="s">
        <v>279</v>
      </c>
      <c r="AA325" s="54" t="n">
        <v>1</v>
      </c>
      <c r="AB325" s="38" t="s">
        <v>280</v>
      </c>
      <c r="AC325" s="54" t="n">
        <f aca="false">AA325</f>
        <v>1</v>
      </c>
      <c r="AD325" s="14" t="s">
        <v>281</v>
      </c>
      <c r="AF325" s="38" t="s">
        <v>153</v>
      </c>
      <c r="AG325" s="55" t="n">
        <f aca="false">AG329</f>
        <v>22</v>
      </c>
    </row>
    <row r="326" customFormat="false" ht="15" hidden="false" customHeight="false" outlineLevel="0" collapsed="false">
      <c r="M326" s="14" t="s">
        <v>282</v>
      </c>
      <c r="N326" s="14" t="s">
        <v>283</v>
      </c>
      <c r="R326" s="38" t="s">
        <v>121</v>
      </c>
      <c r="S326" s="38" t="s">
        <v>284</v>
      </c>
      <c r="T326" s="38" t="s">
        <v>285</v>
      </c>
      <c r="U326" s="38" t="s">
        <v>286</v>
      </c>
      <c r="V326" s="38" t="s">
        <v>287</v>
      </c>
      <c r="X326" s="14" t="s">
        <v>282</v>
      </c>
      <c r="Y326" s="14" t="s">
        <v>283</v>
      </c>
      <c r="AC326" s="38" t="s">
        <v>121</v>
      </c>
      <c r="AD326" s="38" t="s">
        <v>284</v>
      </c>
      <c r="AE326" s="38" t="s">
        <v>285</v>
      </c>
      <c r="AF326" s="38" t="s">
        <v>286</v>
      </c>
      <c r="AG326" s="38" t="s">
        <v>287</v>
      </c>
    </row>
    <row r="327" customFormat="false" ht="15" hidden="false" customHeight="false" outlineLevel="0" collapsed="false">
      <c r="N327" s="56" t="s">
        <v>293</v>
      </c>
      <c r="Y327" s="56" t="s">
        <v>293</v>
      </c>
    </row>
    <row r="328" customFormat="false" ht="15" hidden="false" customHeight="false" outlineLevel="0" collapsed="false">
      <c r="L328" s="119"/>
      <c r="N328" s="119"/>
      <c r="R328" s="57"/>
      <c r="S328" s="58"/>
      <c r="T328" s="186"/>
      <c r="U328" s="30"/>
      <c r="V328" s="30"/>
      <c r="Y328" s="1" t="s">
        <v>960</v>
      </c>
      <c r="AC328" s="57" t="s">
        <v>148</v>
      </c>
      <c r="AD328" s="58"/>
      <c r="AE328" s="59" t="n">
        <v>1</v>
      </c>
      <c r="AF328" s="1" t="n">
        <v>22</v>
      </c>
      <c r="AG328" s="30" t="n">
        <f aca="false">AE328*AF328</f>
        <v>22</v>
      </c>
    </row>
    <row r="329" customFormat="false" ht="15" hidden="false" customHeight="false" outlineLevel="0" collapsed="false">
      <c r="L329" s="119"/>
      <c r="N329" s="119"/>
      <c r="R329" s="57"/>
      <c r="T329" s="186"/>
      <c r="U329" s="30"/>
      <c r="V329" s="30"/>
      <c r="X329" s="62"/>
      <c r="Y329" s="62"/>
      <c r="Z329" s="62"/>
      <c r="AA329" s="62"/>
      <c r="AB329" s="62"/>
      <c r="AC329" s="62"/>
      <c r="AD329" s="62"/>
      <c r="AE329" s="62"/>
      <c r="AF329" s="62"/>
      <c r="AG329" s="63" t="n">
        <f aca="false">SUM(AG328)</f>
        <v>22</v>
      </c>
    </row>
    <row r="330" customFormat="false" ht="15" hidden="false" customHeight="false" outlineLevel="0" collapsed="false">
      <c r="L330" s="119"/>
      <c r="N330" s="119" t="s">
        <v>1332</v>
      </c>
      <c r="R330" s="57" t="s">
        <v>202</v>
      </c>
      <c r="S330" s="58"/>
      <c r="T330" s="186" t="n">
        <v>1</v>
      </c>
      <c r="U330" s="30" t="n">
        <f aca="false">AG74</f>
        <v>7.930344</v>
      </c>
      <c r="V330" s="30" t="n">
        <f aca="false">T330*U330</f>
        <v>7.930344</v>
      </c>
    </row>
    <row r="331" customFormat="false" ht="15" hidden="false" customHeight="false" outlineLevel="0" collapsed="false">
      <c r="L331" s="120"/>
      <c r="N331" s="120" t="s">
        <v>1334</v>
      </c>
      <c r="R331" s="57" t="s">
        <v>132</v>
      </c>
      <c r="S331" s="58"/>
      <c r="T331" s="187" t="n">
        <v>0.33</v>
      </c>
      <c r="U331" s="30" t="n">
        <f aca="false">AG89</f>
        <v>77.2277048</v>
      </c>
      <c r="V331" s="30" t="n">
        <f aca="false">T331*U331</f>
        <v>25.485142584</v>
      </c>
      <c r="X331" s="14" t="s">
        <v>1327</v>
      </c>
      <c r="Y331" s="14"/>
      <c r="Z331" s="14" t="s">
        <v>628</v>
      </c>
      <c r="AA331" s="14"/>
      <c r="AB331" s="14"/>
      <c r="AC331" s="14"/>
      <c r="AD331" s="14"/>
      <c r="AE331" s="14"/>
      <c r="AF331" s="14"/>
    </row>
    <row r="332" customFormat="false" ht="15" hidden="false" customHeight="false" outlineLevel="0" collapsed="false">
      <c r="L332" s="120"/>
      <c r="N332" s="121" t="s">
        <v>840</v>
      </c>
      <c r="R332" s="57" t="s">
        <v>153</v>
      </c>
      <c r="S332" s="58"/>
      <c r="T332" s="188" t="n">
        <v>1</v>
      </c>
      <c r="U332" s="30" t="n">
        <f aca="false">AG325</f>
        <v>22</v>
      </c>
      <c r="V332" s="30" t="n">
        <f aca="false">T332*U332</f>
        <v>22</v>
      </c>
      <c r="X332" s="14" t="s">
        <v>277</v>
      </c>
      <c r="Y332" s="14" t="s">
        <v>278</v>
      </c>
      <c r="Z332" s="38" t="s">
        <v>279</v>
      </c>
      <c r="AA332" s="54" t="n">
        <v>12</v>
      </c>
      <c r="AB332" s="38" t="s">
        <v>280</v>
      </c>
      <c r="AC332" s="54" t="n">
        <f aca="false">AA332</f>
        <v>12</v>
      </c>
      <c r="AD332" s="14" t="s">
        <v>281</v>
      </c>
      <c r="AF332" s="38" t="s">
        <v>132</v>
      </c>
      <c r="AG332" s="55" t="n">
        <f aca="false">AG339+AG345+AG348</f>
        <v>84.6740433333333</v>
      </c>
    </row>
    <row r="333" customFormat="false" ht="15" hidden="false" customHeight="false" outlineLevel="0" collapsed="false">
      <c r="L333" s="121"/>
      <c r="N333" s="121" t="s">
        <v>628</v>
      </c>
      <c r="R333" s="57" t="s">
        <v>132</v>
      </c>
      <c r="S333" s="58"/>
      <c r="T333" s="188" t="n">
        <v>0.225</v>
      </c>
      <c r="U333" s="30" t="n">
        <f aca="false">AG332</f>
        <v>84.6740433333333</v>
      </c>
      <c r="V333" s="30" t="n">
        <f aca="false">T333*U333</f>
        <v>19.05165975</v>
      </c>
      <c r="X333" s="14" t="s">
        <v>282</v>
      </c>
      <c r="Y333" s="14" t="s">
        <v>283</v>
      </c>
      <c r="AC333" s="38" t="s">
        <v>121</v>
      </c>
      <c r="AD333" s="38" t="s">
        <v>284</v>
      </c>
      <c r="AE333" s="38" t="s">
        <v>285</v>
      </c>
      <c r="AF333" s="38" t="s">
        <v>286</v>
      </c>
      <c r="AG333" s="38" t="s">
        <v>287</v>
      </c>
    </row>
    <row r="334" customFormat="false" ht="15" hidden="false" customHeight="false" outlineLevel="0" collapsed="false">
      <c r="L334" s="121"/>
      <c r="N334" s="121" t="s">
        <v>630</v>
      </c>
      <c r="R334" s="57" t="s">
        <v>295</v>
      </c>
      <c r="S334" s="58"/>
      <c r="T334" s="188" t="n">
        <v>0.2</v>
      </c>
      <c r="U334" s="30" t="n">
        <f aca="false">AG351</f>
        <v>7.50579971428572</v>
      </c>
      <c r="V334" s="30" t="n">
        <f aca="false">T334*U334</f>
        <v>1.50115994285714</v>
      </c>
      <c r="Y334" s="56" t="s">
        <v>288</v>
      </c>
    </row>
    <row r="335" customFormat="false" ht="15" hidden="false" customHeight="false" outlineLevel="0" collapsed="false">
      <c r="L335" s="121"/>
      <c r="N335" s="121" t="s">
        <v>1344</v>
      </c>
      <c r="R335" s="57" t="s">
        <v>132</v>
      </c>
      <c r="S335" s="58"/>
      <c r="T335" s="188" t="n">
        <v>1</v>
      </c>
      <c r="U335" s="30" t="n">
        <f aca="false">AG170</f>
        <v>2.9418736</v>
      </c>
      <c r="V335" s="30" t="n">
        <f aca="false">T335*U335</f>
        <v>2.9418736</v>
      </c>
      <c r="Y335" s="1" t="s">
        <v>649</v>
      </c>
      <c r="AC335" s="57" t="s">
        <v>290</v>
      </c>
      <c r="AD335" s="58" t="n">
        <v>0.1</v>
      </c>
      <c r="AE335" s="59" t="n">
        <f aca="false">AD335*8/$AA$332</f>
        <v>0.0666666666666667</v>
      </c>
      <c r="AF335" s="30" t="n">
        <v>34.73</v>
      </c>
      <c r="AG335" s="30" t="n">
        <f aca="false">AE335*AF335</f>
        <v>2.31533333333333</v>
      </c>
    </row>
    <row r="336" customFormat="false" ht="15" hidden="false" customHeight="false" outlineLevel="0" collapsed="false">
      <c r="L336" s="121"/>
      <c r="N336" s="121" t="s">
        <v>633</v>
      </c>
      <c r="R336" s="57" t="s">
        <v>202</v>
      </c>
      <c r="S336" s="58"/>
      <c r="T336" s="188" t="n">
        <v>0.2</v>
      </c>
      <c r="U336" s="30" t="n">
        <f aca="false">AG367</f>
        <v>445.90736</v>
      </c>
      <c r="V336" s="30" t="n">
        <f aca="false">T336*U336</f>
        <v>89.181472</v>
      </c>
      <c r="Y336" s="1" t="s">
        <v>289</v>
      </c>
      <c r="AC336" s="57" t="s">
        <v>290</v>
      </c>
      <c r="AD336" s="58" t="n">
        <v>1</v>
      </c>
      <c r="AE336" s="59" t="n">
        <f aca="false">AD336*8/$AA$332</f>
        <v>0.666666666666667</v>
      </c>
      <c r="AF336" s="30" t="n">
        <v>28.94</v>
      </c>
      <c r="AG336" s="30" t="n">
        <f aca="false">AE336*AF336</f>
        <v>19.2933333333333</v>
      </c>
    </row>
    <row r="337" customFormat="false" ht="15" hidden="false" customHeight="false" outlineLevel="0" collapsed="false">
      <c r="L337" s="121"/>
      <c r="N337" s="121" t="s">
        <v>604</v>
      </c>
      <c r="R337" s="57" t="s">
        <v>143</v>
      </c>
      <c r="S337" s="58"/>
      <c r="T337" s="188" t="n">
        <v>0.1889</v>
      </c>
      <c r="U337" s="30" t="n">
        <f aca="false">AG198</f>
        <v>19.2386832</v>
      </c>
      <c r="V337" s="30" t="n">
        <f aca="false">T337*U337</f>
        <v>3.63418725648</v>
      </c>
      <c r="Y337" s="1" t="s">
        <v>291</v>
      </c>
      <c r="AC337" s="57" t="s">
        <v>290</v>
      </c>
      <c r="AD337" s="58" t="n">
        <v>1</v>
      </c>
      <c r="AE337" s="59" t="n">
        <f aca="false">AD337*8/$AA$332</f>
        <v>0.666666666666667</v>
      </c>
      <c r="AF337" s="30" t="n">
        <v>22.66</v>
      </c>
      <c r="AG337" s="30" t="n">
        <f aca="false">AE337*AF337</f>
        <v>15.1066666666667</v>
      </c>
    </row>
    <row r="338" customFormat="false" ht="15" hidden="false" customHeight="false" outlineLevel="0" collapsed="false">
      <c r="M338" s="62"/>
      <c r="N338" s="62"/>
      <c r="O338" s="62"/>
      <c r="P338" s="62"/>
      <c r="Q338" s="62"/>
      <c r="R338" s="62"/>
      <c r="S338" s="62"/>
      <c r="T338" s="62"/>
      <c r="U338" s="62"/>
      <c r="V338" s="63" t="n">
        <f aca="false">SUM(V328:V337)</f>
        <v>171.725839133337</v>
      </c>
      <c r="Y338" s="1" t="s">
        <v>292</v>
      </c>
      <c r="AC338" s="57" t="s">
        <v>290</v>
      </c>
      <c r="AD338" s="58" t="n">
        <v>0.75</v>
      </c>
      <c r="AE338" s="59" t="n">
        <f aca="false">AD338*8/$AA$332</f>
        <v>0.5</v>
      </c>
      <c r="AF338" s="30" t="n">
        <v>20.51</v>
      </c>
      <c r="AG338" s="30" t="n">
        <f aca="false">AE338*AF338</f>
        <v>10.255</v>
      </c>
    </row>
    <row r="339" customFormat="false" ht="15" hidden="false" customHeight="false" outlineLevel="0" collapsed="false">
      <c r="AG339" s="55" t="n">
        <f aca="false">SUM(AG335:AG338)</f>
        <v>46.9703333333333</v>
      </c>
    </row>
    <row r="340" customFormat="false" ht="15" hidden="false" customHeight="false" outlineLevel="0" collapsed="false">
      <c r="R340" s="57"/>
      <c r="S340" s="58"/>
      <c r="T340" s="59"/>
      <c r="U340" s="30"/>
      <c r="V340" s="30"/>
      <c r="Y340" s="56" t="s">
        <v>293</v>
      </c>
      <c r="AC340" s="57"/>
      <c r="AH340" s="55"/>
    </row>
    <row r="341" customFormat="false" ht="15" hidden="false" customHeight="false" outlineLevel="0" collapsed="false">
      <c r="R341" s="57"/>
      <c r="S341" s="58"/>
      <c r="T341" s="59"/>
      <c r="U341" s="30"/>
      <c r="V341" s="30"/>
      <c r="Y341" s="1" t="s">
        <v>685</v>
      </c>
      <c r="AC341" s="57" t="s">
        <v>295</v>
      </c>
      <c r="AE341" s="59" t="n">
        <v>0.1</v>
      </c>
      <c r="AF341" s="30" t="n">
        <v>2.64</v>
      </c>
      <c r="AG341" s="30" t="n">
        <f aca="false">AE341*AF341</f>
        <v>0.264</v>
      </c>
    </row>
    <row r="342" customFormat="false" ht="15" hidden="false" customHeight="false" outlineLevel="0" collapsed="false">
      <c r="R342" s="57"/>
      <c r="S342" s="58"/>
      <c r="T342" s="59"/>
      <c r="U342" s="30"/>
      <c r="V342" s="30"/>
      <c r="Y342" s="1" t="s">
        <v>723</v>
      </c>
      <c r="AC342" s="57" t="s">
        <v>295</v>
      </c>
      <c r="AE342" s="59" t="n">
        <v>0.2</v>
      </c>
      <c r="AF342" s="1" t="n">
        <v>4.16</v>
      </c>
      <c r="AG342" s="30" t="n">
        <f aca="false">AE342*AF342</f>
        <v>0.832</v>
      </c>
    </row>
    <row r="343" customFormat="false" ht="15" hidden="false" customHeight="false" outlineLevel="0" collapsed="false">
      <c r="R343" s="57"/>
      <c r="S343" s="58"/>
      <c r="T343" s="59"/>
      <c r="U343" s="30"/>
      <c r="V343" s="30"/>
      <c r="Y343" s="1" t="s">
        <v>730</v>
      </c>
      <c r="AC343" s="57" t="s">
        <v>148</v>
      </c>
      <c r="AE343" s="59" t="n">
        <v>0.07</v>
      </c>
      <c r="AF343" s="1" t="n">
        <v>43.98</v>
      </c>
      <c r="AG343" s="30" t="n">
        <f aca="false">AE343*AF343</f>
        <v>3.0786</v>
      </c>
    </row>
    <row r="344" customFormat="false" ht="15" hidden="false" customHeight="false" outlineLevel="0" collapsed="false">
      <c r="R344" s="57"/>
      <c r="S344" s="58"/>
      <c r="T344" s="59"/>
      <c r="U344" s="30"/>
      <c r="V344" s="30"/>
      <c r="Y344" s="1" t="s">
        <v>307</v>
      </c>
      <c r="AC344" s="57" t="s">
        <v>304</v>
      </c>
      <c r="AE344" s="59" t="n">
        <v>3.65</v>
      </c>
      <c r="AF344" s="30" t="n">
        <v>8.8</v>
      </c>
      <c r="AG344" s="30" t="n">
        <f aca="false">AE344*AF344</f>
        <v>32.12</v>
      </c>
    </row>
    <row r="345" customFormat="false" ht="15" hidden="false" customHeight="false" outlineLevel="0" collapsed="false">
      <c r="R345" s="57"/>
      <c r="S345" s="58"/>
      <c r="T345" s="59"/>
      <c r="U345" s="30"/>
      <c r="V345" s="30"/>
      <c r="AG345" s="55" t="n">
        <f aca="false">SUM(AG341:AG344)</f>
        <v>36.2946</v>
      </c>
    </row>
    <row r="346" customFormat="false" ht="15" hidden="false" customHeight="false" outlineLevel="0" collapsed="false">
      <c r="R346" s="57"/>
      <c r="S346" s="58"/>
      <c r="T346" s="59"/>
      <c r="U346" s="30"/>
      <c r="V346" s="30"/>
      <c r="Y346" s="56" t="s">
        <v>317</v>
      </c>
    </row>
    <row r="347" customFormat="false" ht="15" hidden="false" customHeight="false" outlineLevel="0" collapsed="false">
      <c r="R347" s="57"/>
      <c r="S347" s="58"/>
      <c r="T347" s="59"/>
      <c r="U347" s="30"/>
      <c r="V347" s="30"/>
      <c r="Y347" s="1" t="s">
        <v>309</v>
      </c>
      <c r="AC347" s="57" t="s">
        <v>310</v>
      </c>
      <c r="AE347" s="59" t="n">
        <v>3</v>
      </c>
      <c r="AF347" s="30" t="n">
        <f aca="false">AG339</f>
        <v>46.9703333333333</v>
      </c>
      <c r="AG347" s="30" t="n">
        <f aca="false">AE347%*AF347</f>
        <v>1.40911</v>
      </c>
    </row>
    <row r="348" customFormat="false" ht="15" hidden="false" customHeight="false" outlineLevel="0" collapsed="false">
      <c r="R348" s="57"/>
      <c r="S348" s="58"/>
      <c r="T348" s="59"/>
      <c r="U348" s="30"/>
      <c r="V348" s="30"/>
      <c r="X348" s="62"/>
      <c r="Y348" s="62"/>
      <c r="Z348" s="62"/>
      <c r="AA348" s="62"/>
      <c r="AB348" s="62"/>
      <c r="AC348" s="62"/>
      <c r="AD348" s="62"/>
      <c r="AE348" s="62"/>
      <c r="AF348" s="62"/>
      <c r="AG348" s="63" t="n">
        <f aca="false">SUM(AG347:AG347)</f>
        <v>1.40911</v>
      </c>
    </row>
    <row r="349" customFormat="false" ht="15" hidden="false" customHeight="false" outlineLevel="0" collapsed="false">
      <c r="R349" s="57"/>
      <c r="S349" s="58"/>
      <c r="T349" s="59"/>
      <c r="U349" s="30"/>
      <c r="V349" s="30"/>
    </row>
    <row r="350" customFormat="false" ht="15" hidden="false" customHeight="false" outlineLevel="0" collapsed="false">
      <c r="R350" s="57"/>
      <c r="S350" s="58"/>
      <c r="T350" s="59"/>
      <c r="U350" s="30"/>
      <c r="V350" s="30"/>
      <c r="X350" s="14" t="s">
        <v>1327</v>
      </c>
      <c r="Y350" s="14"/>
      <c r="Z350" s="14" t="s">
        <v>630</v>
      </c>
      <c r="AA350" s="14"/>
      <c r="AB350" s="14"/>
      <c r="AC350" s="14"/>
      <c r="AD350" s="14"/>
      <c r="AE350" s="14"/>
      <c r="AF350" s="14"/>
    </row>
    <row r="351" customFormat="false" ht="15" hidden="false" customHeight="false" outlineLevel="0" collapsed="false">
      <c r="R351" s="57"/>
      <c r="S351" s="58"/>
      <c r="T351" s="59"/>
      <c r="U351" s="30"/>
      <c r="V351" s="30"/>
      <c r="X351" s="14" t="s">
        <v>277</v>
      </c>
      <c r="Y351" s="14" t="s">
        <v>674</v>
      </c>
      <c r="Z351" s="38" t="s">
        <v>279</v>
      </c>
      <c r="AA351" s="54" t="n">
        <v>280</v>
      </c>
      <c r="AB351" s="38" t="s">
        <v>280</v>
      </c>
      <c r="AC351" s="54" t="n">
        <f aca="false">AA351</f>
        <v>280</v>
      </c>
      <c r="AD351" s="14" t="s">
        <v>281</v>
      </c>
      <c r="AF351" s="38" t="s">
        <v>295</v>
      </c>
      <c r="AG351" s="55" t="n">
        <f aca="false">AG358+AG361+AG364</f>
        <v>7.50579971428572</v>
      </c>
    </row>
    <row r="352" customFormat="false" ht="15" hidden="false" customHeight="false" outlineLevel="0" collapsed="false">
      <c r="R352" s="57"/>
      <c r="S352" s="58"/>
      <c r="T352" s="59"/>
      <c r="U352" s="30"/>
      <c r="V352" s="30"/>
      <c r="X352" s="14" t="s">
        <v>282</v>
      </c>
      <c r="Y352" s="14" t="s">
        <v>283</v>
      </c>
      <c r="AC352" s="38" t="s">
        <v>121</v>
      </c>
      <c r="AD352" s="38" t="s">
        <v>284</v>
      </c>
      <c r="AE352" s="38" t="s">
        <v>285</v>
      </c>
      <c r="AF352" s="38" t="s">
        <v>286</v>
      </c>
      <c r="AG352" s="38" t="s">
        <v>287</v>
      </c>
    </row>
    <row r="353" customFormat="false" ht="15" hidden="false" customHeight="false" outlineLevel="0" collapsed="false">
      <c r="R353" s="57"/>
      <c r="S353" s="58"/>
      <c r="T353" s="59"/>
      <c r="U353" s="30"/>
      <c r="V353" s="30"/>
      <c r="Y353" s="56" t="s">
        <v>288</v>
      </c>
    </row>
    <row r="354" customFormat="false" ht="15" hidden="false" customHeight="false" outlineLevel="0" collapsed="false">
      <c r="R354" s="57"/>
      <c r="S354" s="58"/>
      <c r="T354" s="59"/>
      <c r="U354" s="30"/>
      <c r="V354" s="30"/>
      <c r="Y354" s="1" t="s">
        <v>649</v>
      </c>
      <c r="AC354" s="57" t="s">
        <v>290</v>
      </c>
      <c r="AD354" s="58" t="n">
        <v>0.1</v>
      </c>
      <c r="AE354" s="59" t="n">
        <f aca="false">AD354*8/$AA$351</f>
        <v>0.00285714285714286</v>
      </c>
      <c r="AF354" s="30" t="n">
        <v>34.73</v>
      </c>
      <c r="AG354" s="30" t="n">
        <f aca="false">AE354*AF354</f>
        <v>0.0992285714285714</v>
      </c>
    </row>
    <row r="355" customFormat="false" ht="15" hidden="false" customHeight="false" outlineLevel="0" collapsed="false">
      <c r="R355" s="57"/>
      <c r="S355" s="58"/>
      <c r="T355" s="59"/>
      <c r="U355" s="30"/>
      <c r="V355" s="30"/>
      <c r="Y355" s="1" t="s">
        <v>289</v>
      </c>
      <c r="AC355" s="57" t="s">
        <v>290</v>
      </c>
      <c r="AD355" s="58" t="n">
        <v>1</v>
      </c>
      <c r="AE355" s="59" t="n">
        <f aca="false">AD355*8/$AA$351</f>
        <v>0.0285714285714286</v>
      </c>
      <c r="AF355" s="30" t="n">
        <v>28.94</v>
      </c>
      <c r="AG355" s="30" t="n">
        <f aca="false">AE355*AF355</f>
        <v>0.826857142857143</v>
      </c>
    </row>
    <row r="356" customFormat="false" ht="15" hidden="false" customHeight="false" outlineLevel="0" collapsed="false">
      <c r="R356" s="57"/>
      <c r="S356" s="58"/>
      <c r="T356" s="59"/>
      <c r="U356" s="30"/>
      <c r="V356" s="30"/>
      <c r="Y356" s="1" t="s">
        <v>291</v>
      </c>
      <c r="AC356" s="57" t="s">
        <v>290</v>
      </c>
      <c r="AD356" s="58" t="n">
        <v>1</v>
      </c>
      <c r="AE356" s="59" t="n">
        <f aca="false">AD356*8/$AA$351</f>
        <v>0.0285714285714286</v>
      </c>
      <c r="AF356" s="30" t="n">
        <v>22.66</v>
      </c>
      <c r="AG356" s="30" t="n">
        <f aca="false">AE356*AF356</f>
        <v>0.647428571428572</v>
      </c>
    </row>
    <row r="357" customFormat="false" ht="15" hidden="false" customHeight="false" outlineLevel="0" collapsed="false">
      <c r="R357" s="57"/>
      <c r="S357" s="58"/>
      <c r="T357" s="59"/>
      <c r="U357" s="30"/>
      <c r="V357" s="30"/>
      <c r="Y357" s="1" t="s">
        <v>292</v>
      </c>
      <c r="AC357" s="57" t="s">
        <v>290</v>
      </c>
      <c r="AD357" s="58" t="n">
        <v>1</v>
      </c>
      <c r="AE357" s="59" t="n">
        <f aca="false">AD357*8/$AA$351</f>
        <v>0.0285714285714286</v>
      </c>
      <c r="AF357" s="30" t="n">
        <v>20.51</v>
      </c>
      <c r="AG357" s="30" t="n">
        <f aca="false">AE357*AF357</f>
        <v>0.586</v>
      </c>
    </row>
    <row r="358" customFormat="false" ht="15" hidden="false" customHeight="false" outlineLevel="0" collapsed="false">
      <c r="R358" s="57"/>
      <c r="S358" s="58"/>
      <c r="T358" s="59"/>
      <c r="U358" s="30"/>
      <c r="V358" s="30"/>
      <c r="AG358" s="55" t="n">
        <f aca="false">SUM(AG354:AG357)</f>
        <v>2.15951428571429</v>
      </c>
    </row>
    <row r="359" customFormat="false" ht="15" hidden="false" customHeight="false" outlineLevel="0" collapsed="false">
      <c r="R359" s="57"/>
      <c r="S359" s="58"/>
      <c r="T359" s="59"/>
      <c r="U359" s="30"/>
      <c r="V359" s="30"/>
      <c r="Y359" s="56" t="s">
        <v>293</v>
      </c>
      <c r="AC359" s="57"/>
    </row>
    <row r="360" customFormat="false" ht="15" hidden="false" customHeight="false" outlineLevel="0" collapsed="false">
      <c r="R360" s="57"/>
      <c r="S360" s="58"/>
      <c r="T360" s="59"/>
      <c r="U360" s="30"/>
      <c r="V360" s="30"/>
      <c r="Y360" s="1" t="s">
        <v>731</v>
      </c>
      <c r="AC360" s="57" t="s">
        <v>295</v>
      </c>
      <c r="AE360" s="59" t="n">
        <v>1.05</v>
      </c>
      <c r="AF360" s="30" t="n">
        <v>5.03</v>
      </c>
      <c r="AG360" s="30" t="n">
        <f aca="false">AE360*AF360</f>
        <v>5.2815</v>
      </c>
    </row>
    <row r="361" customFormat="false" ht="15" hidden="false" customHeight="false" outlineLevel="0" collapsed="false">
      <c r="R361" s="57"/>
      <c r="S361" s="58"/>
      <c r="T361" s="59"/>
      <c r="U361" s="30"/>
      <c r="V361" s="30"/>
      <c r="AG361" s="55" t="n">
        <f aca="false">SUM(AG360:AG360)</f>
        <v>5.2815</v>
      </c>
    </row>
    <row r="362" customFormat="false" ht="15" hidden="false" customHeight="false" outlineLevel="0" collapsed="false">
      <c r="R362" s="57"/>
      <c r="S362" s="58"/>
      <c r="T362" s="59"/>
      <c r="U362" s="30"/>
      <c r="V362" s="30"/>
      <c r="Y362" s="56" t="s">
        <v>317</v>
      </c>
    </row>
    <row r="363" customFormat="false" ht="15" hidden="false" customHeight="false" outlineLevel="0" collapsed="false">
      <c r="R363" s="57"/>
      <c r="S363" s="58"/>
      <c r="T363" s="59"/>
      <c r="U363" s="30"/>
      <c r="V363" s="30"/>
      <c r="Y363" s="1" t="s">
        <v>309</v>
      </c>
      <c r="AC363" s="57" t="s">
        <v>310</v>
      </c>
      <c r="AE363" s="59" t="n">
        <v>3</v>
      </c>
      <c r="AF363" s="30" t="n">
        <f aca="false">AG358</f>
        <v>2.15951428571429</v>
      </c>
      <c r="AG363" s="30" t="n">
        <f aca="false">AE363%*AF363</f>
        <v>0.0647854285714286</v>
      </c>
    </row>
    <row r="364" customFormat="false" ht="15" hidden="false" customHeight="false" outlineLevel="0" collapsed="false">
      <c r="R364" s="57"/>
      <c r="S364" s="58"/>
      <c r="T364" s="59"/>
      <c r="U364" s="30"/>
      <c r="V364" s="30"/>
      <c r="X364" s="62"/>
      <c r="Y364" s="62"/>
      <c r="Z364" s="62"/>
      <c r="AA364" s="62"/>
      <c r="AB364" s="62"/>
      <c r="AC364" s="62"/>
      <c r="AD364" s="62"/>
      <c r="AE364" s="62"/>
      <c r="AF364" s="62"/>
      <c r="AG364" s="63" t="n">
        <f aca="false">SUM(AG363:AG363)</f>
        <v>0.0647854285714286</v>
      </c>
    </row>
    <row r="365" customFormat="false" ht="15" hidden="false" customHeight="false" outlineLevel="0" collapsed="false">
      <c r="R365" s="57"/>
      <c r="S365" s="58"/>
      <c r="T365" s="59"/>
      <c r="U365" s="30"/>
      <c r="V365" s="30"/>
    </row>
    <row r="366" customFormat="false" ht="15" hidden="false" customHeight="false" outlineLevel="0" collapsed="false">
      <c r="R366" s="57"/>
      <c r="S366" s="58"/>
      <c r="T366" s="59"/>
      <c r="U366" s="30"/>
      <c r="V366" s="30"/>
      <c r="X366" s="85" t="s">
        <v>276</v>
      </c>
      <c r="Y366" s="85"/>
      <c r="Z366" s="85" t="s">
        <v>633</v>
      </c>
      <c r="AA366" s="85"/>
    </row>
    <row r="367" customFormat="false" ht="15" hidden="false" customHeight="false" outlineLevel="0" collapsed="false">
      <c r="R367" s="57"/>
      <c r="S367" s="58"/>
      <c r="T367" s="59"/>
      <c r="U367" s="30"/>
      <c r="V367" s="30"/>
      <c r="X367" s="85" t="s">
        <v>277</v>
      </c>
      <c r="Y367" s="85" t="s">
        <v>415</v>
      </c>
      <c r="Z367" s="87" t="s">
        <v>279</v>
      </c>
      <c r="AA367" s="88" t="n">
        <v>30</v>
      </c>
      <c r="AB367" s="87" t="s">
        <v>280</v>
      </c>
      <c r="AC367" s="88" t="n">
        <f aca="false">AA367</f>
        <v>30</v>
      </c>
      <c r="AD367" s="85" t="s">
        <v>281</v>
      </c>
      <c r="AF367" s="87" t="s">
        <v>202</v>
      </c>
      <c r="AG367" s="89" t="n">
        <f aca="false">AG374+AG379+AG383</f>
        <v>445.90736</v>
      </c>
    </row>
    <row r="368" customFormat="false" ht="15" hidden="false" customHeight="false" outlineLevel="0" collapsed="false">
      <c r="R368" s="57"/>
      <c r="S368" s="58"/>
      <c r="T368" s="59"/>
      <c r="U368" s="30"/>
      <c r="V368" s="30"/>
      <c r="X368" s="85" t="s">
        <v>282</v>
      </c>
      <c r="Y368" s="85" t="s">
        <v>283</v>
      </c>
      <c r="AC368" s="87" t="s">
        <v>121</v>
      </c>
      <c r="AD368" s="87" t="s">
        <v>284</v>
      </c>
      <c r="AE368" s="87" t="s">
        <v>285</v>
      </c>
      <c r="AF368" s="87" t="s">
        <v>286</v>
      </c>
      <c r="AG368" s="87" t="s">
        <v>287</v>
      </c>
    </row>
    <row r="369" customFormat="false" ht="15" hidden="false" customHeight="false" outlineLevel="0" collapsed="false">
      <c r="R369" s="57"/>
      <c r="S369" s="58"/>
      <c r="T369" s="59"/>
      <c r="U369" s="30"/>
      <c r="V369" s="30"/>
      <c r="Y369" s="90" t="s">
        <v>288</v>
      </c>
    </row>
    <row r="370" customFormat="false" ht="15" hidden="false" customHeight="false" outlineLevel="0" collapsed="false">
      <c r="R370" s="57"/>
      <c r="S370" s="58"/>
      <c r="T370" s="59"/>
      <c r="U370" s="30"/>
      <c r="V370" s="30"/>
      <c r="Y370" s="1" t="s">
        <v>649</v>
      </c>
      <c r="AC370" s="57" t="s">
        <v>290</v>
      </c>
      <c r="AD370" s="58" t="n">
        <v>0.1</v>
      </c>
      <c r="AE370" s="59" t="n">
        <f aca="false">AD370*8/$AA$367</f>
        <v>0.0266666666666667</v>
      </c>
      <c r="AF370" s="30" t="n">
        <v>34.73</v>
      </c>
      <c r="AG370" s="30" t="n">
        <f aca="false">AE370*AF370</f>
        <v>0.926133333333333</v>
      </c>
    </row>
    <row r="371" customFormat="false" ht="15" hidden="false" customHeight="false" outlineLevel="0" collapsed="false">
      <c r="R371" s="57"/>
      <c r="S371" s="58"/>
      <c r="T371" s="59"/>
      <c r="U371" s="30"/>
      <c r="V371" s="30"/>
      <c r="Y371" s="1" t="s">
        <v>289</v>
      </c>
      <c r="AC371" s="57" t="s">
        <v>290</v>
      </c>
      <c r="AD371" s="58" t="n">
        <v>2</v>
      </c>
      <c r="AE371" s="59" t="n">
        <f aca="false">AD371*8/$AA$367</f>
        <v>0.533333333333333</v>
      </c>
      <c r="AF371" s="30" t="n">
        <v>28.94</v>
      </c>
      <c r="AG371" s="30" t="n">
        <f aca="false">AE371*AF371</f>
        <v>15.4346666666667</v>
      </c>
    </row>
    <row r="372" customFormat="false" ht="15" hidden="false" customHeight="false" outlineLevel="0" collapsed="false">
      <c r="R372" s="57"/>
      <c r="S372" s="58"/>
      <c r="T372" s="59"/>
      <c r="U372" s="30"/>
      <c r="V372" s="30"/>
      <c r="Y372" s="1" t="s">
        <v>291</v>
      </c>
      <c r="AC372" s="57" t="s">
        <v>290</v>
      </c>
      <c r="AD372" s="58" t="n">
        <v>1</v>
      </c>
      <c r="AE372" s="59" t="n">
        <f aca="false">AD372*8/$AA$367</f>
        <v>0.266666666666667</v>
      </c>
      <c r="AF372" s="30" t="n">
        <v>23.6</v>
      </c>
      <c r="AG372" s="30" t="n">
        <f aca="false">AE372*AF372</f>
        <v>6.29333333333333</v>
      </c>
    </row>
    <row r="373" customFormat="false" ht="15" hidden="false" customHeight="false" outlineLevel="0" collapsed="false">
      <c r="R373" s="57"/>
      <c r="S373" s="58"/>
      <c r="T373" s="59"/>
      <c r="U373" s="30"/>
      <c r="V373" s="30"/>
      <c r="Y373" s="1" t="s">
        <v>292</v>
      </c>
      <c r="AC373" s="57" t="s">
        <v>290</v>
      </c>
      <c r="AD373" s="58" t="n">
        <v>4</v>
      </c>
      <c r="AE373" s="59" t="n">
        <f aca="false">AD373*8/$AA$367</f>
        <v>1.06666666666667</v>
      </c>
      <c r="AF373" s="30" t="n">
        <v>21.36</v>
      </c>
      <c r="AG373" s="30" t="n">
        <f aca="false">AE373*AF373</f>
        <v>22.784</v>
      </c>
    </row>
    <row r="374" customFormat="false" ht="15" hidden="false" customHeight="false" outlineLevel="0" collapsed="false">
      <c r="R374" s="57"/>
      <c r="S374" s="58"/>
      <c r="T374" s="59"/>
      <c r="U374" s="30"/>
      <c r="V374" s="30"/>
      <c r="AC374" s="57"/>
      <c r="AD374" s="58"/>
      <c r="AE374" s="59"/>
      <c r="AG374" s="89" t="n">
        <f aca="false">SUM(AG371:AG373)</f>
        <v>44.512</v>
      </c>
    </row>
    <row r="375" customFormat="false" ht="15" hidden="false" customHeight="false" outlineLevel="0" collapsed="false">
      <c r="R375" s="57"/>
      <c r="S375" s="58"/>
      <c r="T375" s="59"/>
      <c r="U375" s="30"/>
      <c r="V375" s="30"/>
      <c r="Y375" s="90" t="s">
        <v>652</v>
      </c>
      <c r="AC375" s="57"/>
      <c r="AD375" s="58"/>
      <c r="AE375" s="59"/>
      <c r="AG375" s="30"/>
    </row>
    <row r="376" customFormat="false" ht="15" hidden="false" customHeight="false" outlineLevel="0" collapsed="false">
      <c r="R376" s="57"/>
      <c r="S376" s="58"/>
      <c r="T376" s="59"/>
      <c r="U376" s="30"/>
      <c r="V376" s="30"/>
      <c r="Y376" s="104" t="s">
        <v>718</v>
      </c>
      <c r="AC376" s="57" t="s">
        <v>202</v>
      </c>
      <c r="AE376" s="59" t="n">
        <v>0.1</v>
      </c>
      <c r="AF376" s="30" t="n">
        <v>24.52</v>
      </c>
      <c r="AG376" s="30" t="n">
        <f aca="false">AE376*AF376</f>
        <v>2.452</v>
      </c>
    </row>
    <row r="377" customFormat="false" ht="15" hidden="false" customHeight="false" outlineLevel="0" collapsed="false">
      <c r="R377" s="57"/>
      <c r="S377" s="58"/>
      <c r="T377" s="59"/>
      <c r="U377" s="30"/>
      <c r="V377" s="30"/>
      <c r="Y377" s="104" t="s">
        <v>719</v>
      </c>
      <c r="AC377" s="57" t="s">
        <v>202</v>
      </c>
      <c r="AE377" s="59" t="n">
        <v>1.02</v>
      </c>
      <c r="AF377" s="30" t="n">
        <v>358</v>
      </c>
      <c r="AG377" s="30" t="n">
        <f aca="false">AE377*AF377</f>
        <v>365.16</v>
      </c>
    </row>
    <row r="378" customFormat="false" ht="15" hidden="false" customHeight="false" outlineLevel="0" collapsed="false">
      <c r="R378" s="57"/>
      <c r="S378" s="58"/>
      <c r="T378" s="59"/>
      <c r="U378" s="30"/>
      <c r="V378" s="30"/>
      <c r="Y378" s="104" t="s">
        <v>720</v>
      </c>
      <c r="AC378" s="57" t="s">
        <v>306</v>
      </c>
      <c r="AE378" s="59" t="n">
        <v>1.02</v>
      </c>
      <c r="AF378" s="30" t="n">
        <v>30</v>
      </c>
      <c r="AG378" s="30" t="n">
        <f aca="false">AE378*AF378</f>
        <v>30.6</v>
      </c>
    </row>
    <row r="379" customFormat="false" ht="15" hidden="false" customHeight="false" outlineLevel="0" collapsed="false">
      <c r="R379" s="57"/>
      <c r="S379" s="58"/>
      <c r="T379" s="59"/>
      <c r="U379" s="30"/>
      <c r="V379" s="30"/>
      <c r="AC379" s="57"/>
      <c r="AE379" s="59"/>
      <c r="AF379" s="30"/>
      <c r="AG379" s="89" t="n">
        <f aca="false">SUM(AG376:AG378)</f>
        <v>398.212</v>
      </c>
    </row>
    <row r="380" customFormat="false" ht="15" hidden="false" customHeight="false" outlineLevel="0" collapsed="false">
      <c r="R380" s="57"/>
      <c r="S380" s="58"/>
      <c r="T380" s="59"/>
      <c r="U380" s="30"/>
      <c r="V380" s="30"/>
      <c r="Y380" s="90" t="s">
        <v>308</v>
      </c>
    </row>
    <row r="381" customFormat="false" ht="15" hidden="false" customHeight="false" outlineLevel="0" collapsed="false">
      <c r="R381" s="57"/>
      <c r="S381" s="58"/>
      <c r="T381" s="59"/>
      <c r="U381" s="30"/>
      <c r="V381" s="30"/>
      <c r="Y381" s="1" t="s">
        <v>309</v>
      </c>
      <c r="AC381" s="57" t="s">
        <v>310</v>
      </c>
      <c r="AE381" s="59" t="n">
        <v>3</v>
      </c>
      <c r="AF381" s="30" t="n">
        <f aca="false">AG374</f>
        <v>44.512</v>
      </c>
      <c r="AG381" s="30" t="n">
        <f aca="false">AE381%*AF381</f>
        <v>1.33536</v>
      </c>
    </row>
    <row r="382" customFormat="false" ht="15" hidden="false" customHeight="false" outlineLevel="0" collapsed="false">
      <c r="R382" s="57"/>
      <c r="S382" s="58"/>
      <c r="T382" s="59"/>
      <c r="U382" s="30"/>
      <c r="V382" s="30"/>
      <c r="Y382" s="104" t="s">
        <v>721</v>
      </c>
      <c r="AC382" s="57" t="s">
        <v>337</v>
      </c>
      <c r="AD382" s="58" t="n">
        <v>1</v>
      </c>
      <c r="AE382" s="59" t="n">
        <f aca="false">AD382*8/$AA$367</f>
        <v>0.266666666666667</v>
      </c>
      <c r="AF382" s="30" t="n">
        <v>6.93</v>
      </c>
      <c r="AG382" s="30" t="n">
        <f aca="false">AE382*AF382</f>
        <v>1.848</v>
      </c>
    </row>
    <row r="383" customFormat="false" ht="15" hidden="false" customHeight="false" outlineLevel="0" collapsed="false">
      <c r="R383" s="57"/>
      <c r="S383" s="58"/>
      <c r="T383" s="59"/>
      <c r="U383" s="30"/>
      <c r="V383" s="30"/>
      <c r="X383" s="62"/>
      <c r="Y383" s="62"/>
      <c r="Z383" s="62"/>
      <c r="AA383" s="62"/>
      <c r="AB383" s="62"/>
      <c r="AC383" s="62"/>
      <c r="AD383" s="62"/>
      <c r="AE383" s="62"/>
      <c r="AF383" s="62"/>
      <c r="AG383" s="91" t="n">
        <f aca="false">SUM(AG381:AG382)</f>
        <v>3.18336</v>
      </c>
    </row>
    <row r="384" customFormat="false" ht="15" hidden="false" customHeight="false" outlineLevel="0" collapsed="false">
      <c r="R384" s="57"/>
      <c r="S384" s="58"/>
      <c r="T384" s="59"/>
      <c r="U384" s="30"/>
      <c r="V384" s="30"/>
    </row>
    <row r="385" customFormat="false" ht="15" hidden="false" customHeight="false" outlineLevel="0" collapsed="false">
      <c r="M385" s="14" t="s">
        <v>276</v>
      </c>
      <c r="N385" s="14"/>
      <c r="O385" s="14" t="s">
        <v>82</v>
      </c>
      <c r="P385" s="14"/>
      <c r="Q385" s="14"/>
      <c r="R385" s="14"/>
      <c r="S385" s="14"/>
      <c r="T385" s="14"/>
      <c r="U385" s="14"/>
    </row>
    <row r="386" customFormat="false" ht="15" hidden="false" customHeight="false" outlineLevel="0" collapsed="false">
      <c r="M386" s="14" t="s">
        <v>277</v>
      </c>
      <c r="N386" s="14" t="s">
        <v>278</v>
      </c>
      <c r="O386" s="38" t="s">
        <v>279</v>
      </c>
      <c r="P386" s="54" t="n">
        <v>1</v>
      </c>
      <c r="Q386" s="38" t="s">
        <v>280</v>
      </c>
      <c r="R386" s="54" t="n">
        <f aca="false">P386</f>
        <v>1</v>
      </c>
      <c r="S386" s="14" t="s">
        <v>281</v>
      </c>
      <c r="U386" s="38" t="s">
        <v>132</v>
      </c>
      <c r="V386" s="55" t="n">
        <f aca="false">V390</f>
        <v>75.46</v>
      </c>
    </row>
    <row r="387" customFormat="false" ht="15" hidden="false" customHeight="false" outlineLevel="0" collapsed="false">
      <c r="M387" s="14" t="s">
        <v>282</v>
      </c>
      <c r="N387" s="14" t="s">
        <v>283</v>
      </c>
      <c r="R387" s="38" t="s">
        <v>121</v>
      </c>
      <c r="S387" s="38" t="s">
        <v>284</v>
      </c>
      <c r="T387" s="38" t="s">
        <v>285</v>
      </c>
      <c r="U387" s="38" t="s">
        <v>286</v>
      </c>
      <c r="V387" s="38" t="s">
        <v>287</v>
      </c>
    </row>
    <row r="388" customFormat="false" ht="15" hidden="false" customHeight="false" outlineLevel="0" collapsed="false">
      <c r="N388" s="56" t="s">
        <v>293</v>
      </c>
    </row>
    <row r="389" customFormat="false" ht="15" hidden="false" customHeight="false" outlineLevel="0" collapsed="false">
      <c r="N389" s="1" t="s">
        <v>82</v>
      </c>
      <c r="R389" s="57" t="s">
        <v>132</v>
      </c>
      <c r="S389" s="58"/>
      <c r="T389" s="59" t="n">
        <v>1</v>
      </c>
      <c r="U389" s="1" t="n">
        <v>75.46</v>
      </c>
      <c r="V389" s="30" t="n">
        <f aca="false">T389*U389</f>
        <v>75.46</v>
      </c>
    </row>
    <row r="390" customFormat="false" ht="15" hidden="false" customHeight="false" outlineLevel="0" collapsed="false">
      <c r="M390" s="62"/>
      <c r="N390" s="62"/>
      <c r="O390" s="62"/>
      <c r="P390" s="62"/>
      <c r="Q390" s="62"/>
      <c r="R390" s="62"/>
      <c r="S390" s="62"/>
      <c r="T390" s="62"/>
      <c r="U390" s="62"/>
      <c r="V390" s="63" t="n">
        <f aca="false">SUM(V389)</f>
        <v>75.46</v>
      </c>
    </row>
    <row r="392" customFormat="false" ht="15" hidden="false" customHeight="false" outlineLevel="0" collapsed="false">
      <c r="M392" s="14" t="s">
        <v>276</v>
      </c>
      <c r="N392" s="14"/>
      <c r="O392" s="14" t="s">
        <v>83</v>
      </c>
      <c r="P392" s="14"/>
      <c r="Q392" s="14"/>
      <c r="R392" s="14"/>
      <c r="S392" s="14"/>
      <c r="T392" s="14"/>
      <c r="U392" s="14"/>
    </row>
    <row r="393" customFormat="false" ht="15" hidden="false" customHeight="false" outlineLevel="0" collapsed="false">
      <c r="M393" s="14" t="s">
        <v>277</v>
      </c>
      <c r="N393" s="14" t="s">
        <v>325</v>
      </c>
      <c r="O393" s="38" t="s">
        <v>279</v>
      </c>
      <c r="P393" s="54" t="n">
        <v>1</v>
      </c>
      <c r="Q393" s="38" t="s">
        <v>280</v>
      </c>
      <c r="R393" s="54" t="n">
        <f aca="false">P393</f>
        <v>1</v>
      </c>
      <c r="S393" s="14" t="s">
        <v>281</v>
      </c>
      <c r="U393" s="38" t="s">
        <v>148</v>
      </c>
      <c r="V393" s="55" t="n">
        <f aca="false">V397</f>
        <v>69.41</v>
      </c>
    </row>
    <row r="394" customFormat="false" ht="15" hidden="false" customHeight="false" outlineLevel="0" collapsed="false">
      <c r="M394" s="14" t="s">
        <v>282</v>
      </c>
      <c r="N394" s="14" t="s">
        <v>283</v>
      </c>
      <c r="R394" s="38" t="s">
        <v>121</v>
      </c>
      <c r="S394" s="38" t="s">
        <v>284</v>
      </c>
      <c r="T394" s="38" t="s">
        <v>285</v>
      </c>
      <c r="U394" s="38" t="s">
        <v>286</v>
      </c>
      <c r="V394" s="38" t="s">
        <v>287</v>
      </c>
    </row>
    <row r="395" customFormat="false" ht="15" hidden="false" customHeight="false" outlineLevel="0" collapsed="false">
      <c r="N395" s="56" t="s">
        <v>293</v>
      </c>
    </row>
    <row r="396" customFormat="false" ht="15" hidden="false" customHeight="false" outlineLevel="0" collapsed="false">
      <c r="N396" s="1" t="s">
        <v>83</v>
      </c>
      <c r="R396" s="57" t="s">
        <v>148</v>
      </c>
      <c r="S396" s="58"/>
      <c r="T396" s="59" t="n">
        <v>1</v>
      </c>
      <c r="U396" s="1" t="n">
        <v>69.41</v>
      </c>
      <c r="V396" s="30" t="n">
        <f aca="false">T396*U396</f>
        <v>69.41</v>
      </c>
    </row>
    <row r="397" customFormat="false" ht="15" hidden="false" customHeight="false" outlineLevel="0" collapsed="false">
      <c r="M397" s="62"/>
      <c r="N397" s="62"/>
      <c r="O397" s="62"/>
      <c r="P397" s="62"/>
      <c r="Q397" s="62"/>
      <c r="R397" s="62"/>
      <c r="S397" s="62"/>
      <c r="T397" s="62"/>
      <c r="U397" s="62"/>
      <c r="V397" s="63" t="n">
        <f aca="false">SUM(V396)</f>
        <v>69.41</v>
      </c>
    </row>
    <row r="398" customFormat="false" ht="15" hidden="false" customHeight="false" outlineLevel="0" collapsed="false">
      <c r="R398" s="57"/>
      <c r="S398" s="58"/>
      <c r="T398" s="59"/>
      <c r="U398" s="30"/>
      <c r="V398" s="30"/>
    </row>
    <row r="399" customFormat="false" ht="15" hidden="false" customHeight="false" outlineLevel="0" collapsed="false">
      <c r="M399" s="14" t="s">
        <v>276</v>
      </c>
      <c r="N399" s="14"/>
      <c r="O399" s="14" t="s">
        <v>1045</v>
      </c>
      <c r="P399" s="14"/>
      <c r="Q399" s="14"/>
      <c r="R399" s="14"/>
      <c r="S399" s="14"/>
      <c r="T399" s="14"/>
      <c r="U399" s="14"/>
    </row>
    <row r="400" customFormat="false" ht="15" hidden="false" customHeight="false" outlineLevel="0" collapsed="false">
      <c r="M400" s="14" t="s">
        <v>277</v>
      </c>
      <c r="N400" s="14" t="s">
        <v>331</v>
      </c>
      <c r="O400" s="38" t="s">
        <v>279</v>
      </c>
      <c r="P400" s="54" t="n">
        <v>1</v>
      </c>
      <c r="Q400" s="38" t="s">
        <v>280</v>
      </c>
      <c r="R400" s="54" t="n">
        <f aca="false">P400</f>
        <v>1</v>
      </c>
      <c r="S400" s="14" t="s">
        <v>281</v>
      </c>
      <c r="U400" s="38" t="s">
        <v>153</v>
      </c>
      <c r="V400" s="55" t="n">
        <f aca="false">V404</f>
        <v>1433.7</v>
      </c>
    </row>
    <row r="401" customFormat="false" ht="15" hidden="false" customHeight="false" outlineLevel="0" collapsed="false">
      <c r="M401" s="14" t="s">
        <v>282</v>
      </c>
      <c r="N401" s="14" t="s">
        <v>283</v>
      </c>
      <c r="R401" s="38" t="s">
        <v>121</v>
      </c>
      <c r="S401" s="38" t="s">
        <v>284</v>
      </c>
      <c r="T401" s="38" t="s">
        <v>285</v>
      </c>
      <c r="U401" s="38" t="s">
        <v>286</v>
      </c>
      <c r="V401" s="38" t="s">
        <v>287</v>
      </c>
    </row>
    <row r="402" customFormat="false" ht="15" hidden="false" customHeight="false" outlineLevel="0" collapsed="false">
      <c r="N402" s="56" t="s">
        <v>293</v>
      </c>
    </row>
    <row r="403" customFormat="false" ht="15" hidden="false" customHeight="false" outlineLevel="0" collapsed="false">
      <c r="N403" s="1" t="s">
        <v>1045</v>
      </c>
      <c r="R403" s="57" t="s">
        <v>153</v>
      </c>
      <c r="S403" s="58"/>
      <c r="T403" s="59" t="n">
        <v>1</v>
      </c>
      <c r="U403" s="71" t="n">
        <f aca="false">10.8*'Datos iniciales '!B3*(0.85+0.035*'Obras exteriores '!J15)</f>
        <v>1433.7</v>
      </c>
      <c r="V403" s="30" t="n">
        <f aca="false">T403*U403</f>
        <v>1433.7</v>
      </c>
    </row>
    <row r="404" customFormat="false" ht="15" hidden="false" customHeight="false" outlineLevel="0" collapsed="false">
      <c r="M404" s="62"/>
      <c r="N404" s="62"/>
      <c r="O404" s="62"/>
      <c r="P404" s="62"/>
      <c r="Q404" s="62"/>
      <c r="R404" s="62"/>
      <c r="S404" s="62"/>
      <c r="T404" s="62"/>
      <c r="U404" s="62"/>
      <c r="V404" s="63" t="n">
        <f aca="false">SUM(V403)</f>
        <v>1433.7</v>
      </c>
    </row>
    <row r="406" customFormat="false" ht="15" hidden="false" customHeight="false" outlineLevel="0" collapsed="false">
      <c r="M406" s="14" t="s">
        <v>276</v>
      </c>
      <c r="N406" s="14"/>
      <c r="O406" s="14" t="s">
        <v>1046</v>
      </c>
      <c r="P406" s="14"/>
      <c r="Q406" s="14"/>
      <c r="R406" s="14"/>
      <c r="S406" s="14"/>
      <c r="T406" s="14"/>
      <c r="U406" s="14"/>
    </row>
    <row r="407" customFormat="false" ht="15" hidden="false" customHeight="false" outlineLevel="0" collapsed="false">
      <c r="M407" s="14" t="s">
        <v>277</v>
      </c>
      <c r="N407" s="14" t="s">
        <v>331</v>
      </c>
      <c r="O407" s="38" t="s">
        <v>279</v>
      </c>
      <c r="P407" s="54" t="n">
        <v>1</v>
      </c>
      <c r="Q407" s="38" t="s">
        <v>280</v>
      </c>
      <c r="R407" s="54" t="n">
        <f aca="false">P407</f>
        <v>1</v>
      </c>
      <c r="S407" s="14" t="s">
        <v>281</v>
      </c>
      <c r="U407" s="38" t="s">
        <v>153</v>
      </c>
      <c r="V407" s="55" t="n">
        <f aca="false">V411</f>
        <v>6500</v>
      </c>
    </row>
    <row r="408" customFormat="false" ht="15" hidden="false" customHeight="false" outlineLevel="0" collapsed="false">
      <c r="M408" s="14" t="s">
        <v>282</v>
      </c>
      <c r="N408" s="14" t="s">
        <v>283</v>
      </c>
      <c r="R408" s="38" t="s">
        <v>121</v>
      </c>
      <c r="S408" s="38" t="s">
        <v>284</v>
      </c>
      <c r="T408" s="38" t="s">
        <v>285</v>
      </c>
      <c r="U408" s="38" t="s">
        <v>286</v>
      </c>
      <c r="V408" s="38" t="s">
        <v>287</v>
      </c>
    </row>
    <row r="409" customFormat="false" ht="15" hidden="false" customHeight="false" outlineLevel="0" collapsed="false">
      <c r="N409" s="56" t="s">
        <v>293</v>
      </c>
    </row>
    <row r="410" customFormat="false" ht="15" hidden="false" customHeight="false" outlineLevel="0" collapsed="false">
      <c r="N410" s="1" t="s">
        <v>1046</v>
      </c>
      <c r="R410" s="57" t="s">
        <v>153</v>
      </c>
      <c r="S410" s="58"/>
      <c r="T410" s="59" t="n">
        <v>1</v>
      </c>
      <c r="U410" s="71" t="n">
        <f aca="false">6.5*'Datos iniciales '!C3</f>
        <v>6500</v>
      </c>
      <c r="V410" s="30" t="n">
        <f aca="false">T410*U410</f>
        <v>6500</v>
      </c>
    </row>
    <row r="411" customFormat="false" ht="15" hidden="false" customHeight="false" outlineLevel="0" collapsed="false">
      <c r="M411" s="62"/>
      <c r="N411" s="62"/>
      <c r="O411" s="62"/>
      <c r="P411" s="62"/>
      <c r="Q411" s="62"/>
      <c r="R411" s="62"/>
      <c r="S411" s="62"/>
      <c r="T411" s="62"/>
      <c r="U411" s="62"/>
      <c r="V411" s="63" t="n">
        <f aca="false">SUM(V410)</f>
        <v>6500</v>
      </c>
    </row>
    <row r="413" customFormat="false" ht="15" hidden="false" customHeight="false" outlineLevel="0" collapsed="false">
      <c r="M413" s="14" t="s">
        <v>276</v>
      </c>
      <c r="N413" s="14"/>
      <c r="O413" s="14" t="s">
        <v>114</v>
      </c>
      <c r="P413" s="14"/>
      <c r="Q413" s="14"/>
      <c r="R413" s="14"/>
      <c r="S413" s="14"/>
      <c r="T413" s="14"/>
      <c r="U413" s="14"/>
    </row>
    <row r="414" customFormat="false" ht="15" hidden="false" customHeight="false" outlineLevel="0" collapsed="false">
      <c r="M414" s="14" t="s">
        <v>277</v>
      </c>
      <c r="N414" s="14" t="s">
        <v>331</v>
      </c>
      <c r="O414" s="38" t="s">
        <v>279</v>
      </c>
      <c r="P414" s="54" t="n">
        <v>1</v>
      </c>
      <c r="Q414" s="38" t="s">
        <v>280</v>
      </c>
      <c r="R414" s="54" t="n">
        <f aca="false">P414</f>
        <v>1</v>
      </c>
      <c r="S414" s="14" t="s">
        <v>281</v>
      </c>
      <c r="U414" s="38" t="s">
        <v>153</v>
      </c>
      <c r="V414" s="55" t="n">
        <f aca="false">V418</f>
        <v>3300</v>
      </c>
    </row>
    <row r="415" customFormat="false" ht="15" hidden="false" customHeight="false" outlineLevel="0" collapsed="false">
      <c r="M415" s="14" t="s">
        <v>282</v>
      </c>
      <c r="N415" s="14" t="s">
        <v>283</v>
      </c>
      <c r="R415" s="38" t="s">
        <v>121</v>
      </c>
      <c r="S415" s="38" t="s">
        <v>284</v>
      </c>
      <c r="T415" s="38" t="s">
        <v>285</v>
      </c>
      <c r="U415" s="38" t="s">
        <v>286</v>
      </c>
      <c r="V415" s="38" t="s">
        <v>287</v>
      </c>
    </row>
    <row r="416" customFormat="false" ht="15" hidden="false" customHeight="false" outlineLevel="0" collapsed="false">
      <c r="N416" s="56" t="s">
        <v>293</v>
      </c>
    </row>
    <row r="417" customFormat="false" ht="15" hidden="false" customHeight="false" outlineLevel="0" collapsed="false">
      <c r="N417" s="1" t="s">
        <v>114</v>
      </c>
      <c r="R417" s="57" t="s">
        <v>153</v>
      </c>
      <c r="S417" s="58"/>
      <c r="T417" s="59" t="n">
        <v>1</v>
      </c>
      <c r="U417" s="71" t="n">
        <f aca="false">22*'Datos iniciales '!B3</f>
        <v>3300</v>
      </c>
      <c r="V417" s="30" t="n">
        <f aca="false">T417*U417</f>
        <v>3300</v>
      </c>
    </row>
    <row r="418" customFormat="false" ht="15" hidden="false" customHeight="false" outlineLevel="0" collapsed="false">
      <c r="M418" s="62"/>
      <c r="N418" s="62"/>
      <c r="O418" s="62"/>
      <c r="P418" s="62"/>
      <c r="Q418" s="62"/>
      <c r="R418" s="62"/>
      <c r="S418" s="62"/>
      <c r="T418" s="62"/>
      <c r="U418" s="62"/>
      <c r="V418" s="63" t="n">
        <f aca="false">SUM(V417)</f>
        <v>3300</v>
      </c>
    </row>
    <row r="420" customFormat="false" ht="15" hidden="false" customHeight="false" outlineLevel="0" collapsed="false">
      <c r="M420" s="14" t="s">
        <v>276</v>
      </c>
      <c r="N420" s="14"/>
      <c r="O420" s="14" t="s">
        <v>1363</v>
      </c>
      <c r="P420" s="14"/>
      <c r="Q420" s="14"/>
      <c r="R420" s="14"/>
      <c r="S420" s="14"/>
      <c r="T420" s="14"/>
      <c r="U420" s="14"/>
    </row>
    <row r="421" customFormat="false" ht="15" hidden="false" customHeight="false" outlineLevel="0" collapsed="false">
      <c r="M421" s="14" t="s">
        <v>277</v>
      </c>
      <c r="N421" s="14" t="s">
        <v>331</v>
      </c>
      <c r="O421" s="38" t="s">
        <v>279</v>
      </c>
      <c r="P421" s="54" t="n">
        <v>1</v>
      </c>
      <c r="Q421" s="38" t="s">
        <v>280</v>
      </c>
      <c r="R421" s="54" t="n">
        <f aca="false">P421</f>
        <v>1</v>
      </c>
      <c r="S421" s="14" t="s">
        <v>281</v>
      </c>
      <c r="U421" s="38" t="s">
        <v>153</v>
      </c>
      <c r="V421" s="55" t="n">
        <f aca="false">V425</f>
        <v>95160</v>
      </c>
    </row>
    <row r="422" customFormat="false" ht="15" hidden="false" customHeight="false" outlineLevel="0" collapsed="false">
      <c r="M422" s="14" t="s">
        <v>282</v>
      </c>
      <c r="N422" s="14" t="s">
        <v>283</v>
      </c>
      <c r="R422" s="38" t="s">
        <v>121</v>
      </c>
      <c r="S422" s="38" t="s">
        <v>284</v>
      </c>
      <c r="T422" s="38" t="s">
        <v>285</v>
      </c>
      <c r="U422" s="38" t="s">
        <v>286</v>
      </c>
      <c r="V422" s="38" t="s">
        <v>287</v>
      </c>
    </row>
    <row r="423" customFormat="false" ht="15" hidden="false" customHeight="false" outlineLevel="0" collapsed="false">
      <c r="N423" s="56" t="s">
        <v>293</v>
      </c>
    </row>
    <row r="424" customFormat="false" ht="15" hidden="false" customHeight="false" outlineLevel="0" collapsed="false">
      <c r="N424" s="1" t="s">
        <v>1363</v>
      </c>
      <c r="R424" s="57" t="s">
        <v>153</v>
      </c>
      <c r="S424" s="58"/>
      <c r="T424" s="59" t="n">
        <v>1</v>
      </c>
      <c r="U424" s="1" t="n">
        <v>95160</v>
      </c>
      <c r="V424" s="30" t="n">
        <f aca="false">T424*U424</f>
        <v>95160</v>
      </c>
    </row>
    <row r="425" customFormat="false" ht="15" hidden="false" customHeight="false" outlineLevel="0" collapsed="false">
      <c r="M425" s="62"/>
      <c r="N425" s="62"/>
      <c r="O425" s="62"/>
      <c r="P425" s="62"/>
      <c r="Q425" s="62"/>
      <c r="R425" s="62"/>
      <c r="S425" s="62"/>
      <c r="T425" s="62"/>
      <c r="U425" s="62"/>
      <c r="V425" s="63" t="n">
        <f aca="false">SUM(V424)</f>
        <v>95160</v>
      </c>
    </row>
    <row r="427" customFormat="false" ht="15" hidden="false" customHeight="false" outlineLevel="0" collapsed="false">
      <c r="M427" s="14" t="s">
        <v>276</v>
      </c>
      <c r="N427" s="14"/>
      <c r="O427" s="14" t="s">
        <v>109</v>
      </c>
      <c r="P427" s="14"/>
      <c r="Q427" s="14"/>
      <c r="R427" s="14"/>
      <c r="S427" s="14"/>
      <c r="T427" s="14"/>
      <c r="U427" s="14"/>
    </row>
    <row r="428" customFormat="false" ht="15" hidden="false" customHeight="false" outlineLevel="0" collapsed="false">
      <c r="M428" s="14" t="s">
        <v>277</v>
      </c>
      <c r="N428" s="14" t="s">
        <v>1364</v>
      </c>
      <c r="O428" s="38" t="s">
        <v>279</v>
      </c>
      <c r="P428" s="54" t="n">
        <v>1</v>
      </c>
      <c r="Q428" s="38" t="s">
        <v>280</v>
      </c>
      <c r="R428" s="54" t="n">
        <f aca="false">P428</f>
        <v>1</v>
      </c>
      <c r="S428" s="14" t="s">
        <v>281</v>
      </c>
      <c r="U428" s="38" t="s">
        <v>1353</v>
      </c>
      <c r="V428" s="55" t="n">
        <f aca="false">V444</f>
        <v>3770.83894085957</v>
      </c>
      <c r="X428" s="14" t="s">
        <v>1362</v>
      </c>
      <c r="Y428" s="14"/>
      <c r="Z428" s="14" t="s">
        <v>1354</v>
      </c>
      <c r="AA428" s="14"/>
      <c r="AB428" s="14"/>
      <c r="AC428" s="14"/>
      <c r="AD428" s="14"/>
      <c r="AE428" s="14"/>
      <c r="AF428" s="14"/>
    </row>
    <row r="429" customFormat="false" ht="15" hidden="false" customHeight="false" outlineLevel="0" collapsed="false">
      <c r="M429" s="14" t="s">
        <v>282</v>
      </c>
      <c r="N429" s="14" t="s">
        <v>283</v>
      </c>
      <c r="R429" s="38" t="s">
        <v>121</v>
      </c>
      <c r="S429" s="38" t="s">
        <v>284</v>
      </c>
      <c r="T429" s="38" t="s">
        <v>285</v>
      </c>
      <c r="U429" s="38" t="s">
        <v>286</v>
      </c>
      <c r="V429" s="38" t="s">
        <v>287</v>
      </c>
      <c r="X429" s="14" t="s">
        <v>277</v>
      </c>
      <c r="Y429" s="14" t="s">
        <v>415</v>
      </c>
      <c r="Z429" s="38" t="s">
        <v>279</v>
      </c>
      <c r="AA429" s="54" t="n">
        <v>3.5</v>
      </c>
      <c r="AB429" s="38" t="s">
        <v>280</v>
      </c>
      <c r="AC429" s="54" t="n">
        <f aca="false">AA429</f>
        <v>3.5</v>
      </c>
      <c r="AD429" s="14" t="s">
        <v>281</v>
      </c>
      <c r="AF429" s="38" t="s">
        <v>202</v>
      </c>
      <c r="AG429" s="55" t="n">
        <f aca="false">AG434+AG437</f>
        <v>56.4628342857143</v>
      </c>
    </row>
    <row r="430" customFormat="false" ht="15" hidden="false" customHeight="false" outlineLevel="0" collapsed="false">
      <c r="N430" s="56" t="s">
        <v>293</v>
      </c>
      <c r="X430" s="14" t="s">
        <v>282</v>
      </c>
      <c r="Y430" s="14" t="s">
        <v>283</v>
      </c>
      <c r="AC430" s="38" t="s">
        <v>121</v>
      </c>
      <c r="AD430" s="38" t="s">
        <v>284</v>
      </c>
      <c r="AE430" s="38" t="s">
        <v>285</v>
      </c>
      <c r="AF430" s="38" t="s">
        <v>286</v>
      </c>
      <c r="AG430" s="38" t="s">
        <v>287</v>
      </c>
    </row>
    <row r="431" customFormat="false" ht="15" hidden="false" customHeight="false" outlineLevel="0" collapsed="false">
      <c r="N431" s="1" t="s">
        <v>1354</v>
      </c>
      <c r="R431" s="57" t="s">
        <v>202</v>
      </c>
      <c r="S431" s="58"/>
      <c r="T431" s="59" t="n">
        <v>1.98</v>
      </c>
      <c r="U431" s="30" t="n">
        <f aca="false">AG429</f>
        <v>56.4628342857143</v>
      </c>
      <c r="V431" s="30" t="n">
        <f aca="false">T431*U431</f>
        <v>111.796411885714</v>
      </c>
      <c r="Y431" s="56" t="s">
        <v>288</v>
      </c>
    </row>
    <row r="432" customFormat="false" ht="15" hidden="false" customHeight="false" outlineLevel="0" collapsed="false">
      <c r="N432" s="1" t="s">
        <v>461</v>
      </c>
      <c r="R432" s="57" t="s">
        <v>202</v>
      </c>
      <c r="T432" s="59" t="n">
        <v>0.682058823529412</v>
      </c>
      <c r="U432" s="30" t="n">
        <f aca="false">AG440</f>
        <v>77.2277048</v>
      </c>
      <c r="V432" s="30" t="n">
        <f aca="false">T432*U432</f>
        <v>52.6738374797647</v>
      </c>
      <c r="Y432" s="1" t="s">
        <v>649</v>
      </c>
      <c r="AC432" s="57" t="s">
        <v>290</v>
      </c>
      <c r="AD432" s="58" t="n">
        <v>0.1</v>
      </c>
      <c r="AE432" s="59" t="n">
        <f aca="false">AD432*8/$AA$429</f>
        <v>0.228571428571429</v>
      </c>
      <c r="AF432" s="1" t="n">
        <v>34.73</v>
      </c>
      <c r="AG432" s="30" t="n">
        <f aca="false">AE432*AF432</f>
        <v>7.93828571428572</v>
      </c>
    </row>
    <row r="433" customFormat="false" ht="15" hidden="false" customHeight="false" outlineLevel="0" collapsed="false">
      <c r="N433" s="1" t="s">
        <v>463</v>
      </c>
      <c r="R433" s="57" t="s">
        <v>202</v>
      </c>
      <c r="T433" s="59" t="n">
        <v>0.892941176470588</v>
      </c>
      <c r="U433" s="30" t="n">
        <f aca="false">AG457</f>
        <v>30.614538</v>
      </c>
      <c r="V433" s="30" t="n">
        <f aca="false">T433*U433</f>
        <v>27.3369815788235</v>
      </c>
      <c r="Y433" s="1" t="s">
        <v>292</v>
      </c>
      <c r="AC433" s="57" t="s">
        <v>290</v>
      </c>
      <c r="AD433" s="58" t="n">
        <v>1</v>
      </c>
      <c r="AE433" s="59" t="n">
        <f aca="false">AD433*8/$AA$429</f>
        <v>2.28571428571429</v>
      </c>
      <c r="AF433" s="1" t="n">
        <v>20.51</v>
      </c>
      <c r="AG433" s="30" t="n">
        <f aca="false">AE433*AF433</f>
        <v>46.88</v>
      </c>
    </row>
    <row r="434" customFormat="false" ht="15" hidden="false" customHeight="false" outlineLevel="0" collapsed="false">
      <c r="N434" s="1" t="s">
        <v>467</v>
      </c>
      <c r="R434" s="57" t="s">
        <v>202</v>
      </c>
      <c r="T434" s="59" t="n">
        <v>0.50625</v>
      </c>
      <c r="U434" s="30" t="n">
        <f aca="false">AG474</f>
        <v>12.11253</v>
      </c>
      <c r="V434" s="30" t="n">
        <f aca="false">T434*U434</f>
        <v>6.1319683125</v>
      </c>
      <c r="AG434" s="55" t="n">
        <f aca="false">SUM(AG432:AG433)</f>
        <v>54.8182857142857</v>
      </c>
    </row>
    <row r="435" customFormat="false" ht="15" hidden="false" customHeight="false" outlineLevel="0" collapsed="false">
      <c r="N435" s="1" t="s">
        <v>469</v>
      </c>
      <c r="R435" s="57" t="s">
        <v>202</v>
      </c>
      <c r="T435" s="59" t="n">
        <v>0.50625</v>
      </c>
      <c r="U435" s="30" t="n">
        <f aca="false">AG485</f>
        <v>22.9100074666667</v>
      </c>
      <c r="V435" s="30" t="n">
        <f aca="false">T435*U435</f>
        <v>11.59819128</v>
      </c>
      <c r="Y435" s="56" t="s">
        <v>317</v>
      </c>
    </row>
    <row r="436" customFormat="false" ht="15" hidden="false" customHeight="false" outlineLevel="0" collapsed="false">
      <c r="N436" s="1" t="s">
        <v>640</v>
      </c>
      <c r="R436" s="57" t="s">
        <v>143</v>
      </c>
      <c r="T436" s="59" t="n">
        <v>1</v>
      </c>
      <c r="U436" s="30" t="n">
        <f aca="false">AG498</f>
        <v>1489.7348144</v>
      </c>
      <c r="V436" s="30" t="n">
        <f aca="false">T436*U436</f>
        <v>1489.7348144</v>
      </c>
      <c r="Y436" s="1" t="s">
        <v>309</v>
      </c>
      <c r="AC436" s="57" t="s">
        <v>310</v>
      </c>
      <c r="AE436" s="59" t="n">
        <v>3</v>
      </c>
      <c r="AF436" s="30" t="n">
        <f aca="false">AG434</f>
        <v>54.8182857142857</v>
      </c>
      <c r="AG436" s="30" t="n">
        <f aca="false">AE436%*AF436</f>
        <v>1.64454857142857</v>
      </c>
    </row>
    <row r="437" customFormat="false" ht="15" hidden="false" customHeight="false" outlineLevel="0" collapsed="false">
      <c r="N437" s="1" t="s">
        <v>1355</v>
      </c>
      <c r="R437" s="57" t="s">
        <v>143</v>
      </c>
      <c r="T437" s="59" t="n">
        <v>1</v>
      </c>
      <c r="U437" s="30" t="n">
        <f aca="false">AG507</f>
        <v>1583.5817404</v>
      </c>
      <c r="V437" s="30" t="n">
        <f aca="false">T437*U437</f>
        <v>1583.5817404</v>
      </c>
      <c r="X437" s="62"/>
      <c r="Y437" s="62"/>
      <c r="Z437" s="62"/>
      <c r="AA437" s="62"/>
      <c r="AB437" s="62"/>
      <c r="AC437" s="66"/>
      <c r="AD437" s="67"/>
      <c r="AE437" s="68"/>
      <c r="AF437" s="69"/>
      <c r="AG437" s="63" t="n">
        <f aca="false">SUM(AG436:AG436)</f>
        <v>1.64454857142857</v>
      </c>
    </row>
    <row r="438" customFormat="false" ht="15" hidden="false" customHeight="false" outlineLevel="0" collapsed="false">
      <c r="N438" s="1" t="s">
        <v>644</v>
      </c>
      <c r="R438" s="57" t="s">
        <v>143</v>
      </c>
      <c r="T438" s="59" t="n">
        <v>1</v>
      </c>
      <c r="U438" s="30" t="n">
        <f aca="false">AG517</f>
        <v>107.845655777778</v>
      </c>
      <c r="V438" s="30" t="n">
        <f aca="false">T438*U438</f>
        <v>107.845655777778</v>
      </c>
    </row>
    <row r="439" customFormat="false" ht="15" hidden="false" customHeight="false" outlineLevel="0" collapsed="false">
      <c r="N439" s="1" t="s">
        <v>845</v>
      </c>
      <c r="R439" s="57" t="s">
        <v>143</v>
      </c>
      <c r="T439" s="59" t="n">
        <v>2.16060606060606</v>
      </c>
      <c r="U439" s="30" t="n">
        <f aca="false">AG659</f>
        <v>110.42</v>
      </c>
      <c r="V439" s="30" t="n">
        <f aca="false">T439*U439</f>
        <v>238.574121212121</v>
      </c>
      <c r="X439" s="14" t="s">
        <v>1362</v>
      </c>
      <c r="Y439" s="14"/>
      <c r="Z439" s="14" t="s">
        <v>461</v>
      </c>
      <c r="AA439" s="14"/>
      <c r="AB439" s="14"/>
      <c r="AC439" s="14"/>
      <c r="AD439" s="14"/>
      <c r="AE439" s="14"/>
      <c r="AF439" s="14"/>
    </row>
    <row r="440" customFormat="false" ht="15" hidden="false" customHeight="false" outlineLevel="0" collapsed="false">
      <c r="N440" s="1" t="s">
        <v>646</v>
      </c>
      <c r="R440" s="57" t="s">
        <v>143</v>
      </c>
      <c r="T440" s="59" t="n">
        <v>0.119318181818182</v>
      </c>
      <c r="U440" s="30" t="n">
        <f aca="false">AG666</f>
        <v>18.8570064</v>
      </c>
      <c r="V440" s="30" t="n">
        <f aca="false">T440*U440</f>
        <v>2.24998371818182</v>
      </c>
      <c r="X440" s="14" t="s">
        <v>277</v>
      </c>
      <c r="Y440" s="14" t="s">
        <v>415</v>
      </c>
      <c r="Z440" s="38" t="s">
        <v>279</v>
      </c>
      <c r="AA440" s="54" t="n">
        <v>25</v>
      </c>
      <c r="AB440" s="38" t="s">
        <v>280</v>
      </c>
      <c r="AC440" s="54" t="n">
        <f aca="false">AA440</f>
        <v>25</v>
      </c>
      <c r="AD440" s="14" t="s">
        <v>281</v>
      </c>
      <c r="AF440" s="38" t="s">
        <v>202</v>
      </c>
      <c r="AG440" s="55" t="n">
        <f aca="false">AG446+AG450+AG454</f>
        <v>77.2277048</v>
      </c>
    </row>
    <row r="441" customFormat="false" ht="15" hidden="false" customHeight="false" outlineLevel="0" collapsed="false">
      <c r="N441" s="1" t="s">
        <v>847</v>
      </c>
      <c r="R441" s="57" t="s">
        <v>132</v>
      </c>
      <c r="T441" s="59" t="n">
        <v>0.386363636363636</v>
      </c>
      <c r="U441" s="30" t="n">
        <f aca="false">AG681</f>
        <v>67.7683724615385</v>
      </c>
      <c r="V441" s="30" t="n">
        <f aca="false">T441*U441</f>
        <v>26.1832348146853</v>
      </c>
      <c r="X441" s="14" t="s">
        <v>282</v>
      </c>
      <c r="Y441" s="14" t="s">
        <v>283</v>
      </c>
      <c r="AC441" s="38" t="s">
        <v>121</v>
      </c>
      <c r="AD441" s="38" t="s">
        <v>284</v>
      </c>
      <c r="AE441" s="38" t="s">
        <v>285</v>
      </c>
      <c r="AF441" s="38" t="s">
        <v>286</v>
      </c>
      <c r="AG441" s="38" t="s">
        <v>287</v>
      </c>
    </row>
    <row r="442" customFormat="false" ht="15" hidden="false" customHeight="false" outlineLevel="0" collapsed="false">
      <c r="N442" s="1" t="s">
        <v>849</v>
      </c>
      <c r="R442" s="57" t="s">
        <v>132</v>
      </c>
      <c r="T442" s="59" t="n">
        <v>0.4</v>
      </c>
      <c r="U442" s="30" t="n">
        <f aca="false">AG701</f>
        <v>39.51</v>
      </c>
      <c r="V442" s="30" t="n">
        <f aca="false">T442*U442</f>
        <v>15.804</v>
      </c>
      <c r="Y442" s="56" t="s">
        <v>288</v>
      </c>
    </row>
    <row r="443" customFormat="false" ht="15" hidden="false" customHeight="false" outlineLevel="0" collapsed="false">
      <c r="N443" s="1" t="s">
        <v>851</v>
      </c>
      <c r="R443" s="57" t="s">
        <v>132</v>
      </c>
      <c r="T443" s="59" t="n">
        <v>5.6</v>
      </c>
      <c r="U443" s="30" t="n">
        <f aca="false">AG708</f>
        <v>17.38</v>
      </c>
      <c r="V443" s="30" t="n">
        <f aca="false">T443*U443</f>
        <v>97.328</v>
      </c>
      <c r="Y443" s="1" t="s">
        <v>649</v>
      </c>
      <c r="AC443" s="57" t="s">
        <v>290</v>
      </c>
      <c r="AD443" s="58" t="n">
        <v>0.1</v>
      </c>
      <c r="AE443" s="59" t="n">
        <f aca="false">AD443*8/$AA$440</f>
        <v>0.032</v>
      </c>
      <c r="AF443" s="1" t="n">
        <v>34.73</v>
      </c>
      <c r="AG443" s="30" t="n">
        <f aca="false">AE443*AF443</f>
        <v>1.11136</v>
      </c>
    </row>
    <row r="444" customFormat="false" ht="15" hidden="false" customHeight="false" outlineLevel="0" collapsed="false">
      <c r="M444" s="62"/>
      <c r="N444" s="62"/>
      <c r="O444" s="62"/>
      <c r="P444" s="62"/>
      <c r="Q444" s="62"/>
      <c r="R444" s="62"/>
      <c r="S444" s="62"/>
      <c r="T444" s="62"/>
      <c r="U444" s="62"/>
      <c r="V444" s="63" t="n">
        <f aca="false">SUM(V431:V443)</f>
        <v>3770.83894085957</v>
      </c>
      <c r="Y444" s="1" t="s">
        <v>1358</v>
      </c>
      <c r="AC444" s="57" t="s">
        <v>290</v>
      </c>
      <c r="AD444" s="58" t="n">
        <v>1</v>
      </c>
      <c r="AE444" s="59" t="n">
        <f aca="false">AD444*8/$AA$440</f>
        <v>0.32</v>
      </c>
      <c r="AF444" s="1" t="n">
        <v>30.97</v>
      </c>
      <c r="AG444" s="30" t="n">
        <f aca="false">AE444*AF444</f>
        <v>9.9104</v>
      </c>
    </row>
    <row r="445" customFormat="false" ht="15" hidden="false" customHeight="false" outlineLevel="0" collapsed="false">
      <c r="Y445" s="1" t="s">
        <v>292</v>
      </c>
      <c r="AC445" s="57" t="s">
        <v>290</v>
      </c>
      <c r="AD445" s="58" t="n">
        <v>2</v>
      </c>
      <c r="AE445" s="59" t="n">
        <f aca="false">AD445*8/$AA$440</f>
        <v>0.64</v>
      </c>
      <c r="AF445" s="1" t="n">
        <v>20.51</v>
      </c>
      <c r="AG445" s="30" t="n">
        <f aca="false">AE445*AF445</f>
        <v>13.1264</v>
      </c>
    </row>
    <row r="446" customFormat="false" ht="15" hidden="false" customHeight="false" outlineLevel="0" collapsed="false">
      <c r="AG446" s="55" t="n">
        <f aca="false">SUM(AG443:AG445)</f>
        <v>24.14816</v>
      </c>
    </row>
    <row r="447" customFormat="false" ht="15" hidden="false" customHeight="false" outlineLevel="0" collapsed="false">
      <c r="Y447" s="56" t="s">
        <v>293</v>
      </c>
    </row>
    <row r="448" customFormat="false" ht="15" hidden="false" customHeight="false" outlineLevel="0" collapsed="false">
      <c r="Y448" s="1" t="s">
        <v>662</v>
      </c>
      <c r="AC448" s="57" t="s">
        <v>202</v>
      </c>
      <c r="AE448" s="59" t="n">
        <v>0.08</v>
      </c>
      <c r="AF448" s="1" t="n">
        <v>6.14</v>
      </c>
      <c r="AG448" s="30" t="n">
        <f aca="false">AE448*AF448</f>
        <v>0.4912</v>
      </c>
    </row>
    <row r="449" customFormat="false" ht="15" hidden="false" customHeight="false" outlineLevel="0" collapsed="false">
      <c r="Y449" s="1" t="s">
        <v>653</v>
      </c>
      <c r="AC449" s="57" t="s">
        <v>202</v>
      </c>
      <c r="AE449" s="59" t="n">
        <v>1.05</v>
      </c>
      <c r="AF449" s="1" t="n">
        <v>44.07</v>
      </c>
      <c r="AG449" s="30" t="n">
        <f aca="false">AE449*AF449</f>
        <v>46.2735</v>
      </c>
    </row>
    <row r="450" customFormat="false" ht="15" hidden="false" customHeight="false" outlineLevel="0" collapsed="false">
      <c r="AG450" s="55" t="n">
        <f aca="false">SUM(AG448:AG449)</f>
        <v>46.7647</v>
      </c>
    </row>
    <row r="451" customFormat="false" ht="15" hidden="false" customHeight="false" outlineLevel="0" collapsed="false">
      <c r="Y451" s="56" t="s">
        <v>317</v>
      </c>
    </row>
    <row r="452" customFormat="false" ht="15" hidden="false" customHeight="false" outlineLevel="0" collapsed="false">
      <c r="Y452" s="1" t="s">
        <v>309</v>
      </c>
      <c r="AC452" s="57" t="s">
        <v>310</v>
      </c>
      <c r="AE452" s="59" t="n">
        <v>3</v>
      </c>
      <c r="AF452" s="30" t="n">
        <f aca="false">AG446</f>
        <v>24.14816</v>
      </c>
      <c r="AG452" s="30" t="n">
        <f aca="false">AE452%*AF452</f>
        <v>0.7244448</v>
      </c>
    </row>
    <row r="453" customFormat="false" ht="15" hidden="false" customHeight="false" outlineLevel="0" collapsed="false">
      <c r="Y453" s="1" t="s">
        <v>655</v>
      </c>
      <c r="AC453" s="57" t="s">
        <v>337</v>
      </c>
      <c r="AD453" s="58" t="n">
        <v>1</v>
      </c>
      <c r="AE453" s="59" t="n">
        <f aca="false">AD453*8/$AA$440</f>
        <v>0.32</v>
      </c>
      <c r="AF453" s="1" t="n">
        <v>17.47</v>
      </c>
      <c r="AG453" s="30" t="n">
        <f aca="false">AE453*AF453</f>
        <v>5.5904</v>
      </c>
    </row>
    <row r="454" customFormat="false" ht="15" hidden="false" customHeight="false" outlineLevel="0" collapsed="false">
      <c r="X454" s="62"/>
      <c r="Y454" s="62"/>
      <c r="Z454" s="62"/>
      <c r="AA454" s="62"/>
      <c r="AB454" s="62"/>
      <c r="AC454" s="66"/>
      <c r="AD454" s="67"/>
      <c r="AE454" s="68"/>
      <c r="AF454" s="69"/>
      <c r="AG454" s="63" t="n">
        <f aca="false">SUM(AG452:AG453)</f>
        <v>6.3148448</v>
      </c>
    </row>
    <row r="456" customFormat="false" ht="15" hidden="false" customHeight="false" outlineLevel="0" collapsed="false">
      <c r="X456" s="14" t="s">
        <v>1362</v>
      </c>
      <c r="Y456" s="14"/>
      <c r="Z456" s="14" t="s">
        <v>463</v>
      </c>
      <c r="AA456" s="14"/>
      <c r="AB456" s="14"/>
      <c r="AC456" s="14"/>
      <c r="AD456" s="14"/>
      <c r="AE456" s="14"/>
      <c r="AF456" s="14"/>
    </row>
    <row r="457" customFormat="false" ht="15" hidden="false" customHeight="false" outlineLevel="0" collapsed="false">
      <c r="X457" s="14" t="s">
        <v>277</v>
      </c>
      <c r="Y457" s="14" t="s">
        <v>415</v>
      </c>
      <c r="Z457" s="38" t="s">
        <v>279</v>
      </c>
      <c r="AA457" s="54" t="n">
        <v>40</v>
      </c>
      <c r="AB457" s="38" t="s">
        <v>280</v>
      </c>
      <c r="AC457" s="54" t="n">
        <f aca="false">AA457</f>
        <v>40</v>
      </c>
      <c r="AD457" s="14" t="s">
        <v>281</v>
      </c>
      <c r="AF457" s="38" t="s">
        <v>202</v>
      </c>
      <c r="AG457" s="55" t="n">
        <f aca="false">AG463+AG466+AG471</f>
        <v>30.614538</v>
      </c>
    </row>
    <row r="458" customFormat="false" ht="15" hidden="false" customHeight="false" outlineLevel="0" collapsed="false">
      <c r="X458" s="14" t="s">
        <v>282</v>
      </c>
      <c r="Y458" s="14" t="s">
        <v>283</v>
      </c>
      <c r="AC458" s="38" t="s">
        <v>121</v>
      </c>
      <c r="AD458" s="38" t="s">
        <v>284</v>
      </c>
      <c r="AE458" s="38" t="s">
        <v>285</v>
      </c>
      <c r="AF458" s="38" t="s">
        <v>286</v>
      </c>
      <c r="AG458" s="38" t="s">
        <v>287</v>
      </c>
    </row>
    <row r="459" customFormat="false" ht="15" hidden="false" customHeight="false" outlineLevel="0" collapsed="false">
      <c r="Y459" s="56" t="s">
        <v>288</v>
      </c>
    </row>
    <row r="460" customFormat="false" ht="15" hidden="false" customHeight="false" outlineLevel="0" collapsed="false">
      <c r="Y460" s="1" t="s">
        <v>649</v>
      </c>
      <c r="AC460" s="57" t="s">
        <v>290</v>
      </c>
      <c r="AD460" s="58" t="n">
        <v>0.1</v>
      </c>
      <c r="AE460" s="59" t="n">
        <f aca="false">AD460*8/$AA$457</f>
        <v>0.02</v>
      </c>
      <c r="AF460" s="1" t="n">
        <v>34.73</v>
      </c>
      <c r="AG460" s="30" t="n">
        <f aca="false">AE460*AF460</f>
        <v>0.6946</v>
      </c>
    </row>
    <row r="461" customFormat="false" ht="15" hidden="false" customHeight="false" outlineLevel="0" collapsed="false">
      <c r="Y461" s="1" t="s">
        <v>1358</v>
      </c>
      <c r="AC461" s="57" t="s">
        <v>290</v>
      </c>
      <c r="AD461" s="58" t="n">
        <v>1</v>
      </c>
      <c r="AE461" s="59" t="n">
        <f aca="false">AD461*8/$AA$457</f>
        <v>0.2</v>
      </c>
      <c r="AF461" s="1" t="n">
        <v>30.97</v>
      </c>
      <c r="AG461" s="30" t="n">
        <f aca="false">AE461*AF461</f>
        <v>6.194</v>
      </c>
    </row>
    <row r="462" customFormat="false" ht="15" hidden="false" customHeight="false" outlineLevel="0" collapsed="false">
      <c r="Y462" s="1" t="s">
        <v>292</v>
      </c>
      <c r="AC462" s="57" t="s">
        <v>290</v>
      </c>
      <c r="AD462" s="58" t="n">
        <v>3</v>
      </c>
      <c r="AE462" s="59" t="n">
        <f aca="false">AD462*8/$AA$457</f>
        <v>0.6</v>
      </c>
      <c r="AF462" s="1" t="n">
        <v>20.51</v>
      </c>
      <c r="AG462" s="30" t="n">
        <f aca="false">AE462*AF462</f>
        <v>12.306</v>
      </c>
    </row>
    <row r="463" customFormat="false" ht="15" hidden="false" customHeight="false" outlineLevel="0" collapsed="false">
      <c r="AG463" s="55" t="n">
        <f aca="false">SUM(AG460:AG462)</f>
        <v>19.1946</v>
      </c>
    </row>
    <row r="464" customFormat="false" ht="15" hidden="false" customHeight="false" outlineLevel="0" collapsed="false">
      <c r="Y464" s="56" t="s">
        <v>293</v>
      </c>
    </row>
    <row r="465" customFormat="false" ht="15" hidden="false" customHeight="false" outlineLevel="0" collapsed="false">
      <c r="Y465" s="1" t="s">
        <v>662</v>
      </c>
      <c r="AC465" s="57" t="s">
        <v>202</v>
      </c>
      <c r="AE465" s="59" t="n">
        <v>0.08</v>
      </c>
      <c r="AF465" s="1" t="n">
        <v>6.14</v>
      </c>
      <c r="AG465" s="30" t="n">
        <f aca="false">AE465*AF465</f>
        <v>0.4912</v>
      </c>
    </row>
    <row r="466" customFormat="false" ht="15" hidden="false" customHeight="false" outlineLevel="0" collapsed="false">
      <c r="AG466" s="55" t="n">
        <f aca="false">SUM(AG465:AG465)</f>
        <v>0.4912</v>
      </c>
    </row>
    <row r="467" customFormat="false" ht="15" hidden="false" customHeight="false" outlineLevel="0" collapsed="false">
      <c r="Y467" s="56" t="s">
        <v>317</v>
      </c>
    </row>
    <row r="468" customFormat="false" ht="15" hidden="false" customHeight="false" outlineLevel="0" collapsed="false">
      <c r="Y468" s="1" t="s">
        <v>309</v>
      </c>
      <c r="AC468" s="57" t="s">
        <v>310</v>
      </c>
      <c r="AE468" s="59" t="n">
        <v>3</v>
      </c>
      <c r="AF468" s="30" t="n">
        <f aca="false">AG463</f>
        <v>19.1946</v>
      </c>
      <c r="AG468" s="30" t="n">
        <f aca="false">AE468%*AF468</f>
        <v>0.575838</v>
      </c>
    </row>
    <row r="469" customFormat="false" ht="15" hidden="false" customHeight="false" outlineLevel="0" collapsed="false">
      <c r="Y469" s="104" t="s">
        <v>656</v>
      </c>
      <c r="AC469" s="57" t="s">
        <v>337</v>
      </c>
      <c r="AD469" s="58" t="n">
        <v>0.05</v>
      </c>
      <c r="AE469" s="59" t="n">
        <f aca="false">AD469*8/$AA$457</f>
        <v>0.01</v>
      </c>
      <c r="AF469" s="1" t="n">
        <v>167.49</v>
      </c>
      <c r="AG469" s="30" t="n">
        <f aca="false">AE469*AF469</f>
        <v>1.6749</v>
      </c>
    </row>
    <row r="470" customFormat="false" ht="15" hidden="false" customHeight="false" outlineLevel="0" collapsed="false">
      <c r="Y470" s="104" t="s">
        <v>1365</v>
      </c>
      <c r="AC470" s="57" t="s">
        <v>337</v>
      </c>
      <c r="AD470" s="58" t="n">
        <v>1</v>
      </c>
      <c r="AE470" s="59" t="n">
        <f aca="false">AD470*8/$AA$457</f>
        <v>0.2</v>
      </c>
      <c r="AF470" s="1" t="n">
        <v>43.39</v>
      </c>
      <c r="AG470" s="30" t="n">
        <f aca="false">AE470*AF470</f>
        <v>8.678</v>
      </c>
    </row>
    <row r="471" customFormat="false" ht="15" hidden="false" customHeight="false" outlineLevel="0" collapsed="false">
      <c r="X471" s="62"/>
      <c r="Y471" s="62"/>
      <c r="Z471" s="62"/>
      <c r="AA471" s="62"/>
      <c r="AB471" s="62"/>
      <c r="AC471" s="66"/>
      <c r="AD471" s="67"/>
      <c r="AE471" s="68"/>
      <c r="AF471" s="69"/>
      <c r="AG471" s="63" t="n">
        <f aca="false">SUM(AG468:AG470)</f>
        <v>10.928738</v>
      </c>
    </row>
    <row r="473" customFormat="false" ht="15" hidden="false" customHeight="false" outlineLevel="0" collapsed="false">
      <c r="X473" s="14" t="s">
        <v>276</v>
      </c>
      <c r="Y473" s="14"/>
      <c r="Z473" s="14" t="s">
        <v>467</v>
      </c>
      <c r="AA473" s="14"/>
    </row>
    <row r="474" customFormat="false" ht="15" hidden="false" customHeight="false" outlineLevel="0" collapsed="false">
      <c r="X474" s="14" t="s">
        <v>277</v>
      </c>
      <c r="Y474" s="14" t="s">
        <v>313</v>
      </c>
      <c r="Z474" s="38" t="s">
        <v>279</v>
      </c>
      <c r="AA474" s="54" t="n">
        <v>80</v>
      </c>
      <c r="AB474" s="38" t="s">
        <v>280</v>
      </c>
      <c r="AC474" s="54" t="n">
        <f aca="false">AA474</f>
        <v>80</v>
      </c>
      <c r="AD474" s="14" t="s">
        <v>281</v>
      </c>
      <c r="AF474" s="38" t="s">
        <v>143</v>
      </c>
      <c r="AG474" s="55" t="n">
        <f aca="false">AG478+AG482</f>
        <v>12.11253</v>
      </c>
    </row>
    <row r="475" customFormat="false" ht="15" hidden="false" customHeight="false" outlineLevel="0" collapsed="false">
      <c r="X475" s="14" t="s">
        <v>282</v>
      </c>
      <c r="Y475" s="14" t="s">
        <v>283</v>
      </c>
      <c r="AC475" s="38" t="s">
        <v>121</v>
      </c>
      <c r="AD475" s="38" t="s">
        <v>284</v>
      </c>
      <c r="AE475" s="38" t="s">
        <v>285</v>
      </c>
      <c r="AF475" s="38" t="s">
        <v>286</v>
      </c>
      <c r="AG475" s="38" t="s">
        <v>287</v>
      </c>
    </row>
    <row r="476" customFormat="false" ht="15" hidden="false" customHeight="false" outlineLevel="0" collapsed="false">
      <c r="Y476" s="56" t="s">
        <v>288</v>
      </c>
    </row>
    <row r="477" customFormat="false" ht="15" hidden="false" customHeight="false" outlineLevel="0" collapsed="false">
      <c r="Y477" s="1" t="s">
        <v>292</v>
      </c>
      <c r="AC477" s="57" t="s">
        <v>290</v>
      </c>
      <c r="AD477" s="58" t="n">
        <v>1</v>
      </c>
      <c r="AE477" s="59" t="n">
        <f aca="false">AD477*8/$AA$474</f>
        <v>0.1</v>
      </c>
      <c r="AF477" s="1" t="n">
        <v>20.51</v>
      </c>
      <c r="AG477" s="30" t="n">
        <f aca="false">AE477*AF477</f>
        <v>2.051</v>
      </c>
    </row>
    <row r="478" customFormat="false" ht="15" hidden="false" customHeight="false" outlineLevel="0" collapsed="false">
      <c r="AC478" s="57"/>
      <c r="AD478" s="58"/>
      <c r="AE478" s="59"/>
      <c r="AG478" s="55" t="n">
        <f aca="false">SUM(AG477:AG477)</f>
        <v>2.051</v>
      </c>
    </row>
    <row r="479" customFormat="false" ht="15" hidden="false" customHeight="false" outlineLevel="0" collapsed="false">
      <c r="Y479" s="56" t="s">
        <v>308</v>
      </c>
    </row>
    <row r="480" customFormat="false" ht="15" hidden="false" customHeight="false" outlineLevel="0" collapsed="false">
      <c r="Y480" s="1" t="s">
        <v>309</v>
      </c>
      <c r="AC480" s="57" t="s">
        <v>310</v>
      </c>
      <c r="AE480" s="59" t="n">
        <v>3</v>
      </c>
      <c r="AF480" s="30" t="n">
        <f aca="false">AG478</f>
        <v>2.051</v>
      </c>
      <c r="AG480" s="30" t="n">
        <f aca="false">AE480%*AF480</f>
        <v>0.06153</v>
      </c>
    </row>
    <row r="481" customFormat="false" ht="15" hidden="false" customHeight="false" outlineLevel="0" collapsed="false">
      <c r="Y481" s="1" t="s">
        <v>659</v>
      </c>
      <c r="AC481" s="57" t="s">
        <v>337</v>
      </c>
      <c r="AD481" s="58" t="n">
        <v>1</v>
      </c>
      <c r="AE481" s="59" t="n">
        <f aca="false">AD481*8/$AA$474</f>
        <v>0.1</v>
      </c>
      <c r="AF481" s="1" t="n">
        <v>100</v>
      </c>
      <c r="AG481" s="30" t="n">
        <f aca="false">AE481*AF481</f>
        <v>10</v>
      </c>
    </row>
    <row r="482" customFormat="false" ht="15" hidden="false" customHeight="false" outlineLevel="0" collapsed="false">
      <c r="X482" s="62"/>
      <c r="Y482" s="62"/>
      <c r="Z482" s="62"/>
      <c r="AA482" s="62"/>
      <c r="AB482" s="62"/>
      <c r="AC482" s="62"/>
      <c r="AD482" s="62"/>
      <c r="AE482" s="62"/>
      <c r="AF482" s="83"/>
      <c r="AG482" s="63" t="n">
        <f aca="false">SUM(AG480:AG481)</f>
        <v>10.06153</v>
      </c>
    </row>
    <row r="484" customFormat="false" ht="15" hidden="false" customHeight="false" outlineLevel="0" collapsed="false">
      <c r="X484" s="14" t="s">
        <v>276</v>
      </c>
      <c r="Y484" s="14"/>
      <c r="Z484" s="14" t="s">
        <v>469</v>
      </c>
      <c r="AA484" s="14"/>
    </row>
    <row r="485" customFormat="false" ht="15" hidden="false" customHeight="false" outlineLevel="0" collapsed="false">
      <c r="X485" s="14" t="s">
        <v>277</v>
      </c>
      <c r="Y485" s="14" t="s">
        <v>415</v>
      </c>
      <c r="Z485" s="38" t="s">
        <v>279</v>
      </c>
      <c r="AA485" s="54" t="n">
        <v>187.5</v>
      </c>
      <c r="AB485" s="38" t="s">
        <v>280</v>
      </c>
      <c r="AC485" s="54" t="n">
        <f aca="false">AA485</f>
        <v>187.5</v>
      </c>
      <c r="AD485" s="14" t="s">
        <v>281</v>
      </c>
      <c r="AF485" s="38" t="s">
        <v>202</v>
      </c>
      <c r="AG485" s="55" t="n">
        <f aca="false">AG490+AG495</f>
        <v>22.9100074666667</v>
      </c>
    </row>
    <row r="486" customFormat="false" ht="15" hidden="false" customHeight="false" outlineLevel="0" collapsed="false">
      <c r="X486" s="14" t="s">
        <v>282</v>
      </c>
      <c r="Y486" s="14" t="s">
        <v>283</v>
      </c>
      <c r="AC486" s="38" t="s">
        <v>121</v>
      </c>
      <c r="AD486" s="38" t="s">
        <v>284</v>
      </c>
      <c r="AE486" s="38" t="s">
        <v>285</v>
      </c>
      <c r="AF486" s="38" t="s">
        <v>286</v>
      </c>
      <c r="AG486" s="38" t="s">
        <v>287</v>
      </c>
      <c r="AJ486" s="1" t="s">
        <v>1366</v>
      </c>
    </row>
    <row r="487" customFormat="false" ht="15" hidden="false" customHeight="false" outlineLevel="0" collapsed="false">
      <c r="Y487" s="56" t="s">
        <v>288</v>
      </c>
    </row>
    <row r="488" customFormat="false" ht="15" hidden="false" customHeight="false" outlineLevel="0" collapsed="false">
      <c r="Y488" s="1" t="s">
        <v>291</v>
      </c>
      <c r="AC488" s="57" t="s">
        <v>290</v>
      </c>
      <c r="AD488" s="58" t="n">
        <v>1</v>
      </c>
      <c r="AE488" s="59" t="n">
        <f aca="false">AD488*8/$AA$485</f>
        <v>0.0426666666666667</v>
      </c>
      <c r="AF488" s="1" t="n">
        <v>23.6</v>
      </c>
      <c r="AG488" s="30" t="n">
        <f aca="false">AE488*AF488</f>
        <v>1.00693333333333</v>
      </c>
    </row>
    <row r="489" customFormat="false" ht="15" hidden="false" customHeight="false" outlineLevel="0" collapsed="false">
      <c r="Y489" s="1" t="s">
        <v>292</v>
      </c>
      <c r="AC489" s="57" t="s">
        <v>290</v>
      </c>
      <c r="AD489" s="58" t="n">
        <v>1</v>
      </c>
      <c r="AE489" s="59" t="n">
        <f aca="false">AD489*8/$AA$485</f>
        <v>0.0426666666666667</v>
      </c>
      <c r="AF489" s="1" t="n">
        <v>20.51</v>
      </c>
      <c r="AG489" s="30" t="n">
        <f aca="false">AE489*AF489</f>
        <v>0.875093333333333</v>
      </c>
    </row>
    <row r="490" customFormat="false" ht="15" hidden="false" customHeight="false" outlineLevel="0" collapsed="false">
      <c r="AC490" s="57"/>
      <c r="AD490" s="58"/>
      <c r="AE490" s="59"/>
      <c r="AG490" s="55" t="n">
        <f aca="false">SUM(AG488:AG489)</f>
        <v>1.88202666666667</v>
      </c>
    </row>
    <row r="491" customFormat="false" ht="15" hidden="false" customHeight="false" outlineLevel="0" collapsed="false">
      <c r="Y491" s="56" t="s">
        <v>308</v>
      </c>
    </row>
    <row r="492" customFormat="false" ht="15" hidden="false" customHeight="false" outlineLevel="0" collapsed="false">
      <c r="Y492" s="1" t="s">
        <v>309</v>
      </c>
      <c r="AC492" s="57" t="s">
        <v>310</v>
      </c>
      <c r="AE492" s="59" t="n">
        <v>3</v>
      </c>
      <c r="AF492" s="30" t="n">
        <f aca="false">AG490</f>
        <v>1.88202666666667</v>
      </c>
      <c r="AG492" s="30" t="n">
        <f aca="false">AE492%*AF492</f>
        <v>0.0564608</v>
      </c>
    </row>
    <row r="493" customFormat="false" ht="15" hidden="false" customHeight="false" outlineLevel="0" collapsed="false">
      <c r="Y493" s="1" t="s">
        <v>660</v>
      </c>
      <c r="AC493" s="57" t="s">
        <v>337</v>
      </c>
      <c r="AD493" s="58" t="n">
        <v>1</v>
      </c>
      <c r="AE493" s="59" t="n">
        <f aca="false">AD493*8/$AA$485</f>
        <v>0.0426666666666667</v>
      </c>
      <c r="AF493" s="30" t="n">
        <v>118.64</v>
      </c>
      <c r="AG493" s="30" t="n">
        <f aca="false">AE493*AF493</f>
        <v>5.06197333333333</v>
      </c>
    </row>
    <row r="494" customFormat="false" ht="15" hidden="false" customHeight="false" outlineLevel="0" collapsed="false">
      <c r="Y494" s="1" t="s">
        <v>661</v>
      </c>
      <c r="AC494" s="57" t="s">
        <v>337</v>
      </c>
      <c r="AD494" s="58" t="n">
        <v>2</v>
      </c>
      <c r="AE494" s="59" t="n">
        <f aca="false">AD494*8/$AA$485</f>
        <v>0.0853333333333333</v>
      </c>
      <c r="AF494" s="30" t="n">
        <v>186.44</v>
      </c>
      <c r="AG494" s="30" t="n">
        <f aca="false">AE494*AF494</f>
        <v>15.9095466666667</v>
      </c>
    </row>
    <row r="495" customFormat="false" ht="15" hidden="false" customHeight="false" outlineLevel="0" collapsed="false">
      <c r="X495" s="62"/>
      <c r="Y495" s="62"/>
      <c r="Z495" s="62"/>
      <c r="AA495" s="62"/>
      <c r="AB495" s="62"/>
      <c r="AC495" s="62"/>
      <c r="AD495" s="62"/>
      <c r="AE495" s="62"/>
      <c r="AF495" s="83"/>
      <c r="AG495" s="63" t="n">
        <f aca="false">SUM(AG492:AG494)</f>
        <v>21.0279808</v>
      </c>
    </row>
    <row r="497" customFormat="false" ht="15" hidden="false" customHeight="false" outlineLevel="0" collapsed="false">
      <c r="X497" s="14" t="s">
        <v>276</v>
      </c>
      <c r="Y497" s="14"/>
      <c r="Z497" s="14" t="s">
        <v>640</v>
      </c>
      <c r="AA497" s="14"/>
      <c r="AJ497" s="85" t="s">
        <v>276</v>
      </c>
      <c r="AK497" s="85"/>
      <c r="AL497" s="85" t="s">
        <v>732</v>
      </c>
      <c r="AM497" s="85"/>
    </row>
    <row r="498" customFormat="false" ht="15" hidden="false" customHeight="false" outlineLevel="0" collapsed="false">
      <c r="X498" s="14" t="s">
        <v>277</v>
      </c>
      <c r="Y498" s="14" t="s">
        <v>415</v>
      </c>
      <c r="Z498" s="38" t="s">
        <v>279</v>
      </c>
      <c r="AA498" s="54" t="n">
        <v>187.5</v>
      </c>
      <c r="AB498" s="38" t="s">
        <v>280</v>
      </c>
      <c r="AC498" s="54" t="n">
        <f aca="false">AA498</f>
        <v>187.5</v>
      </c>
      <c r="AD498" s="14" t="s">
        <v>281</v>
      </c>
      <c r="AF498" s="38" t="s">
        <v>202</v>
      </c>
      <c r="AG498" s="55" t="n">
        <f aca="false">AG504</f>
        <v>1489.7348144</v>
      </c>
      <c r="AJ498" s="85" t="s">
        <v>277</v>
      </c>
      <c r="AK498" s="85" t="s">
        <v>278</v>
      </c>
      <c r="AL498" s="87" t="s">
        <v>279</v>
      </c>
      <c r="AM498" s="88" t="n">
        <v>10</v>
      </c>
      <c r="AN498" s="87" t="s">
        <v>280</v>
      </c>
      <c r="AO498" s="88" t="n">
        <f aca="false">AM498</f>
        <v>10</v>
      </c>
      <c r="AP498" s="85" t="s">
        <v>281</v>
      </c>
      <c r="AR498" s="87" t="s">
        <v>132</v>
      </c>
      <c r="AS498" s="89" t="n">
        <f aca="false">AS504+AS509+AS512</f>
        <v>76.55778</v>
      </c>
    </row>
    <row r="499" customFormat="false" ht="15" hidden="false" customHeight="false" outlineLevel="0" collapsed="false">
      <c r="X499" s="14" t="s">
        <v>282</v>
      </c>
      <c r="Y499" s="14" t="s">
        <v>283</v>
      </c>
      <c r="AC499" s="38" t="s">
        <v>121</v>
      </c>
      <c r="AD499" s="38" t="s">
        <v>284</v>
      </c>
      <c r="AE499" s="38" t="s">
        <v>285</v>
      </c>
      <c r="AF499" s="38" t="s">
        <v>286</v>
      </c>
      <c r="AG499" s="38" t="s">
        <v>287</v>
      </c>
      <c r="AJ499" s="85" t="s">
        <v>282</v>
      </c>
      <c r="AK499" s="85" t="s">
        <v>283</v>
      </c>
      <c r="AO499" s="87" t="s">
        <v>121</v>
      </c>
      <c r="AP499" s="87" t="s">
        <v>284</v>
      </c>
      <c r="AQ499" s="87" t="s">
        <v>285</v>
      </c>
      <c r="AR499" s="87" t="s">
        <v>286</v>
      </c>
      <c r="AS499" s="87" t="s">
        <v>287</v>
      </c>
    </row>
    <row r="500" customFormat="false" ht="15" hidden="false" customHeight="false" outlineLevel="0" collapsed="false">
      <c r="Y500" s="56" t="s">
        <v>733</v>
      </c>
      <c r="AK500" s="90" t="s">
        <v>288</v>
      </c>
    </row>
    <row r="501" customFormat="false" ht="15" hidden="false" customHeight="false" outlineLevel="0" collapsed="false">
      <c r="Y501" s="1" t="s">
        <v>732</v>
      </c>
      <c r="AC501" s="57" t="s">
        <v>132</v>
      </c>
      <c r="AE501" s="59" t="n">
        <v>6.88</v>
      </c>
      <c r="AF501" s="30" t="n">
        <f aca="false">AS498</f>
        <v>76.55778</v>
      </c>
      <c r="AG501" s="30" t="n">
        <f aca="false">AE501*AF501</f>
        <v>526.7175264</v>
      </c>
      <c r="AK501" s="1" t="s">
        <v>289</v>
      </c>
      <c r="AO501" s="57" t="s">
        <v>290</v>
      </c>
      <c r="AP501" s="58" t="n">
        <v>1</v>
      </c>
      <c r="AQ501" s="59" t="n">
        <f aca="false">AP501*8/$AM$498</f>
        <v>0.8</v>
      </c>
      <c r="AR501" s="30" t="n">
        <v>28.94</v>
      </c>
      <c r="AS501" s="30" t="n">
        <f aca="false">AQ501*AR501</f>
        <v>23.152</v>
      </c>
    </row>
    <row r="502" customFormat="false" ht="15" hidden="false" customHeight="false" outlineLevel="0" collapsed="false">
      <c r="Y502" s="1" t="s">
        <v>734</v>
      </c>
      <c r="AC502" s="57" t="s">
        <v>202</v>
      </c>
      <c r="AD502" s="58"/>
      <c r="AE502" s="59" t="n">
        <v>0.95</v>
      </c>
      <c r="AF502" s="30" t="n">
        <f aca="false">AS515</f>
        <v>469.75504</v>
      </c>
      <c r="AG502" s="30" t="n">
        <f aca="false">AE502*AF502</f>
        <v>446.267288</v>
      </c>
      <c r="AK502" s="1" t="s">
        <v>291</v>
      </c>
      <c r="AO502" s="57" t="s">
        <v>290</v>
      </c>
      <c r="AP502" s="58" t="n">
        <v>1</v>
      </c>
      <c r="AQ502" s="59" t="n">
        <f aca="false">AP502*8/$AM$498</f>
        <v>0.8</v>
      </c>
      <c r="AR502" s="30" t="n">
        <v>23.6</v>
      </c>
      <c r="AS502" s="30" t="n">
        <f aca="false">AQ502*AR502</f>
        <v>18.88</v>
      </c>
    </row>
    <row r="503" customFormat="false" ht="15" hidden="false" customHeight="false" outlineLevel="0" collapsed="false">
      <c r="Y503" s="1" t="s">
        <v>735</v>
      </c>
      <c r="AC503" s="57" t="s">
        <v>295</v>
      </c>
      <c r="AE503" s="1" t="n">
        <v>79.5</v>
      </c>
      <c r="AF503" s="30" t="n">
        <v>6.5</v>
      </c>
      <c r="AG503" s="30" t="n">
        <f aca="false">AE503*AF503</f>
        <v>516.75</v>
      </c>
      <c r="AK503" s="1" t="s">
        <v>292</v>
      </c>
      <c r="AO503" s="57" t="s">
        <v>290</v>
      </c>
      <c r="AP503" s="58" t="n">
        <v>0.5</v>
      </c>
      <c r="AQ503" s="59" t="n">
        <f aca="false">AP503*8/$AM$498</f>
        <v>0.4</v>
      </c>
      <c r="AR503" s="30" t="n">
        <v>21.36</v>
      </c>
      <c r="AS503" s="30" t="n">
        <f aca="false">AQ503*AR503</f>
        <v>8.544</v>
      </c>
    </row>
    <row r="504" customFormat="false" ht="15" hidden="false" customHeight="false" outlineLevel="0" collapsed="false">
      <c r="X504" s="62"/>
      <c r="Y504" s="62"/>
      <c r="Z504" s="62"/>
      <c r="AA504" s="62"/>
      <c r="AB504" s="62"/>
      <c r="AC504" s="62"/>
      <c r="AD504" s="62"/>
      <c r="AE504" s="62"/>
      <c r="AF504" s="83"/>
      <c r="AG504" s="63" t="n">
        <f aca="false">SUM(AG501:AG503)</f>
        <v>1489.7348144</v>
      </c>
      <c r="AO504" s="57"/>
      <c r="AP504" s="58"/>
      <c r="AQ504" s="59"/>
      <c r="AS504" s="89" t="n">
        <f aca="false">SUM(AS501:AS503)</f>
        <v>50.576</v>
      </c>
    </row>
    <row r="505" customFormat="false" ht="15" hidden="false" customHeight="false" outlineLevel="0" collapsed="false">
      <c r="AK505" s="90" t="s">
        <v>652</v>
      </c>
      <c r="AO505" s="57"/>
      <c r="AP505" s="58"/>
      <c r="AQ505" s="59"/>
      <c r="AS505" s="30"/>
    </row>
    <row r="506" customFormat="false" ht="15" hidden="false" customHeight="false" outlineLevel="0" collapsed="false">
      <c r="X506" s="14" t="s">
        <v>276</v>
      </c>
      <c r="Y506" s="14"/>
      <c r="Z506" s="14" t="s">
        <v>736</v>
      </c>
      <c r="AA506" s="14"/>
      <c r="AK506" s="1" t="s">
        <v>685</v>
      </c>
      <c r="AO506" s="57" t="s">
        <v>295</v>
      </c>
      <c r="AQ506" s="59" t="n">
        <v>0.1</v>
      </c>
      <c r="AR506" s="30" t="n">
        <v>2.64</v>
      </c>
      <c r="AS506" s="30" t="n">
        <f aca="false">AQ506*AR506</f>
        <v>0.264</v>
      </c>
    </row>
    <row r="507" customFormat="false" ht="15" hidden="false" customHeight="false" outlineLevel="0" collapsed="false">
      <c r="X507" s="14" t="s">
        <v>277</v>
      </c>
      <c r="Y507" s="14" t="s">
        <v>415</v>
      </c>
      <c r="Z507" s="38" t="s">
        <v>279</v>
      </c>
      <c r="AA507" s="54" t="n">
        <v>187.5</v>
      </c>
      <c r="AB507" s="38" t="s">
        <v>280</v>
      </c>
      <c r="AC507" s="54" t="n">
        <f aca="false">AA507</f>
        <v>187.5</v>
      </c>
      <c r="AD507" s="14" t="s">
        <v>281</v>
      </c>
      <c r="AF507" s="38" t="s">
        <v>202</v>
      </c>
      <c r="AG507" s="55" t="n">
        <f aca="false">AG513</f>
        <v>1583.5817404</v>
      </c>
      <c r="AK507" s="1" t="s">
        <v>300</v>
      </c>
      <c r="AO507" s="57" t="s">
        <v>295</v>
      </c>
      <c r="AQ507" s="59" t="n">
        <v>0.15</v>
      </c>
      <c r="AR507" s="30" t="n">
        <v>5.51</v>
      </c>
      <c r="AS507" s="30" t="n">
        <f aca="false">AQ507*AR507</f>
        <v>0.8265</v>
      </c>
    </row>
    <row r="508" customFormat="false" ht="15" hidden="false" customHeight="false" outlineLevel="0" collapsed="false">
      <c r="X508" s="14" t="s">
        <v>282</v>
      </c>
      <c r="Y508" s="14" t="s">
        <v>283</v>
      </c>
      <c r="AC508" s="38" t="s">
        <v>121</v>
      </c>
      <c r="AD508" s="38" t="s">
        <v>284</v>
      </c>
      <c r="AE508" s="38" t="s">
        <v>285</v>
      </c>
      <c r="AF508" s="38" t="s">
        <v>286</v>
      </c>
      <c r="AG508" s="38" t="s">
        <v>287</v>
      </c>
      <c r="AK508" s="1" t="s">
        <v>667</v>
      </c>
      <c r="AO508" s="57" t="s">
        <v>304</v>
      </c>
      <c r="AQ508" s="59" t="n">
        <v>4.03</v>
      </c>
      <c r="AR508" s="30" t="n">
        <v>5.8</v>
      </c>
      <c r="AS508" s="30" t="n">
        <f aca="false">AQ508*AR508</f>
        <v>23.374</v>
      </c>
    </row>
    <row r="509" customFormat="false" ht="15" hidden="false" customHeight="false" outlineLevel="0" collapsed="false">
      <c r="Y509" s="56" t="s">
        <v>733</v>
      </c>
      <c r="AO509" s="57"/>
      <c r="AQ509" s="59"/>
      <c r="AR509" s="30"/>
      <c r="AS509" s="89" t="n">
        <f aca="false">SUM(AS506:AS508)</f>
        <v>24.4645</v>
      </c>
    </row>
    <row r="510" customFormat="false" ht="15" hidden="false" customHeight="false" outlineLevel="0" collapsed="false">
      <c r="Y510" s="1" t="s">
        <v>1367</v>
      </c>
      <c r="AC510" s="57" t="s">
        <v>132</v>
      </c>
      <c r="AE510" s="1" t="n">
        <v>6.88</v>
      </c>
      <c r="AF510" s="30" t="n">
        <f aca="false">AS549</f>
        <v>79.24338</v>
      </c>
      <c r="AG510" s="30" t="n">
        <f aca="false">AE510*AF510</f>
        <v>545.1944544</v>
      </c>
      <c r="AK510" s="90" t="s">
        <v>308</v>
      </c>
    </row>
    <row r="511" customFormat="false" ht="15" hidden="false" customHeight="false" outlineLevel="0" collapsed="false">
      <c r="Y511" s="1" t="s">
        <v>1368</v>
      </c>
      <c r="AC511" s="57" t="s">
        <v>202</v>
      </c>
      <c r="AD511" s="58"/>
      <c r="AE511" s="1" t="n">
        <v>0.95</v>
      </c>
      <c r="AF511" s="30" t="n">
        <f aca="false">AS566</f>
        <v>549.09188</v>
      </c>
      <c r="AG511" s="30" t="n">
        <f aca="false">AE511*AF511</f>
        <v>521.637286</v>
      </c>
      <c r="AK511" s="1" t="s">
        <v>309</v>
      </c>
      <c r="AO511" s="57" t="s">
        <v>310</v>
      </c>
      <c r="AQ511" s="59" t="n">
        <v>3</v>
      </c>
      <c r="AR511" s="30" t="n">
        <f aca="false">AS504</f>
        <v>50.576</v>
      </c>
      <c r="AS511" s="30" t="n">
        <f aca="false">AQ511%*AR511</f>
        <v>1.51728</v>
      </c>
    </row>
    <row r="512" customFormat="false" ht="15" hidden="false" customHeight="false" outlineLevel="0" collapsed="false">
      <c r="Y512" s="1" t="s">
        <v>1369</v>
      </c>
      <c r="AC512" s="57" t="s">
        <v>295</v>
      </c>
      <c r="AE512" s="1" t="n">
        <v>79.5</v>
      </c>
      <c r="AF512" s="30" t="n">
        <v>6.5</v>
      </c>
      <c r="AG512" s="30" t="n">
        <f aca="false">AE512*AF512</f>
        <v>516.75</v>
      </c>
      <c r="AJ512" s="62"/>
      <c r="AK512" s="62"/>
      <c r="AL512" s="62"/>
      <c r="AM512" s="62"/>
      <c r="AN512" s="62"/>
      <c r="AO512" s="62"/>
      <c r="AP512" s="62"/>
      <c r="AQ512" s="62"/>
      <c r="AR512" s="62"/>
      <c r="AS512" s="91" t="n">
        <f aca="false">SUM(AS511)</f>
        <v>1.51728</v>
      </c>
    </row>
    <row r="513" customFormat="false" ht="15" hidden="false" customHeight="false" outlineLevel="0" collapsed="false">
      <c r="X513" s="62"/>
      <c r="Y513" s="62"/>
      <c r="Z513" s="62"/>
      <c r="AA513" s="62"/>
      <c r="AB513" s="62"/>
      <c r="AC513" s="62"/>
      <c r="AD513" s="62"/>
      <c r="AE513" s="62"/>
      <c r="AF513" s="83"/>
      <c r="AG513" s="63" t="n">
        <f aca="false">SUM(AG510:AG512)</f>
        <v>1583.5817404</v>
      </c>
    </row>
    <row r="514" customFormat="false" ht="15" hidden="false" customHeight="false" outlineLevel="0" collapsed="false">
      <c r="AJ514" s="85" t="s">
        <v>276</v>
      </c>
      <c r="AK514" s="85"/>
      <c r="AL514" s="85" t="s">
        <v>734</v>
      </c>
      <c r="AM514" s="85"/>
    </row>
    <row r="515" customFormat="false" ht="15" hidden="false" customHeight="false" outlineLevel="0" collapsed="false">
      <c r="AC515" s="57"/>
      <c r="AJ515" s="85" t="s">
        <v>277</v>
      </c>
      <c r="AK515" s="85" t="s">
        <v>415</v>
      </c>
      <c r="AL515" s="87" t="s">
        <v>279</v>
      </c>
      <c r="AM515" s="88" t="n">
        <v>20</v>
      </c>
      <c r="AN515" s="87" t="s">
        <v>280</v>
      </c>
      <c r="AO515" s="88" t="n">
        <f aca="false">AM515</f>
        <v>20</v>
      </c>
      <c r="AP515" s="85" t="s">
        <v>281</v>
      </c>
      <c r="AR515" s="87" t="s">
        <v>202</v>
      </c>
      <c r="AS515" s="89" t="n">
        <f aca="false">AS521+AS526+AS530</f>
        <v>469.75504</v>
      </c>
    </row>
    <row r="516" customFormat="false" ht="15" hidden="false" customHeight="false" outlineLevel="0" collapsed="false">
      <c r="X516" s="14" t="s">
        <v>276</v>
      </c>
      <c r="Y516" s="14"/>
      <c r="Z516" s="14" t="s">
        <v>644</v>
      </c>
      <c r="AA516" s="14"/>
      <c r="AJ516" s="85" t="s">
        <v>282</v>
      </c>
      <c r="AK516" s="85" t="s">
        <v>283</v>
      </c>
      <c r="AO516" s="87" t="s">
        <v>121</v>
      </c>
      <c r="AP516" s="87" t="s">
        <v>284</v>
      </c>
      <c r="AQ516" s="87" t="s">
        <v>285</v>
      </c>
      <c r="AR516" s="87" t="s">
        <v>286</v>
      </c>
      <c r="AS516" s="87" t="s">
        <v>287</v>
      </c>
    </row>
    <row r="517" customFormat="false" ht="15" hidden="false" customHeight="false" outlineLevel="0" collapsed="false">
      <c r="X517" s="14" t="s">
        <v>277</v>
      </c>
      <c r="Y517" s="14" t="s">
        <v>415</v>
      </c>
      <c r="Z517" s="38" t="s">
        <v>279</v>
      </c>
      <c r="AA517" s="54" t="n">
        <v>187.5</v>
      </c>
      <c r="AB517" s="38" t="s">
        <v>280</v>
      </c>
      <c r="AC517" s="54" t="n">
        <f aca="false">AA517</f>
        <v>187.5</v>
      </c>
      <c r="AD517" s="14" t="s">
        <v>281</v>
      </c>
      <c r="AF517" s="38" t="s">
        <v>202</v>
      </c>
      <c r="AG517" s="55" t="n">
        <f aca="false">AG523</f>
        <v>107.845655777778</v>
      </c>
      <c r="AK517" s="90" t="s">
        <v>288</v>
      </c>
    </row>
    <row r="518" customFormat="false" ht="15" hidden="false" customHeight="false" outlineLevel="0" collapsed="false">
      <c r="X518" s="14" t="s">
        <v>282</v>
      </c>
      <c r="Y518" s="14" t="s">
        <v>283</v>
      </c>
      <c r="AC518" s="38" t="s">
        <v>121</v>
      </c>
      <c r="AD518" s="38" t="s">
        <v>284</v>
      </c>
      <c r="AE518" s="38" t="s">
        <v>285</v>
      </c>
      <c r="AF518" s="38" t="s">
        <v>286</v>
      </c>
      <c r="AG518" s="38" t="s">
        <v>287</v>
      </c>
      <c r="AK518" s="1" t="s">
        <v>289</v>
      </c>
      <c r="AO518" s="57" t="s">
        <v>290</v>
      </c>
      <c r="AP518" s="58" t="n">
        <v>2</v>
      </c>
      <c r="AQ518" s="59" t="n">
        <f aca="false">AP518*8/$AM$515</f>
        <v>0.8</v>
      </c>
      <c r="AR518" s="30" t="n">
        <v>28.94</v>
      </c>
      <c r="AS518" s="30" t="n">
        <f aca="false">AQ518*AR518</f>
        <v>23.152</v>
      </c>
    </row>
    <row r="519" customFormat="false" ht="15" hidden="false" customHeight="false" outlineLevel="0" collapsed="false">
      <c r="Y519" s="56" t="s">
        <v>733</v>
      </c>
      <c r="AK519" s="1" t="s">
        <v>291</v>
      </c>
      <c r="AO519" s="57" t="s">
        <v>290</v>
      </c>
      <c r="AP519" s="58" t="n">
        <v>1</v>
      </c>
      <c r="AQ519" s="59" t="n">
        <f aca="false">AP519*8/$AM$515</f>
        <v>0.4</v>
      </c>
      <c r="AR519" s="30" t="n">
        <v>23.6</v>
      </c>
      <c r="AS519" s="30" t="n">
        <f aca="false">AQ519*AR519</f>
        <v>9.44</v>
      </c>
    </row>
    <row r="520" customFormat="false" ht="15" hidden="false" customHeight="false" outlineLevel="0" collapsed="false">
      <c r="Y520" s="1" t="s">
        <v>1370</v>
      </c>
      <c r="AC520" s="57" t="s">
        <v>132</v>
      </c>
      <c r="AE520" s="1" t="n">
        <v>0.4</v>
      </c>
      <c r="AF520" s="30" t="n">
        <f aca="false">AS603</f>
        <v>79.0168444444444</v>
      </c>
      <c r="AG520" s="30" t="n">
        <f aca="false">AE520*AF520</f>
        <v>31.6067377777778</v>
      </c>
      <c r="AK520" s="1" t="s">
        <v>292</v>
      </c>
      <c r="AO520" s="57" t="s">
        <v>290</v>
      </c>
      <c r="AP520" s="58" t="n">
        <v>4</v>
      </c>
      <c r="AQ520" s="59" t="n">
        <f aca="false">AP520*8/$AM$515</f>
        <v>1.6</v>
      </c>
      <c r="AR520" s="30" t="n">
        <v>21.36</v>
      </c>
      <c r="AS520" s="30" t="n">
        <f aca="false">AQ520*AR520</f>
        <v>34.176</v>
      </c>
    </row>
    <row r="521" customFormat="false" ht="15" hidden="false" customHeight="false" outlineLevel="0" collapsed="false">
      <c r="Y521" s="1" t="s">
        <v>1371</v>
      </c>
      <c r="AC521" s="57" t="s">
        <v>202</v>
      </c>
      <c r="AE521" s="1" t="n">
        <v>0.05</v>
      </c>
      <c r="AF521" s="30" t="n">
        <f aca="false">AS619</f>
        <v>419.77836</v>
      </c>
      <c r="AG521" s="30" t="n">
        <f aca="false">AE521*AF521</f>
        <v>20.988918</v>
      </c>
      <c r="AO521" s="57"/>
      <c r="AP521" s="58"/>
      <c r="AQ521" s="59"/>
      <c r="AS521" s="89" t="n">
        <f aca="false">SUM(AS518:AS520)</f>
        <v>66.768</v>
      </c>
    </row>
    <row r="522" customFormat="false" ht="15" hidden="false" customHeight="false" outlineLevel="0" collapsed="false">
      <c r="Y522" s="1" t="s">
        <v>1372</v>
      </c>
      <c r="AC522" s="57" t="s">
        <v>295</v>
      </c>
      <c r="AD522" s="58"/>
      <c r="AE522" s="59" t="n">
        <v>8.5</v>
      </c>
      <c r="AF522" s="30" t="n">
        <v>6.5</v>
      </c>
      <c r="AG522" s="30" t="n">
        <f aca="false">AE522*AF522</f>
        <v>55.25</v>
      </c>
      <c r="AK522" s="90" t="s">
        <v>652</v>
      </c>
      <c r="AO522" s="57"/>
      <c r="AP522" s="58"/>
      <c r="AQ522" s="59"/>
      <c r="AS522" s="30"/>
    </row>
    <row r="523" customFormat="false" ht="15" hidden="false" customHeight="false" outlineLevel="0" collapsed="false">
      <c r="X523" s="62"/>
      <c r="Y523" s="62"/>
      <c r="Z523" s="62"/>
      <c r="AA523" s="62"/>
      <c r="AB523" s="62"/>
      <c r="AC523" s="62"/>
      <c r="AD523" s="62"/>
      <c r="AE523" s="62"/>
      <c r="AF523" s="83"/>
      <c r="AG523" s="63" t="n">
        <f aca="false">SUM(AG520:AG522)</f>
        <v>107.845655777778</v>
      </c>
      <c r="AK523" s="104" t="s">
        <v>718</v>
      </c>
      <c r="AO523" s="57" t="s">
        <v>202</v>
      </c>
      <c r="AQ523" s="59" t="n">
        <v>0.1</v>
      </c>
      <c r="AR523" s="30" t="n">
        <v>24.52</v>
      </c>
      <c r="AS523" s="30" t="n">
        <f aca="false">AQ523*AR523</f>
        <v>2.452</v>
      </c>
    </row>
    <row r="524" customFormat="false" ht="15" hidden="false" customHeight="false" outlineLevel="0" collapsed="false">
      <c r="AK524" s="104" t="s">
        <v>719</v>
      </c>
      <c r="AO524" s="57" t="s">
        <v>202</v>
      </c>
      <c r="AQ524" s="59" t="n">
        <v>1.02</v>
      </c>
      <c r="AR524" s="30" t="n">
        <v>358</v>
      </c>
      <c r="AS524" s="30" t="n">
        <f aca="false">AQ524*AR524</f>
        <v>365.16</v>
      </c>
    </row>
    <row r="525" customFormat="false" ht="15" hidden="false" customHeight="false" outlineLevel="0" collapsed="false">
      <c r="AK525" s="104" t="s">
        <v>720</v>
      </c>
      <c r="AO525" s="57" t="s">
        <v>306</v>
      </c>
      <c r="AQ525" s="59" t="n">
        <v>1.02</v>
      </c>
      <c r="AR525" s="30" t="n">
        <v>30</v>
      </c>
      <c r="AS525" s="30" t="n">
        <f aca="false">AQ525*AR525</f>
        <v>30.6</v>
      </c>
    </row>
    <row r="526" customFormat="false" ht="15" hidden="false" customHeight="false" outlineLevel="0" collapsed="false">
      <c r="AC526" s="57"/>
      <c r="AO526" s="57"/>
      <c r="AQ526" s="59"/>
      <c r="AR526" s="30"/>
      <c r="AS526" s="89" t="n">
        <f aca="false">SUM(AS523:AS525)</f>
        <v>398.212</v>
      </c>
    </row>
    <row r="527" customFormat="false" ht="15" hidden="false" customHeight="false" outlineLevel="0" collapsed="false">
      <c r="AC527" s="57"/>
      <c r="AK527" s="90" t="s">
        <v>308</v>
      </c>
    </row>
    <row r="528" customFormat="false" ht="15" hidden="false" customHeight="false" outlineLevel="0" collapsed="false">
      <c r="AC528" s="57"/>
      <c r="AD528" s="58"/>
      <c r="AE528" s="59"/>
      <c r="AF528" s="30"/>
      <c r="AG528" s="30"/>
      <c r="AK528" s="1" t="s">
        <v>309</v>
      </c>
      <c r="AO528" s="57" t="s">
        <v>310</v>
      </c>
      <c r="AQ528" s="59" t="n">
        <v>3</v>
      </c>
      <c r="AR528" s="30" t="n">
        <f aca="false">AS521</f>
        <v>66.768</v>
      </c>
      <c r="AS528" s="30" t="n">
        <f aca="false">AQ528%*AR528</f>
        <v>2.00304</v>
      </c>
    </row>
    <row r="529" customFormat="false" ht="15" hidden="false" customHeight="false" outlineLevel="0" collapsed="false">
      <c r="AK529" s="104" t="s">
        <v>721</v>
      </c>
      <c r="AO529" s="57" t="s">
        <v>337</v>
      </c>
      <c r="AP529" s="58" t="n">
        <v>1</v>
      </c>
      <c r="AQ529" s="59" t="n">
        <f aca="false">AP529*8/$AM$515</f>
        <v>0.4</v>
      </c>
      <c r="AR529" s="30" t="n">
        <v>6.93</v>
      </c>
      <c r="AS529" s="30" t="n">
        <f aca="false">AQ529*AR529</f>
        <v>2.772</v>
      </c>
    </row>
    <row r="530" customFormat="false" ht="15" hidden="false" customHeight="false" outlineLevel="0" collapsed="false">
      <c r="AJ530" s="62"/>
      <c r="AK530" s="62"/>
      <c r="AL530" s="62"/>
      <c r="AM530" s="62"/>
      <c r="AN530" s="62"/>
      <c r="AO530" s="62"/>
      <c r="AP530" s="62"/>
      <c r="AQ530" s="62"/>
      <c r="AR530" s="62"/>
      <c r="AS530" s="91" t="n">
        <f aca="false">SUM(AS528:AS529)</f>
        <v>4.77504</v>
      </c>
    </row>
    <row r="532" customFormat="false" ht="15" hidden="false" customHeight="false" outlineLevel="0" collapsed="false">
      <c r="AJ532" s="85" t="s">
        <v>276</v>
      </c>
      <c r="AK532" s="85"/>
      <c r="AL532" s="85" t="s">
        <v>735</v>
      </c>
      <c r="AM532" s="85"/>
    </row>
    <row r="533" customFormat="false" ht="15" hidden="false" customHeight="false" outlineLevel="0" collapsed="false">
      <c r="AJ533" s="85" t="s">
        <v>277</v>
      </c>
      <c r="AK533" s="85" t="s">
        <v>278</v>
      </c>
      <c r="AL533" s="87" t="s">
        <v>279</v>
      </c>
      <c r="AM533" s="88" t="n">
        <v>250</v>
      </c>
      <c r="AN533" s="87" t="s">
        <v>280</v>
      </c>
      <c r="AO533" s="88" t="n">
        <f aca="false">AM533</f>
        <v>250</v>
      </c>
      <c r="AP533" s="85" t="s">
        <v>281</v>
      </c>
      <c r="AR533" s="87" t="s">
        <v>132</v>
      </c>
      <c r="AS533" s="89" t="n">
        <f aca="false">AS538+AS542+AS546</f>
        <v>8.7959184</v>
      </c>
    </row>
    <row r="534" customFormat="false" ht="15" hidden="false" customHeight="false" outlineLevel="0" collapsed="false">
      <c r="AJ534" s="85" t="s">
        <v>282</v>
      </c>
      <c r="AK534" s="85" t="s">
        <v>283</v>
      </c>
      <c r="AO534" s="87" t="s">
        <v>121</v>
      </c>
      <c r="AP534" s="87" t="s">
        <v>284</v>
      </c>
      <c r="AQ534" s="87" t="s">
        <v>285</v>
      </c>
      <c r="AR534" s="87" t="s">
        <v>286</v>
      </c>
      <c r="AS534" s="87" t="s">
        <v>287</v>
      </c>
    </row>
    <row r="535" customFormat="false" ht="15" hidden="false" customHeight="false" outlineLevel="0" collapsed="false">
      <c r="AK535" s="90" t="s">
        <v>288</v>
      </c>
    </row>
    <row r="536" customFormat="false" ht="15" hidden="false" customHeight="false" outlineLevel="0" collapsed="false">
      <c r="AK536" s="1" t="s">
        <v>289</v>
      </c>
      <c r="AO536" s="57" t="s">
        <v>290</v>
      </c>
      <c r="AP536" s="58" t="n">
        <v>1</v>
      </c>
      <c r="AQ536" s="59" t="n">
        <f aca="false">AP536*8/$AM$533</f>
        <v>0.032</v>
      </c>
      <c r="AR536" s="30" t="n">
        <v>28.94</v>
      </c>
      <c r="AS536" s="30" t="n">
        <f aca="false">AQ536*AR536</f>
        <v>0.92608</v>
      </c>
    </row>
    <row r="537" customFormat="false" ht="15" hidden="false" customHeight="false" outlineLevel="0" collapsed="false">
      <c r="AK537" s="1" t="s">
        <v>675</v>
      </c>
      <c r="AO537" s="57" t="s">
        <v>290</v>
      </c>
      <c r="AP537" s="58" t="n">
        <v>1</v>
      </c>
      <c r="AQ537" s="59" t="n">
        <f aca="false">AP537*8/$AM$533</f>
        <v>0.032</v>
      </c>
      <c r="AR537" s="30" t="n">
        <v>23.6</v>
      </c>
      <c r="AS537" s="30" t="n">
        <f aca="false">AQ537*AR537</f>
        <v>0.7552</v>
      </c>
    </row>
    <row r="538" customFormat="false" ht="15" hidden="false" customHeight="false" outlineLevel="0" collapsed="false">
      <c r="AO538" s="57"/>
      <c r="AP538" s="58"/>
      <c r="AS538" s="89" t="n">
        <f aca="false">SUM(AS536:AS537)</f>
        <v>1.68128</v>
      </c>
    </row>
    <row r="539" customFormat="false" ht="15" hidden="false" customHeight="false" outlineLevel="0" collapsed="false">
      <c r="AK539" s="90" t="s">
        <v>293</v>
      </c>
      <c r="AO539" s="57"/>
      <c r="AP539" s="58"/>
      <c r="AQ539" s="101"/>
    </row>
    <row r="540" customFormat="false" ht="15" hidden="false" customHeight="false" outlineLevel="0" collapsed="false">
      <c r="AK540" s="1" t="s">
        <v>294</v>
      </c>
      <c r="AO540" s="57" t="s">
        <v>295</v>
      </c>
      <c r="AP540" s="58"/>
      <c r="AQ540" s="101" t="n">
        <v>0.03</v>
      </c>
      <c r="AR540" s="30" t="n">
        <v>2.64</v>
      </c>
      <c r="AS540" s="30" t="n">
        <f aca="false">AQ540*AR540</f>
        <v>0.0792</v>
      </c>
    </row>
    <row r="541" customFormat="false" ht="15" hidden="false" customHeight="false" outlineLevel="0" collapsed="false">
      <c r="AK541" s="1" t="s">
        <v>676</v>
      </c>
      <c r="AO541" s="57" t="s">
        <v>295</v>
      </c>
      <c r="AP541" s="58"/>
      <c r="AQ541" s="101" t="n">
        <v>1.05</v>
      </c>
      <c r="AR541" s="30" t="n">
        <v>6.5</v>
      </c>
      <c r="AS541" s="30" t="n">
        <f aca="false">AQ541*AR541</f>
        <v>6.825</v>
      </c>
    </row>
    <row r="542" customFormat="false" ht="15" hidden="false" customHeight="false" outlineLevel="0" collapsed="false">
      <c r="AO542" s="57"/>
      <c r="AP542" s="58"/>
      <c r="AS542" s="89" t="n">
        <f aca="false">SUM(AS540:AS541)</f>
        <v>6.9042</v>
      </c>
    </row>
    <row r="543" customFormat="false" ht="15" hidden="false" customHeight="false" outlineLevel="0" collapsed="false">
      <c r="AK543" s="90" t="s">
        <v>317</v>
      </c>
      <c r="AO543" s="57"/>
      <c r="AP543" s="58"/>
    </row>
    <row r="544" customFormat="false" ht="15" hidden="false" customHeight="false" outlineLevel="0" collapsed="false">
      <c r="AK544" s="1" t="s">
        <v>309</v>
      </c>
      <c r="AO544" s="57" t="s">
        <v>310</v>
      </c>
      <c r="AQ544" s="59" t="n">
        <v>3</v>
      </c>
      <c r="AR544" s="30" t="n">
        <f aca="false">AS538</f>
        <v>1.68128</v>
      </c>
      <c r="AS544" s="30" t="n">
        <f aca="false">AQ544%*AR544</f>
        <v>0.0504384</v>
      </c>
    </row>
    <row r="545" customFormat="false" ht="15" hidden="false" customHeight="false" outlineLevel="0" collapsed="false">
      <c r="AK545" s="1" t="s">
        <v>677</v>
      </c>
      <c r="AO545" s="57" t="s">
        <v>290</v>
      </c>
      <c r="AP545" s="58" t="n">
        <v>1</v>
      </c>
      <c r="AQ545" s="59" t="n">
        <f aca="false">AP545*8/$AM$533</f>
        <v>0.032</v>
      </c>
      <c r="AR545" s="30" t="n">
        <v>5</v>
      </c>
      <c r="AS545" s="30" t="n">
        <f aca="false">AQ545*AR545</f>
        <v>0.16</v>
      </c>
    </row>
    <row r="546" customFormat="false" ht="15" hidden="false" customHeight="false" outlineLevel="0" collapsed="false">
      <c r="AJ546" s="62"/>
      <c r="AK546" s="62"/>
      <c r="AL546" s="62"/>
      <c r="AM546" s="62"/>
      <c r="AN546" s="62"/>
      <c r="AO546" s="62"/>
      <c r="AP546" s="62"/>
      <c r="AQ546" s="62"/>
      <c r="AR546" s="62"/>
      <c r="AS546" s="91" t="n">
        <f aca="false">SUM(AS544:AS545)</f>
        <v>0.2104384</v>
      </c>
    </row>
    <row r="547" customFormat="false" ht="15" hidden="false" customHeight="false" outlineLevel="0" collapsed="false">
      <c r="AO547" s="57"/>
      <c r="AQ547" s="59"/>
      <c r="AS547" s="30"/>
    </row>
    <row r="548" customFormat="false" ht="15" hidden="false" customHeight="false" outlineLevel="0" collapsed="false">
      <c r="AJ548" s="85" t="s">
        <v>276</v>
      </c>
      <c r="AK548" s="85"/>
      <c r="AL548" s="85" t="s">
        <v>527</v>
      </c>
      <c r="AM548" s="85"/>
    </row>
    <row r="549" customFormat="false" ht="15" hidden="false" customHeight="false" outlineLevel="0" collapsed="false">
      <c r="AJ549" s="85" t="s">
        <v>277</v>
      </c>
      <c r="AK549" s="85" t="s">
        <v>278</v>
      </c>
      <c r="AL549" s="87" t="s">
        <v>279</v>
      </c>
      <c r="AM549" s="88" t="n">
        <v>20</v>
      </c>
      <c r="AN549" s="87" t="s">
        <v>280</v>
      </c>
      <c r="AO549" s="88" t="n">
        <f aca="false">AM549</f>
        <v>20</v>
      </c>
      <c r="AP549" s="85" t="s">
        <v>281</v>
      </c>
      <c r="AR549" s="87" t="s">
        <v>132</v>
      </c>
      <c r="AS549" s="89" t="n">
        <f aca="false">AS555+AS560+AS563</f>
        <v>79.24338</v>
      </c>
    </row>
    <row r="550" customFormat="false" ht="15" hidden="false" customHeight="false" outlineLevel="0" collapsed="false">
      <c r="AJ550" s="85" t="s">
        <v>282</v>
      </c>
      <c r="AK550" s="85" t="s">
        <v>283</v>
      </c>
      <c r="AO550" s="87" t="s">
        <v>121</v>
      </c>
      <c r="AP550" s="87" t="s">
        <v>284</v>
      </c>
      <c r="AQ550" s="87" t="s">
        <v>285</v>
      </c>
      <c r="AR550" s="87" t="s">
        <v>286</v>
      </c>
      <c r="AS550" s="87" t="s">
        <v>287</v>
      </c>
    </row>
    <row r="551" customFormat="false" ht="15" hidden="false" customHeight="false" outlineLevel="0" collapsed="false">
      <c r="AK551" s="90" t="s">
        <v>288</v>
      </c>
    </row>
    <row r="552" customFormat="false" ht="15" hidden="false" customHeight="false" outlineLevel="0" collapsed="false">
      <c r="AK552" s="1" t="s">
        <v>289</v>
      </c>
      <c r="AO552" s="57" t="s">
        <v>290</v>
      </c>
      <c r="AP552" s="58" t="n">
        <v>2</v>
      </c>
      <c r="AQ552" s="59" t="n">
        <f aca="false">AP552*8/$AM$549</f>
        <v>0.8</v>
      </c>
      <c r="AR552" s="30" t="n">
        <v>28.94</v>
      </c>
      <c r="AS552" s="30" t="n">
        <f aca="false">AQ552*AR552</f>
        <v>23.152</v>
      </c>
    </row>
    <row r="553" customFormat="false" ht="15" hidden="false" customHeight="false" outlineLevel="0" collapsed="false">
      <c r="AK553" s="1" t="s">
        <v>291</v>
      </c>
      <c r="AO553" s="57" t="s">
        <v>290</v>
      </c>
      <c r="AP553" s="58" t="n">
        <v>2</v>
      </c>
      <c r="AQ553" s="59" t="n">
        <f aca="false">AP553*8/$AM$549</f>
        <v>0.8</v>
      </c>
      <c r="AR553" s="30" t="n">
        <v>23.6</v>
      </c>
      <c r="AS553" s="30" t="n">
        <f aca="false">AQ553*AR553</f>
        <v>18.88</v>
      </c>
    </row>
    <row r="554" customFormat="false" ht="15" hidden="false" customHeight="false" outlineLevel="0" collapsed="false">
      <c r="AK554" s="1" t="s">
        <v>292</v>
      </c>
      <c r="AO554" s="57" t="s">
        <v>290</v>
      </c>
      <c r="AP554" s="58" t="n">
        <v>1</v>
      </c>
      <c r="AQ554" s="59" t="n">
        <f aca="false">AP554*8/$AM$549</f>
        <v>0.4</v>
      </c>
      <c r="AR554" s="30" t="n">
        <v>21.36</v>
      </c>
      <c r="AS554" s="30" t="n">
        <f aca="false">AQ554*AR554</f>
        <v>8.544</v>
      </c>
    </row>
    <row r="555" customFormat="false" ht="15" hidden="false" customHeight="false" outlineLevel="0" collapsed="false">
      <c r="AO555" s="57"/>
      <c r="AP555" s="58"/>
      <c r="AQ555" s="59"/>
      <c r="AS555" s="89" t="n">
        <f aca="false">SUM(AS552:AS554)</f>
        <v>50.576</v>
      </c>
    </row>
    <row r="556" customFormat="false" ht="15" hidden="false" customHeight="false" outlineLevel="0" collapsed="false">
      <c r="AK556" s="90" t="s">
        <v>652</v>
      </c>
      <c r="AO556" s="57"/>
      <c r="AP556" s="58"/>
      <c r="AQ556" s="59"/>
      <c r="AS556" s="30"/>
    </row>
    <row r="557" customFormat="false" ht="15" hidden="false" customHeight="false" outlineLevel="0" collapsed="false">
      <c r="AK557" s="1" t="s">
        <v>685</v>
      </c>
      <c r="AO557" s="57" t="s">
        <v>295</v>
      </c>
      <c r="AQ557" s="59" t="n">
        <v>0.3</v>
      </c>
      <c r="AR557" s="30" t="n">
        <v>2.64</v>
      </c>
      <c r="AS557" s="30" t="n">
        <f aca="false">AQ557*AR557</f>
        <v>0.792</v>
      </c>
    </row>
    <row r="558" customFormat="false" ht="15" hidden="false" customHeight="false" outlineLevel="0" collapsed="false">
      <c r="AK558" s="1" t="s">
        <v>300</v>
      </c>
      <c r="AO558" s="57" t="s">
        <v>295</v>
      </c>
      <c r="AQ558" s="59" t="n">
        <v>0.31</v>
      </c>
      <c r="AR558" s="30" t="n">
        <v>5.51</v>
      </c>
      <c r="AS558" s="30" t="n">
        <f aca="false">AQ558*AR558</f>
        <v>1.7081</v>
      </c>
    </row>
    <row r="559" customFormat="false" ht="15" hidden="false" customHeight="false" outlineLevel="0" collapsed="false">
      <c r="AK559" s="1" t="s">
        <v>667</v>
      </c>
      <c r="AO559" s="57" t="s">
        <v>304</v>
      </c>
      <c r="AQ559" s="59" t="n">
        <v>4.25</v>
      </c>
      <c r="AR559" s="30" t="n">
        <v>5.8</v>
      </c>
      <c r="AS559" s="30" t="n">
        <f aca="false">AQ559*AR559</f>
        <v>24.65</v>
      </c>
    </row>
    <row r="560" customFormat="false" ht="15" hidden="false" customHeight="false" outlineLevel="0" collapsed="false">
      <c r="AO560" s="57"/>
      <c r="AQ560" s="59"/>
      <c r="AR560" s="30"/>
      <c r="AS560" s="89" t="n">
        <f aca="false">SUM(AS557:AS559)</f>
        <v>27.1501</v>
      </c>
    </row>
    <row r="561" customFormat="false" ht="15" hidden="false" customHeight="false" outlineLevel="0" collapsed="false">
      <c r="AK561" s="90" t="s">
        <v>308</v>
      </c>
    </row>
    <row r="562" customFormat="false" ht="15" hidden="false" customHeight="false" outlineLevel="0" collapsed="false">
      <c r="AK562" s="1" t="s">
        <v>309</v>
      </c>
      <c r="AO562" s="57" t="s">
        <v>310</v>
      </c>
      <c r="AQ562" s="59" t="n">
        <v>3</v>
      </c>
      <c r="AR562" s="30" t="n">
        <f aca="false">AS555</f>
        <v>50.576</v>
      </c>
      <c r="AS562" s="30" t="n">
        <f aca="false">AQ562%*AR562</f>
        <v>1.51728</v>
      </c>
    </row>
    <row r="563" customFormat="false" ht="15" hidden="false" customHeight="false" outlineLevel="0" collapsed="false">
      <c r="AJ563" s="62"/>
      <c r="AK563" s="62"/>
      <c r="AL563" s="62"/>
      <c r="AM563" s="62"/>
      <c r="AN563" s="62"/>
      <c r="AO563" s="62"/>
      <c r="AP563" s="62"/>
      <c r="AQ563" s="62"/>
      <c r="AR563" s="62"/>
      <c r="AS563" s="91" t="n">
        <f aca="false">SUM(AS562)</f>
        <v>1.51728</v>
      </c>
    </row>
    <row r="564" customFormat="false" ht="15" hidden="false" customHeight="false" outlineLevel="0" collapsed="false">
      <c r="AO564" s="57"/>
      <c r="AQ564" s="59"/>
      <c r="AS564" s="30"/>
    </row>
    <row r="565" customFormat="false" ht="15" hidden="false" customHeight="false" outlineLevel="0" collapsed="false">
      <c r="AJ565" s="85" t="s">
        <v>276</v>
      </c>
      <c r="AK565" s="85"/>
      <c r="AL565" s="85" t="s">
        <v>525</v>
      </c>
      <c r="AM565" s="85"/>
    </row>
    <row r="566" customFormat="false" ht="15" hidden="false" customHeight="false" outlineLevel="0" collapsed="false">
      <c r="AJ566" s="85" t="s">
        <v>277</v>
      </c>
      <c r="AK566" s="85" t="s">
        <v>415</v>
      </c>
      <c r="AL566" s="87" t="s">
        <v>279</v>
      </c>
      <c r="AM566" s="88" t="n">
        <v>10</v>
      </c>
      <c r="AN566" s="87" t="s">
        <v>280</v>
      </c>
      <c r="AO566" s="88" t="n">
        <f aca="false">AM566</f>
        <v>10</v>
      </c>
      <c r="AP566" s="85" t="s">
        <v>281</v>
      </c>
      <c r="AR566" s="87" t="s">
        <v>202</v>
      </c>
      <c r="AS566" s="89" t="n">
        <f aca="false">AS572+AS579+AS584</f>
        <v>549.09188</v>
      </c>
    </row>
    <row r="567" customFormat="false" ht="15" hidden="false" customHeight="false" outlineLevel="0" collapsed="false">
      <c r="AJ567" s="85" t="s">
        <v>282</v>
      </c>
      <c r="AK567" s="85" t="s">
        <v>283</v>
      </c>
      <c r="AO567" s="87" t="s">
        <v>121</v>
      </c>
      <c r="AP567" s="87" t="s">
        <v>284</v>
      </c>
      <c r="AQ567" s="87" t="s">
        <v>285</v>
      </c>
      <c r="AR567" s="87" t="s">
        <v>286</v>
      </c>
      <c r="AS567" s="87" t="s">
        <v>287</v>
      </c>
    </row>
    <row r="568" customFormat="false" ht="15" hidden="false" customHeight="false" outlineLevel="0" collapsed="false">
      <c r="AK568" s="90" t="s">
        <v>288</v>
      </c>
    </row>
    <row r="569" customFormat="false" ht="15" hidden="false" customHeight="false" outlineLevel="0" collapsed="false">
      <c r="AK569" s="1" t="s">
        <v>289</v>
      </c>
      <c r="AO569" s="57" t="s">
        <v>290</v>
      </c>
      <c r="AP569" s="58" t="n">
        <v>2</v>
      </c>
      <c r="AQ569" s="59" t="n">
        <f aca="false">AP569*8/$AM$566</f>
        <v>1.6</v>
      </c>
      <c r="AR569" s="30" t="n">
        <v>28.94</v>
      </c>
      <c r="AS569" s="30" t="n">
        <f aca="false">AQ569*AR569</f>
        <v>46.304</v>
      </c>
    </row>
    <row r="570" customFormat="false" ht="15" hidden="false" customHeight="false" outlineLevel="0" collapsed="false">
      <c r="AK570" s="1" t="s">
        <v>291</v>
      </c>
      <c r="AO570" s="57" t="s">
        <v>290</v>
      </c>
      <c r="AP570" s="58" t="n">
        <v>2</v>
      </c>
      <c r="AQ570" s="59" t="n">
        <f aca="false">AP570*8/$AM$566</f>
        <v>1.6</v>
      </c>
      <c r="AR570" s="30" t="n">
        <v>23.6</v>
      </c>
      <c r="AS570" s="30" t="n">
        <f aca="false">AQ570*AR570</f>
        <v>37.76</v>
      </c>
    </row>
    <row r="571" customFormat="false" ht="15" hidden="false" customHeight="false" outlineLevel="0" collapsed="false">
      <c r="AK571" s="1" t="s">
        <v>292</v>
      </c>
      <c r="AO571" s="57" t="s">
        <v>290</v>
      </c>
      <c r="AP571" s="58" t="n">
        <v>8</v>
      </c>
      <c r="AQ571" s="59" t="n">
        <f aca="false">AP571*8/$AM$566</f>
        <v>6.4</v>
      </c>
      <c r="AR571" s="30" t="n">
        <v>21.36</v>
      </c>
      <c r="AS571" s="30" t="n">
        <f aca="false">AQ571*AR571</f>
        <v>136.704</v>
      </c>
    </row>
    <row r="572" customFormat="false" ht="15" hidden="false" customHeight="false" outlineLevel="0" collapsed="false">
      <c r="AO572" s="57"/>
      <c r="AP572" s="58"/>
      <c r="AQ572" s="59"/>
      <c r="AS572" s="89" t="n">
        <f aca="false">SUM(AS569:AS571)</f>
        <v>220.768</v>
      </c>
    </row>
    <row r="573" customFormat="false" ht="15" hidden="false" customHeight="false" outlineLevel="0" collapsed="false">
      <c r="AK573" s="90" t="s">
        <v>652</v>
      </c>
      <c r="AO573" s="57"/>
      <c r="AP573" s="58"/>
      <c r="AQ573" s="59"/>
      <c r="AS573" s="30"/>
    </row>
    <row r="574" customFormat="false" ht="15" hidden="false" customHeight="false" outlineLevel="0" collapsed="false">
      <c r="AK574" s="1" t="s">
        <v>670</v>
      </c>
      <c r="AO574" s="57" t="s">
        <v>202</v>
      </c>
      <c r="AQ574" s="59" t="n">
        <v>0.53</v>
      </c>
      <c r="AR574" s="30" t="n">
        <v>55.08</v>
      </c>
      <c r="AS574" s="30" t="n">
        <f aca="false">AQ574*AR574</f>
        <v>29.1924</v>
      </c>
    </row>
    <row r="575" customFormat="false" ht="15" hidden="false" customHeight="false" outlineLevel="0" collapsed="false">
      <c r="AK575" s="1" t="s">
        <v>671</v>
      </c>
      <c r="AO575" s="57" t="s">
        <v>202</v>
      </c>
      <c r="AQ575" s="59" t="n">
        <v>0.52</v>
      </c>
      <c r="AR575" s="30" t="n">
        <v>47</v>
      </c>
      <c r="AS575" s="30" t="n">
        <f aca="false">AQ575*AR575</f>
        <v>24.44</v>
      </c>
    </row>
    <row r="576" customFormat="false" ht="15" hidden="false" customHeight="false" outlineLevel="0" collapsed="false">
      <c r="AK576" s="1" t="s">
        <v>305</v>
      </c>
      <c r="AO576" s="57" t="s">
        <v>306</v>
      </c>
      <c r="AQ576" s="59" t="n">
        <v>9.73</v>
      </c>
      <c r="AR576" s="30" t="n">
        <v>24.52</v>
      </c>
      <c r="AS576" s="30" t="n">
        <f aca="false">AQ576*AR576</f>
        <v>238.5796</v>
      </c>
    </row>
    <row r="577" customFormat="false" ht="15" hidden="false" customHeight="false" outlineLevel="0" collapsed="false">
      <c r="AK577" s="1" t="s">
        <v>654</v>
      </c>
      <c r="AO577" s="57" t="s">
        <v>202</v>
      </c>
      <c r="AQ577" s="59" t="n">
        <v>0.186</v>
      </c>
      <c r="AR577" s="1" t="n">
        <v>6.14</v>
      </c>
      <c r="AS577" s="30" t="n">
        <f aca="false">AQ577*AR577</f>
        <v>1.14204</v>
      </c>
    </row>
    <row r="578" customFormat="false" ht="15" hidden="false" customHeight="false" outlineLevel="0" collapsed="false">
      <c r="AK578" s="1" t="s">
        <v>663</v>
      </c>
      <c r="AO578" s="57" t="s">
        <v>437</v>
      </c>
      <c r="AQ578" s="59" t="n">
        <v>0.36</v>
      </c>
      <c r="AR578" s="1" t="n">
        <v>13.93</v>
      </c>
      <c r="AS578" s="30" t="n">
        <f aca="false">AQ578*AR578</f>
        <v>5.0148</v>
      </c>
    </row>
    <row r="579" customFormat="false" ht="15" hidden="false" customHeight="false" outlineLevel="0" collapsed="false">
      <c r="AO579" s="57"/>
      <c r="AQ579" s="59"/>
      <c r="AR579" s="30"/>
      <c r="AS579" s="89" t="n">
        <f aca="false">SUM(AS574:AS578)</f>
        <v>298.36884</v>
      </c>
    </row>
    <row r="580" customFormat="false" ht="15" hidden="false" customHeight="false" outlineLevel="0" collapsed="false">
      <c r="AK580" s="90" t="s">
        <v>308</v>
      </c>
    </row>
    <row r="581" customFormat="false" ht="15" hidden="false" customHeight="false" outlineLevel="0" collapsed="false">
      <c r="AK581" s="1" t="s">
        <v>309</v>
      </c>
      <c r="AO581" s="57" t="s">
        <v>310</v>
      </c>
      <c r="AQ581" s="59" t="n">
        <v>3</v>
      </c>
      <c r="AR581" s="30" t="n">
        <f aca="false">AS572</f>
        <v>220.768</v>
      </c>
      <c r="AS581" s="30" t="n">
        <f aca="false">AQ581%*AR581</f>
        <v>6.62304</v>
      </c>
    </row>
    <row r="582" customFormat="false" ht="15" hidden="false" customHeight="false" outlineLevel="0" collapsed="false">
      <c r="AK582" s="1" t="s">
        <v>665</v>
      </c>
      <c r="AO582" s="57" t="s">
        <v>337</v>
      </c>
      <c r="AP582" s="58" t="n">
        <v>1</v>
      </c>
      <c r="AQ582" s="59" t="n">
        <f aca="false">AP582*8/$AM$566</f>
        <v>0.8</v>
      </c>
      <c r="AR582" s="30" t="n">
        <v>25.63</v>
      </c>
      <c r="AS582" s="30" t="n">
        <f aca="false">AQ582*AR582</f>
        <v>20.504</v>
      </c>
    </row>
    <row r="583" customFormat="false" ht="15" hidden="false" customHeight="false" outlineLevel="0" collapsed="false">
      <c r="AK583" s="1" t="s">
        <v>673</v>
      </c>
      <c r="AO583" s="57" t="s">
        <v>337</v>
      </c>
      <c r="AP583" s="58" t="n">
        <v>0.5</v>
      </c>
      <c r="AQ583" s="59" t="n">
        <f aca="false">AP583*8/$AM$566</f>
        <v>0.4</v>
      </c>
      <c r="AR583" s="30" t="n">
        <v>7.07</v>
      </c>
      <c r="AS583" s="30" t="n">
        <f aca="false">AQ583*AR583</f>
        <v>2.828</v>
      </c>
    </row>
    <row r="584" customFormat="false" ht="15" hidden="false" customHeight="false" outlineLevel="0" collapsed="false">
      <c r="AJ584" s="62"/>
      <c r="AK584" s="62"/>
      <c r="AL584" s="62"/>
      <c r="AM584" s="62"/>
      <c r="AN584" s="62"/>
      <c r="AO584" s="62"/>
      <c r="AP584" s="62"/>
      <c r="AQ584" s="62"/>
      <c r="AR584" s="62"/>
      <c r="AS584" s="91" t="n">
        <f aca="false">SUM(AS581:AS583)</f>
        <v>29.95504</v>
      </c>
    </row>
    <row r="585" customFormat="false" ht="15" hidden="false" customHeight="false" outlineLevel="0" collapsed="false">
      <c r="AO585" s="57"/>
      <c r="AQ585" s="59"/>
      <c r="AS585" s="30"/>
    </row>
    <row r="586" customFormat="false" ht="15" hidden="false" customHeight="false" outlineLevel="0" collapsed="false">
      <c r="AJ586" s="85" t="s">
        <v>276</v>
      </c>
      <c r="AK586" s="85"/>
      <c r="AL586" s="85" t="s">
        <v>529</v>
      </c>
      <c r="AM586" s="85"/>
    </row>
    <row r="587" customFormat="false" ht="15" hidden="false" customHeight="false" outlineLevel="0" collapsed="false">
      <c r="AJ587" s="85" t="s">
        <v>277</v>
      </c>
      <c r="AK587" s="85" t="s">
        <v>278</v>
      </c>
      <c r="AL587" s="87" t="s">
        <v>279</v>
      </c>
      <c r="AM587" s="88" t="n">
        <v>250</v>
      </c>
      <c r="AN587" s="87" t="s">
        <v>280</v>
      </c>
      <c r="AO587" s="88" t="n">
        <f aca="false">AM587</f>
        <v>250</v>
      </c>
      <c r="AP587" s="85" t="s">
        <v>281</v>
      </c>
      <c r="AR587" s="87" t="s">
        <v>132</v>
      </c>
      <c r="AS587" s="89" t="n">
        <f aca="false">AS592+AS596+AS600</f>
        <v>8.7959184</v>
      </c>
    </row>
    <row r="588" customFormat="false" ht="15" hidden="false" customHeight="false" outlineLevel="0" collapsed="false">
      <c r="AJ588" s="85" t="s">
        <v>282</v>
      </c>
      <c r="AK588" s="85" t="s">
        <v>283</v>
      </c>
      <c r="AO588" s="87" t="s">
        <v>121</v>
      </c>
      <c r="AP588" s="87" t="s">
        <v>284</v>
      </c>
      <c r="AQ588" s="87" t="s">
        <v>285</v>
      </c>
      <c r="AR588" s="87" t="s">
        <v>286</v>
      </c>
      <c r="AS588" s="87" t="s">
        <v>287</v>
      </c>
    </row>
    <row r="589" customFormat="false" ht="15" hidden="false" customHeight="false" outlineLevel="0" collapsed="false">
      <c r="AK589" s="90" t="s">
        <v>288</v>
      </c>
    </row>
    <row r="590" customFormat="false" ht="15" hidden="false" customHeight="false" outlineLevel="0" collapsed="false">
      <c r="AK590" s="1" t="s">
        <v>289</v>
      </c>
      <c r="AO590" s="57" t="s">
        <v>290</v>
      </c>
      <c r="AP590" s="58" t="n">
        <v>1</v>
      </c>
      <c r="AQ590" s="59" t="n">
        <f aca="false">AP590*8/$AM$587</f>
        <v>0.032</v>
      </c>
      <c r="AR590" s="30" t="n">
        <v>28.94</v>
      </c>
      <c r="AS590" s="30" t="n">
        <f aca="false">AQ590*AR590</f>
        <v>0.92608</v>
      </c>
    </row>
    <row r="591" customFormat="false" ht="15" hidden="false" customHeight="false" outlineLevel="0" collapsed="false">
      <c r="AK591" s="1" t="s">
        <v>675</v>
      </c>
      <c r="AO591" s="57" t="s">
        <v>290</v>
      </c>
      <c r="AP591" s="58" t="n">
        <v>1</v>
      </c>
      <c r="AQ591" s="59" t="n">
        <f aca="false">AP591*8/$AM$587</f>
        <v>0.032</v>
      </c>
      <c r="AR591" s="30" t="n">
        <v>23.6</v>
      </c>
      <c r="AS591" s="30" t="n">
        <f aca="false">AQ591*AR591</f>
        <v>0.7552</v>
      </c>
    </row>
    <row r="592" customFormat="false" ht="15" hidden="false" customHeight="false" outlineLevel="0" collapsed="false">
      <c r="AO592" s="57"/>
      <c r="AP592" s="58"/>
      <c r="AS592" s="89" t="n">
        <f aca="false">SUM(AS590:AS591)</f>
        <v>1.68128</v>
      </c>
    </row>
    <row r="593" customFormat="false" ht="15" hidden="false" customHeight="false" outlineLevel="0" collapsed="false">
      <c r="AK593" s="90" t="s">
        <v>293</v>
      </c>
      <c r="AO593" s="57"/>
      <c r="AP593" s="58"/>
      <c r="AQ593" s="101"/>
    </row>
    <row r="594" customFormat="false" ht="15" hidden="false" customHeight="false" outlineLevel="0" collapsed="false">
      <c r="AK594" s="1" t="s">
        <v>294</v>
      </c>
      <c r="AO594" s="57" t="s">
        <v>295</v>
      </c>
      <c r="AP594" s="58"/>
      <c r="AQ594" s="101" t="n">
        <v>0.03</v>
      </c>
      <c r="AR594" s="30" t="n">
        <v>2.64</v>
      </c>
      <c r="AS594" s="30" t="n">
        <f aca="false">AQ594*AR594</f>
        <v>0.0792</v>
      </c>
    </row>
    <row r="595" customFormat="false" ht="15" hidden="false" customHeight="false" outlineLevel="0" collapsed="false">
      <c r="AK595" s="1" t="s">
        <v>676</v>
      </c>
      <c r="AO595" s="57" t="s">
        <v>295</v>
      </c>
      <c r="AP595" s="58"/>
      <c r="AQ595" s="101" t="n">
        <v>1.05</v>
      </c>
      <c r="AR595" s="30" t="n">
        <v>6.5</v>
      </c>
      <c r="AS595" s="30" t="n">
        <f aca="false">AQ595*AR595</f>
        <v>6.825</v>
      </c>
    </row>
    <row r="596" customFormat="false" ht="15" hidden="false" customHeight="false" outlineLevel="0" collapsed="false">
      <c r="AO596" s="57"/>
      <c r="AP596" s="58"/>
      <c r="AS596" s="89" t="n">
        <f aca="false">SUM(AS594:AS595)</f>
        <v>6.9042</v>
      </c>
    </row>
    <row r="597" customFormat="false" ht="15" hidden="false" customHeight="false" outlineLevel="0" collapsed="false">
      <c r="AK597" s="90" t="s">
        <v>317</v>
      </c>
      <c r="AO597" s="57"/>
      <c r="AP597" s="58"/>
    </row>
    <row r="598" customFormat="false" ht="15" hidden="false" customHeight="false" outlineLevel="0" collapsed="false">
      <c r="AK598" s="1" t="s">
        <v>309</v>
      </c>
      <c r="AO598" s="57" t="s">
        <v>310</v>
      </c>
      <c r="AQ598" s="59" t="n">
        <v>3</v>
      </c>
      <c r="AR598" s="30" t="n">
        <f aca="false">AS592</f>
        <v>1.68128</v>
      </c>
      <c r="AS598" s="30" t="n">
        <f aca="false">AQ598%*AR598</f>
        <v>0.0504384</v>
      </c>
    </row>
    <row r="599" customFormat="false" ht="15" hidden="false" customHeight="false" outlineLevel="0" collapsed="false">
      <c r="AK599" s="1" t="s">
        <v>677</v>
      </c>
      <c r="AO599" s="57" t="s">
        <v>290</v>
      </c>
      <c r="AP599" s="58" t="n">
        <v>1</v>
      </c>
      <c r="AQ599" s="59" t="n">
        <f aca="false">AP599*8/$AM$587</f>
        <v>0.032</v>
      </c>
      <c r="AR599" s="30" t="n">
        <v>5</v>
      </c>
      <c r="AS599" s="30" t="n">
        <f aca="false">AQ599*AR599</f>
        <v>0.16</v>
      </c>
    </row>
    <row r="600" customFormat="false" ht="15" hidden="false" customHeight="false" outlineLevel="0" collapsed="false">
      <c r="AJ600" s="62"/>
      <c r="AK600" s="62"/>
      <c r="AL600" s="62"/>
      <c r="AM600" s="62"/>
      <c r="AN600" s="62"/>
      <c r="AO600" s="62"/>
      <c r="AP600" s="62"/>
      <c r="AQ600" s="62"/>
      <c r="AR600" s="62"/>
      <c r="AS600" s="91" t="n">
        <f aca="false">SUM(AS598:AS599)</f>
        <v>0.2104384</v>
      </c>
    </row>
    <row r="601" customFormat="false" ht="15" hidden="false" customHeight="false" outlineLevel="0" collapsed="false">
      <c r="AS601" s="89"/>
    </row>
    <row r="602" customFormat="false" ht="15" hidden="false" customHeight="false" outlineLevel="0" collapsed="false">
      <c r="AJ602" s="85" t="s">
        <v>276</v>
      </c>
      <c r="AK602" s="85"/>
      <c r="AL602" s="85" t="s">
        <v>543</v>
      </c>
      <c r="AM602" s="85"/>
    </row>
    <row r="603" customFormat="false" ht="15" hidden="false" customHeight="false" outlineLevel="0" collapsed="false">
      <c r="AJ603" s="85" t="s">
        <v>277</v>
      </c>
      <c r="AK603" s="85" t="s">
        <v>278</v>
      </c>
      <c r="AL603" s="87" t="s">
        <v>279</v>
      </c>
      <c r="AM603" s="88" t="n">
        <v>18</v>
      </c>
      <c r="AN603" s="87" t="s">
        <v>280</v>
      </c>
      <c r="AO603" s="88" t="n">
        <f aca="false">AM603</f>
        <v>18</v>
      </c>
      <c r="AP603" s="85" t="s">
        <v>281</v>
      </c>
      <c r="AR603" s="87" t="s">
        <v>132</v>
      </c>
      <c r="AS603" s="89" t="n">
        <f aca="false">AS608+AS613+AS616</f>
        <v>79.0168444444444</v>
      </c>
    </row>
    <row r="604" customFormat="false" ht="15" hidden="false" customHeight="false" outlineLevel="0" collapsed="false">
      <c r="AJ604" s="85" t="s">
        <v>282</v>
      </c>
      <c r="AK604" s="85" t="s">
        <v>283</v>
      </c>
      <c r="AO604" s="87" t="s">
        <v>121</v>
      </c>
      <c r="AP604" s="87" t="s">
        <v>284</v>
      </c>
      <c r="AQ604" s="87" t="s">
        <v>285</v>
      </c>
      <c r="AR604" s="87" t="s">
        <v>286</v>
      </c>
      <c r="AS604" s="87" t="s">
        <v>287</v>
      </c>
    </row>
    <row r="605" customFormat="false" ht="15" hidden="false" customHeight="false" outlineLevel="0" collapsed="false">
      <c r="AK605" s="90" t="s">
        <v>288</v>
      </c>
    </row>
    <row r="606" customFormat="false" ht="15" hidden="false" customHeight="false" outlineLevel="0" collapsed="false">
      <c r="AK606" s="1" t="s">
        <v>289</v>
      </c>
      <c r="AO606" s="57" t="s">
        <v>290</v>
      </c>
      <c r="AP606" s="58" t="n">
        <v>2</v>
      </c>
      <c r="AQ606" s="59" t="n">
        <f aca="false">AP606*8/$AM$603</f>
        <v>0.888888888888889</v>
      </c>
      <c r="AR606" s="30" t="n">
        <v>28.94</v>
      </c>
      <c r="AS606" s="30" t="n">
        <f aca="false">AQ606*AR606</f>
        <v>25.7244444444444</v>
      </c>
    </row>
    <row r="607" customFormat="false" ht="15" hidden="false" customHeight="false" outlineLevel="0" collapsed="false">
      <c r="AK607" s="1" t="s">
        <v>292</v>
      </c>
      <c r="AO607" s="57" t="s">
        <v>290</v>
      </c>
      <c r="AP607" s="58" t="n">
        <v>2</v>
      </c>
      <c r="AQ607" s="59" t="n">
        <f aca="false">AP607*8/$AM$603</f>
        <v>0.888888888888889</v>
      </c>
      <c r="AR607" s="30" t="n">
        <v>21.36</v>
      </c>
      <c r="AS607" s="30" t="n">
        <f aca="false">AQ607*AR607</f>
        <v>18.9866666666667</v>
      </c>
    </row>
    <row r="608" customFormat="false" ht="15" hidden="false" customHeight="false" outlineLevel="0" collapsed="false">
      <c r="AO608" s="57"/>
      <c r="AP608" s="58"/>
      <c r="AQ608" s="59"/>
      <c r="AR608" s="30"/>
      <c r="AS608" s="89" t="n">
        <f aca="false">SUM(AS606:AS607)</f>
        <v>44.7111111111111</v>
      </c>
    </row>
    <row r="609" customFormat="false" ht="15" hidden="false" customHeight="false" outlineLevel="0" collapsed="false">
      <c r="AK609" s="90" t="s">
        <v>652</v>
      </c>
      <c r="AO609" s="57"/>
      <c r="AP609" s="58"/>
      <c r="AQ609" s="59"/>
      <c r="AS609" s="30"/>
    </row>
    <row r="610" customFormat="false" ht="15" hidden="false" customHeight="false" outlineLevel="0" collapsed="false">
      <c r="AK610" s="1" t="s">
        <v>685</v>
      </c>
      <c r="AO610" s="57" t="s">
        <v>295</v>
      </c>
      <c r="AQ610" s="59" t="n">
        <v>0.1</v>
      </c>
      <c r="AR610" s="30" t="n">
        <v>2.64</v>
      </c>
      <c r="AS610" s="30" t="n">
        <f aca="false">AQ610*AR610</f>
        <v>0.264</v>
      </c>
    </row>
    <row r="611" customFormat="false" ht="15" hidden="false" customHeight="false" outlineLevel="0" collapsed="false">
      <c r="AK611" s="1" t="s">
        <v>300</v>
      </c>
      <c r="AO611" s="57" t="s">
        <v>295</v>
      </c>
      <c r="AQ611" s="59" t="n">
        <v>0.24</v>
      </c>
      <c r="AR611" s="30" t="n">
        <v>5.51</v>
      </c>
      <c r="AS611" s="30" t="n">
        <f aca="false">AQ611*AR611</f>
        <v>1.3224</v>
      </c>
    </row>
    <row r="612" customFormat="false" ht="15" hidden="false" customHeight="false" outlineLevel="0" collapsed="false">
      <c r="AK612" s="1" t="s">
        <v>667</v>
      </c>
      <c r="AO612" s="57" t="s">
        <v>304</v>
      </c>
      <c r="AQ612" s="59" t="n">
        <v>5.41</v>
      </c>
      <c r="AR612" s="30" t="n">
        <v>5.8</v>
      </c>
      <c r="AS612" s="30" t="n">
        <f aca="false">AQ612*AR612</f>
        <v>31.378</v>
      </c>
    </row>
    <row r="613" customFormat="false" ht="15" hidden="false" customHeight="false" outlineLevel="0" collapsed="false">
      <c r="AO613" s="57"/>
      <c r="AQ613" s="59"/>
      <c r="AR613" s="30"/>
      <c r="AS613" s="89" t="n">
        <f aca="false">SUM(AS610:AS612)</f>
        <v>32.9644</v>
      </c>
    </row>
    <row r="614" customFormat="false" ht="15" hidden="false" customHeight="false" outlineLevel="0" collapsed="false">
      <c r="AK614" s="90" t="s">
        <v>308</v>
      </c>
    </row>
    <row r="615" customFormat="false" ht="15" hidden="false" customHeight="false" outlineLevel="0" collapsed="false">
      <c r="AK615" s="1" t="s">
        <v>309</v>
      </c>
      <c r="AO615" s="57" t="s">
        <v>310</v>
      </c>
      <c r="AQ615" s="59" t="n">
        <v>3</v>
      </c>
      <c r="AR615" s="30" t="n">
        <f aca="false">AS608</f>
        <v>44.7111111111111</v>
      </c>
      <c r="AS615" s="30" t="n">
        <f aca="false">AQ615%*AR615</f>
        <v>1.34133333333333</v>
      </c>
    </row>
    <row r="616" customFormat="false" ht="15" hidden="false" customHeight="false" outlineLevel="0" collapsed="false">
      <c r="AJ616" s="62"/>
      <c r="AK616" s="62"/>
      <c r="AL616" s="62"/>
      <c r="AM616" s="62"/>
      <c r="AN616" s="62"/>
      <c r="AO616" s="62"/>
      <c r="AP616" s="62"/>
      <c r="AQ616" s="62"/>
      <c r="AR616" s="62"/>
      <c r="AS616" s="91" t="n">
        <f aca="false">SUM(AS615)</f>
        <v>1.34133333333333</v>
      </c>
    </row>
    <row r="617" customFormat="false" ht="15" hidden="false" customHeight="false" outlineLevel="0" collapsed="false">
      <c r="AS617" s="89"/>
    </row>
    <row r="618" customFormat="false" ht="15" hidden="false" customHeight="false" outlineLevel="0" collapsed="false">
      <c r="AJ618" s="85" t="s">
        <v>276</v>
      </c>
      <c r="AK618" s="85"/>
      <c r="AL618" s="85" t="s">
        <v>541</v>
      </c>
      <c r="AM618" s="85"/>
    </row>
    <row r="619" customFormat="false" ht="15" hidden="false" customHeight="false" outlineLevel="0" collapsed="false">
      <c r="AJ619" s="85" t="s">
        <v>277</v>
      </c>
      <c r="AK619" s="85" t="s">
        <v>415</v>
      </c>
      <c r="AL619" s="87" t="s">
        <v>279</v>
      </c>
      <c r="AM619" s="88" t="n">
        <v>20</v>
      </c>
      <c r="AN619" s="87" t="s">
        <v>280</v>
      </c>
      <c r="AO619" s="88" t="n">
        <f aca="false">AM619</f>
        <v>20</v>
      </c>
      <c r="AP619" s="85" t="s">
        <v>281</v>
      </c>
      <c r="AR619" s="87" t="s">
        <v>202</v>
      </c>
      <c r="AS619" s="89" t="n">
        <f aca="false">AS625+AS632+AS638</f>
        <v>419.77836</v>
      </c>
    </row>
    <row r="620" customFormat="false" ht="15" hidden="false" customHeight="false" outlineLevel="0" collapsed="false">
      <c r="AJ620" s="85" t="s">
        <v>282</v>
      </c>
      <c r="AK620" s="85" t="s">
        <v>283</v>
      </c>
      <c r="AO620" s="87" t="s">
        <v>121</v>
      </c>
      <c r="AP620" s="87" t="s">
        <v>284</v>
      </c>
      <c r="AQ620" s="87" t="s">
        <v>285</v>
      </c>
      <c r="AR620" s="87" t="s">
        <v>286</v>
      </c>
      <c r="AS620" s="87" t="s">
        <v>287</v>
      </c>
    </row>
    <row r="621" customFormat="false" ht="15" hidden="false" customHeight="false" outlineLevel="0" collapsed="false">
      <c r="AK621" s="90" t="s">
        <v>288</v>
      </c>
    </row>
    <row r="622" customFormat="false" ht="15" hidden="false" customHeight="false" outlineLevel="0" collapsed="false">
      <c r="AK622" s="1" t="s">
        <v>289</v>
      </c>
      <c r="AO622" s="57" t="s">
        <v>290</v>
      </c>
      <c r="AP622" s="58" t="n">
        <v>2</v>
      </c>
      <c r="AQ622" s="59" t="n">
        <f aca="false">AP622*8/$AM$619</f>
        <v>0.8</v>
      </c>
      <c r="AR622" s="30" t="n">
        <v>28.94</v>
      </c>
      <c r="AS622" s="30" t="n">
        <f aca="false">AQ622*AR622</f>
        <v>23.152</v>
      </c>
    </row>
    <row r="623" customFormat="false" ht="15" hidden="false" customHeight="false" outlineLevel="0" collapsed="false">
      <c r="AK623" s="1" t="s">
        <v>291</v>
      </c>
      <c r="AO623" s="57" t="s">
        <v>290</v>
      </c>
      <c r="AP623" s="58" t="n">
        <v>1</v>
      </c>
      <c r="AQ623" s="59" t="n">
        <f aca="false">AP623*8/$AM$619</f>
        <v>0.4</v>
      </c>
      <c r="AR623" s="30" t="n">
        <v>23.6</v>
      </c>
      <c r="AS623" s="30" t="n">
        <f aca="false">AQ623*AR623</f>
        <v>9.44</v>
      </c>
    </row>
    <row r="624" customFormat="false" ht="15" hidden="false" customHeight="false" outlineLevel="0" collapsed="false">
      <c r="AK624" s="1" t="s">
        <v>292</v>
      </c>
      <c r="AO624" s="57" t="s">
        <v>290</v>
      </c>
      <c r="AP624" s="58" t="n">
        <v>8</v>
      </c>
      <c r="AQ624" s="59" t="n">
        <f aca="false">AP624*8/$AM$619</f>
        <v>3.2</v>
      </c>
      <c r="AR624" s="30" t="n">
        <v>21.36</v>
      </c>
      <c r="AS624" s="30" t="n">
        <f aca="false">AQ624*AR624</f>
        <v>68.352</v>
      </c>
    </row>
    <row r="625" customFormat="false" ht="15" hidden="false" customHeight="false" outlineLevel="0" collapsed="false">
      <c r="AO625" s="57"/>
      <c r="AP625" s="58"/>
      <c r="AQ625" s="59"/>
      <c r="AS625" s="89" t="n">
        <f aca="false">SUM(AS622:AS624)</f>
        <v>100.944</v>
      </c>
    </row>
    <row r="626" customFormat="false" ht="15" hidden="false" customHeight="false" outlineLevel="0" collapsed="false">
      <c r="AK626" s="90" t="s">
        <v>652</v>
      </c>
      <c r="AO626" s="57"/>
      <c r="AP626" s="58"/>
      <c r="AQ626" s="59"/>
      <c r="AS626" s="30"/>
    </row>
    <row r="627" customFormat="false" ht="15" hidden="false" customHeight="false" outlineLevel="0" collapsed="false">
      <c r="AK627" s="1" t="s">
        <v>670</v>
      </c>
      <c r="AO627" s="57" t="s">
        <v>202</v>
      </c>
      <c r="AQ627" s="59" t="n">
        <v>0.53</v>
      </c>
      <c r="AR627" s="30" t="n">
        <v>55.08</v>
      </c>
      <c r="AS627" s="30" t="n">
        <f aca="false">AQ627*AR627</f>
        <v>29.1924</v>
      </c>
    </row>
    <row r="628" customFormat="false" ht="15" hidden="false" customHeight="false" outlineLevel="0" collapsed="false">
      <c r="AK628" s="1" t="s">
        <v>671</v>
      </c>
      <c r="AO628" s="57" t="s">
        <v>202</v>
      </c>
      <c r="AQ628" s="59" t="n">
        <v>0.52</v>
      </c>
      <c r="AR628" s="30" t="n">
        <v>47</v>
      </c>
      <c r="AS628" s="30" t="n">
        <f aca="false">AQ628*AR628</f>
        <v>24.44</v>
      </c>
    </row>
    <row r="629" customFormat="false" ht="15" hidden="false" customHeight="false" outlineLevel="0" collapsed="false">
      <c r="AK629" s="1" t="s">
        <v>305</v>
      </c>
      <c r="AO629" s="57" t="s">
        <v>306</v>
      </c>
      <c r="AQ629" s="59" t="n">
        <v>9.73</v>
      </c>
      <c r="AR629" s="30" t="n">
        <v>24.52</v>
      </c>
      <c r="AS629" s="30" t="n">
        <f aca="false">AQ629*AR629</f>
        <v>238.5796</v>
      </c>
    </row>
    <row r="630" customFormat="false" ht="15" hidden="false" customHeight="false" outlineLevel="0" collapsed="false">
      <c r="AK630" s="1" t="s">
        <v>654</v>
      </c>
      <c r="AO630" s="57" t="s">
        <v>202</v>
      </c>
      <c r="AQ630" s="59" t="n">
        <v>0.186</v>
      </c>
      <c r="AR630" s="1" t="n">
        <v>6.14</v>
      </c>
      <c r="AS630" s="30" t="n">
        <f aca="false">AQ630*AR630</f>
        <v>1.14204</v>
      </c>
    </row>
    <row r="631" customFormat="false" ht="15" hidden="false" customHeight="false" outlineLevel="0" collapsed="false">
      <c r="AK631" s="1" t="s">
        <v>663</v>
      </c>
      <c r="AO631" s="57" t="s">
        <v>437</v>
      </c>
      <c r="AQ631" s="59" t="n">
        <v>0.2</v>
      </c>
      <c r="AR631" s="1" t="n">
        <v>13.93</v>
      </c>
      <c r="AS631" s="30" t="n">
        <f aca="false">AQ631*AR631</f>
        <v>2.786</v>
      </c>
    </row>
    <row r="632" customFormat="false" ht="15" hidden="false" customHeight="false" outlineLevel="0" collapsed="false">
      <c r="AO632" s="57"/>
      <c r="AQ632" s="59"/>
      <c r="AR632" s="30"/>
      <c r="AS632" s="89" t="n">
        <f aca="false">SUM(AS627:AS631)</f>
        <v>296.14004</v>
      </c>
    </row>
    <row r="633" customFormat="false" ht="15" hidden="false" customHeight="false" outlineLevel="0" collapsed="false">
      <c r="AK633" s="90" t="s">
        <v>308</v>
      </c>
    </row>
    <row r="634" customFormat="false" ht="15" hidden="false" customHeight="false" outlineLevel="0" collapsed="false">
      <c r="AK634" s="1" t="s">
        <v>309</v>
      </c>
      <c r="AO634" s="57" t="s">
        <v>310</v>
      </c>
      <c r="AQ634" s="59" t="n">
        <v>3</v>
      </c>
      <c r="AR634" s="30" t="n">
        <f aca="false">AS625</f>
        <v>100.944</v>
      </c>
      <c r="AS634" s="30" t="n">
        <f aca="false">AQ634%*AR634</f>
        <v>3.02832</v>
      </c>
    </row>
    <row r="635" customFormat="false" ht="15" hidden="false" customHeight="false" outlineLevel="0" collapsed="false">
      <c r="AK635" s="1" t="s">
        <v>665</v>
      </c>
      <c r="AO635" s="57" t="s">
        <v>337</v>
      </c>
      <c r="AP635" s="58" t="n">
        <v>1</v>
      </c>
      <c r="AQ635" s="59" t="n">
        <f aca="false">AP635*8/$AM$619</f>
        <v>0.4</v>
      </c>
      <c r="AR635" s="30" t="n">
        <v>25.63</v>
      </c>
      <c r="AS635" s="30" t="n">
        <f aca="false">AQ635*AR635</f>
        <v>10.252</v>
      </c>
    </row>
    <row r="636" customFormat="false" ht="15" hidden="false" customHeight="false" outlineLevel="0" collapsed="false">
      <c r="AK636" s="1" t="s">
        <v>687</v>
      </c>
      <c r="AO636" s="57" t="s">
        <v>337</v>
      </c>
      <c r="AP636" s="58" t="n">
        <v>1</v>
      </c>
      <c r="AQ636" s="59" t="n">
        <f aca="false">AP636*8/$AM$619</f>
        <v>0.4</v>
      </c>
      <c r="AR636" s="30" t="n">
        <v>20</v>
      </c>
      <c r="AS636" s="30" t="n">
        <f aca="false">AQ636*AR636</f>
        <v>8</v>
      </c>
    </row>
    <row r="637" customFormat="false" ht="15" hidden="false" customHeight="false" outlineLevel="0" collapsed="false">
      <c r="AK637" s="1" t="s">
        <v>673</v>
      </c>
      <c r="AO637" s="57" t="s">
        <v>337</v>
      </c>
      <c r="AP637" s="58" t="n">
        <v>0.5</v>
      </c>
      <c r="AQ637" s="59" t="n">
        <f aca="false">AP637*8/$AM$619</f>
        <v>0.2</v>
      </c>
      <c r="AR637" s="1" t="n">
        <v>7.07</v>
      </c>
      <c r="AS637" s="30" t="n">
        <f aca="false">AQ637*AR637</f>
        <v>1.414</v>
      </c>
    </row>
    <row r="638" customFormat="false" ht="15" hidden="false" customHeight="false" outlineLevel="0" collapsed="false">
      <c r="AJ638" s="62"/>
      <c r="AK638" s="62"/>
      <c r="AL638" s="62"/>
      <c r="AM638" s="62"/>
      <c r="AN638" s="62"/>
      <c r="AO638" s="62"/>
      <c r="AP638" s="62"/>
      <c r="AQ638" s="62"/>
      <c r="AR638" s="62"/>
      <c r="AS638" s="91" t="n">
        <f aca="false">SUM(AS634:AS637)</f>
        <v>22.69432</v>
      </c>
    </row>
    <row r="639" customFormat="false" ht="15" hidden="false" customHeight="false" outlineLevel="0" collapsed="false">
      <c r="AO639" s="57"/>
      <c r="AQ639" s="59"/>
      <c r="AS639" s="30"/>
    </row>
    <row r="640" customFormat="false" ht="15" hidden="false" customHeight="false" outlineLevel="0" collapsed="false">
      <c r="AJ640" s="85" t="s">
        <v>276</v>
      </c>
      <c r="AK640" s="85"/>
      <c r="AL640" s="85" t="s">
        <v>688</v>
      </c>
      <c r="AM640" s="85"/>
    </row>
    <row r="641" customFormat="false" ht="15" hidden="false" customHeight="false" outlineLevel="0" collapsed="false">
      <c r="AJ641" s="85" t="s">
        <v>277</v>
      </c>
      <c r="AK641" s="85" t="s">
        <v>674</v>
      </c>
      <c r="AL641" s="87" t="s">
        <v>279</v>
      </c>
      <c r="AM641" s="88" t="n">
        <v>250</v>
      </c>
      <c r="AN641" s="87" t="s">
        <v>280</v>
      </c>
      <c r="AO641" s="88" t="n">
        <f aca="false">AM641</f>
        <v>250</v>
      </c>
      <c r="AP641" s="85" t="s">
        <v>281</v>
      </c>
      <c r="AR641" s="87" t="s">
        <v>295</v>
      </c>
      <c r="AS641" s="89" t="n">
        <f aca="false">AS646+AS650+AS654</f>
        <v>8.7959184</v>
      </c>
    </row>
    <row r="642" customFormat="false" ht="15" hidden="false" customHeight="false" outlineLevel="0" collapsed="false">
      <c r="AJ642" s="85" t="s">
        <v>282</v>
      </c>
      <c r="AK642" s="85" t="s">
        <v>283</v>
      </c>
      <c r="AO642" s="87" t="s">
        <v>121</v>
      </c>
      <c r="AP642" s="87" t="s">
        <v>284</v>
      </c>
      <c r="AQ642" s="87" t="s">
        <v>285</v>
      </c>
      <c r="AR642" s="87" t="s">
        <v>286</v>
      </c>
      <c r="AS642" s="87" t="s">
        <v>287</v>
      </c>
    </row>
    <row r="643" customFormat="false" ht="15" hidden="false" customHeight="false" outlineLevel="0" collapsed="false">
      <c r="AK643" s="90" t="s">
        <v>288</v>
      </c>
    </row>
    <row r="644" customFormat="false" ht="15" hidden="false" customHeight="false" outlineLevel="0" collapsed="false">
      <c r="AK644" s="1" t="s">
        <v>289</v>
      </c>
      <c r="AO644" s="57" t="s">
        <v>290</v>
      </c>
      <c r="AP644" s="58" t="n">
        <v>1</v>
      </c>
      <c r="AQ644" s="59" t="n">
        <f aca="false">AP644*8/$AM$641</f>
        <v>0.032</v>
      </c>
      <c r="AR644" s="30" t="n">
        <v>28.94</v>
      </c>
      <c r="AS644" s="30" t="n">
        <f aca="false">AQ644*AR644</f>
        <v>0.92608</v>
      </c>
    </row>
    <row r="645" customFormat="false" ht="15" hidden="false" customHeight="false" outlineLevel="0" collapsed="false">
      <c r="AK645" s="1" t="s">
        <v>675</v>
      </c>
      <c r="AO645" s="57" t="s">
        <v>290</v>
      </c>
      <c r="AP645" s="58" t="n">
        <v>1</v>
      </c>
      <c r="AQ645" s="59" t="n">
        <f aca="false">AP645*8/$AM$641</f>
        <v>0.032</v>
      </c>
      <c r="AR645" s="30" t="n">
        <v>23.6</v>
      </c>
      <c r="AS645" s="30" t="n">
        <f aca="false">AQ645*AR645</f>
        <v>0.7552</v>
      </c>
    </row>
    <row r="646" customFormat="false" ht="15" hidden="false" customHeight="false" outlineLevel="0" collapsed="false">
      <c r="AO646" s="57"/>
      <c r="AP646" s="58"/>
      <c r="AS646" s="89" t="n">
        <f aca="false">SUM(AS644:AS645)</f>
        <v>1.68128</v>
      </c>
    </row>
    <row r="647" customFormat="false" ht="15" hidden="false" customHeight="false" outlineLevel="0" collapsed="false">
      <c r="AK647" s="90" t="s">
        <v>293</v>
      </c>
      <c r="AO647" s="57"/>
      <c r="AP647" s="58"/>
      <c r="AQ647" s="101"/>
    </row>
    <row r="648" customFormat="false" ht="15" hidden="false" customHeight="false" outlineLevel="0" collapsed="false">
      <c r="AK648" s="1" t="s">
        <v>294</v>
      </c>
      <c r="AO648" s="57" t="s">
        <v>295</v>
      </c>
      <c r="AP648" s="58"/>
      <c r="AQ648" s="101" t="n">
        <v>0.03</v>
      </c>
      <c r="AR648" s="30" t="n">
        <v>2.64</v>
      </c>
      <c r="AS648" s="30" t="n">
        <f aca="false">AQ648*AR648</f>
        <v>0.0792</v>
      </c>
    </row>
    <row r="649" customFormat="false" ht="15" hidden="false" customHeight="false" outlineLevel="0" collapsed="false">
      <c r="AK649" s="1" t="s">
        <v>676</v>
      </c>
      <c r="AO649" s="57" t="s">
        <v>295</v>
      </c>
      <c r="AP649" s="58"/>
      <c r="AQ649" s="101" t="n">
        <v>1.05</v>
      </c>
      <c r="AR649" s="30" t="n">
        <v>6.5</v>
      </c>
      <c r="AS649" s="30" t="n">
        <f aca="false">AQ649*AR649</f>
        <v>6.825</v>
      </c>
    </row>
    <row r="650" customFormat="false" ht="15" hidden="false" customHeight="false" outlineLevel="0" collapsed="false">
      <c r="AO650" s="57"/>
      <c r="AP650" s="58"/>
      <c r="AS650" s="89" t="n">
        <f aca="false">SUM(AS648:AS649)</f>
        <v>6.9042</v>
      </c>
    </row>
    <row r="651" customFormat="false" ht="15" hidden="false" customHeight="false" outlineLevel="0" collapsed="false">
      <c r="AK651" s="90" t="s">
        <v>317</v>
      </c>
      <c r="AO651" s="57"/>
      <c r="AP651" s="58"/>
    </row>
    <row r="652" customFormat="false" ht="15" hidden="false" customHeight="false" outlineLevel="0" collapsed="false">
      <c r="AK652" s="1" t="s">
        <v>309</v>
      </c>
      <c r="AO652" s="57" t="s">
        <v>310</v>
      </c>
      <c r="AQ652" s="59" t="n">
        <v>3</v>
      </c>
      <c r="AR652" s="30" t="n">
        <f aca="false">AS646</f>
        <v>1.68128</v>
      </c>
      <c r="AS652" s="30" t="n">
        <f aca="false">AQ652%*AR652</f>
        <v>0.0504384</v>
      </c>
    </row>
    <row r="653" customFormat="false" ht="15" hidden="false" customHeight="false" outlineLevel="0" collapsed="false">
      <c r="AK653" s="1" t="s">
        <v>677</v>
      </c>
      <c r="AO653" s="57" t="s">
        <v>290</v>
      </c>
      <c r="AP653" s="58" t="n">
        <v>1</v>
      </c>
      <c r="AQ653" s="59" t="n">
        <f aca="false">AP653*8/$AM$641</f>
        <v>0.032</v>
      </c>
      <c r="AR653" s="30" t="n">
        <v>5</v>
      </c>
      <c r="AS653" s="30" t="n">
        <f aca="false">AQ653*AR653</f>
        <v>0.16</v>
      </c>
    </row>
    <row r="654" customFormat="false" ht="15" hidden="false" customHeight="false" outlineLevel="0" collapsed="false">
      <c r="AJ654" s="62"/>
      <c r="AK654" s="62"/>
      <c r="AL654" s="62"/>
      <c r="AM654" s="62"/>
      <c r="AN654" s="62"/>
      <c r="AO654" s="62"/>
      <c r="AP654" s="62"/>
      <c r="AQ654" s="62"/>
      <c r="AR654" s="62"/>
      <c r="AS654" s="91" t="n">
        <f aca="false">SUM(AS652:AS653)</f>
        <v>0.2104384</v>
      </c>
    </row>
    <row r="655" customFormat="false" ht="15" hidden="false" customHeight="false" outlineLevel="0" collapsed="false">
      <c r="AO655" s="57"/>
      <c r="AQ655" s="59"/>
      <c r="AS655" s="30"/>
    </row>
    <row r="656" customFormat="false" ht="15" hidden="false" customHeight="false" outlineLevel="0" collapsed="false">
      <c r="AO656" s="57"/>
      <c r="AQ656" s="59"/>
      <c r="AS656" s="30"/>
    </row>
    <row r="657" customFormat="false" ht="15" hidden="false" customHeight="false" outlineLevel="0" collapsed="false">
      <c r="AO657" s="57"/>
      <c r="AQ657" s="59"/>
      <c r="AS657" s="30"/>
    </row>
    <row r="658" customFormat="false" ht="15" hidden="false" customHeight="false" outlineLevel="0" collapsed="false">
      <c r="X658" s="14" t="s">
        <v>276</v>
      </c>
      <c r="Y658" s="14"/>
      <c r="Z658" s="14" t="s">
        <v>961</v>
      </c>
      <c r="AA658" s="14"/>
      <c r="AO658" s="57"/>
      <c r="AQ658" s="59"/>
      <c r="AS658" s="30"/>
    </row>
    <row r="659" customFormat="false" ht="15" hidden="false" customHeight="false" outlineLevel="0" collapsed="false">
      <c r="X659" s="14" t="s">
        <v>277</v>
      </c>
      <c r="Y659" s="14" t="s">
        <v>313</v>
      </c>
      <c r="Z659" s="38" t="s">
        <v>279</v>
      </c>
      <c r="AA659" s="54" t="n">
        <v>1</v>
      </c>
      <c r="AB659" s="38" t="s">
        <v>280</v>
      </c>
      <c r="AC659" s="54" t="n">
        <f aca="false">AA659</f>
        <v>1</v>
      </c>
      <c r="AD659" s="14" t="s">
        <v>281</v>
      </c>
      <c r="AF659" s="38" t="s">
        <v>143</v>
      </c>
      <c r="AG659" s="55" t="n">
        <f aca="false">AG663</f>
        <v>110.42</v>
      </c>
      <c r="AO659" s="57"/>
      <c r="AQ659" s="59"/>
      <c r="AS659" s="30"/>
    </row>
    <row r="660" customFormat="false" ht="15" hidden="false" customHeight="false" outlineLevel="0" collapsed="false">
      <c r="X660" s="14" t="s">
        <v>282</v>
      </c>
      <c r="Y660" s="14" t="s">
        <v>283</v>
      </c>
      <c r="AC660" s="38" t="s">
        <v>121</v>
      </c>
      <c r="AD660" s="38" t="s">
        <v>284</v>
      </c>
      <c r="AE660" s="38" t="s">
        <v>285</v>
      </c>
      <c r="AF660" s="38" t="s">
        <v>286</v>
      </c>
      <c r="AG660" s="38" t="s">
        <v>287</v>
      </c>
      <c r="AO660" s="57"/>
      <c r="AQ660" s="59"/>
      <c r="AS660" s="30"/>
    </row>
    <row r="661" customFormat="false" ht="15" hidden="false" customHeight="false" outlineLevel="0" collapsed="false">
      <c r="Y661" s="56" t="s">
        <v>293</v>
      </c>
      <c r="AO661" s="57"/>
      <c r="AQ661" s="59"/>
      <c r="AS661" s="30"/>
    </row>
    <row r="662" customFormat="false" ht="15" hidden="false" customHeight="false" outlineLevel="0" collapsed="false">
      <c r="Y662" s="1" t="s">
        <v>961</v>
      </c>
      <c r="AC662" s="57" t="s">
        <v>143</v>
      </c>
      <c r="AE662" s="1" t="n">
        <v>1</v>
      </c>
      <c r="AF662" s="30" t="n">
        <v>110.42</v>
      </c>
      <c r="AG662" s="30" t="n">
        <f aca="false">AE662*AF662</f>
        <v>110.42</v>
      </c>
      <c r="AO662" s="57"/>
      <c r="AQ662" s="59"/>
      <c r="AS662" s="30"/>
    </row>
    <row r="663" customFormat="false" ht="15" hidden="false" customHeight="false" outlineLevel="0" collapsed="false">
      <c r="X663" s="62"/>
      <c r="Y663" s="62"/>
      <c r="Z663" s="62"/>
      <c r="AA663" s="62"/>
      <c r="AB663" s="62"/>
      <c r="AC663" s="62"/>
      <c r="AD663" s="62"/>
      <c r="AE663" s="62"/>
      <c r="AF663" s="83"/>
      <c r="AG663" s="63" t="n">
        <f aca="false">SUM(AG662)</f>
        <v>110.42</v>
      </c>
      <c r="AO663" s="57"/>
      <c r="AQ663" s="59"/>
      <c r="AS663" s="30"/>
    </row>
    <row r="664" customFormat="false" ht="15" hidden="false" customHeight="false" outlineLevel="0" collapsed="false">
      <c r="AO664" s="57"/>
      <c r="AQ664" s="59"/>
      <c r="AS664" s="30"/>
    </row>
    <row r="665" customFormat="false" ht="15" hidden="false" customHeight="false" outlineLevel="0" collapsed="false">
      <c r="X665" s="14" t="s">
        <v>1327</v>
      </c>
      <c r="Y665" s="14"/>
      <c r="Z665" s="14" t="s">
        <v>646</v>
      </c>
      <c r="AA665" s="14"/>
      <c r="AB665" s="14"/>
      <c r="AC665" s="14"/>
      <c r="AD665" s="14"/>
      <c r="AE665" s="14"/>
      <c r="AF665" s="14"/>
      <c r="AO665" s="57"/>
      <c r="AQ665" s="59"/>
      <c r="AS665" s="30"/>
    </row>
    <row r="666" customFormat="false" ht="15" hidden="false" customHeight="false" outlineLevel="0" collapsed="false">
      <c r="X666" s="14" t="s">
        <v>277</v>
      </c>
      <c r="Y666" s="14" t="s">
        <v>313</v>
      </c>
      <c r="Z666" s="38" t="s">
        <v>279</v>
      </c>
      <c r="AA666" s="54" t="n">
        <v>100</v>
      </c>
      <c r="AB666" s="38" t="s">
        <v>280</v>
      </c>
      <c r="AC666" s="54" t="n">
        <f aca="false">AA666</f>
        <v>100</v>
      </c>
      <c r="AD666" s="14" t="s">
        <v>281</v>
      </c>
      <c r="AF666" s="38" t="s">
        <v>143</v>
      </c>
      <c r="AG666" s="55" t="n">
        <f aca="false">AG671+AG675+AG678</f>
        <v>18.8570064</v>
      </c>
      <c r="AO666" s="57"/>
      <c r="AQ666" s="59"/>
      <c r="AS666" s="30"/>
    </row>
    <row r="667" customFormat="false" ht="15" hidden="false" customHeight="false" outlineLevel="0" collapsed="false">
      <c r="X667" s="14" t="s">
        <v>282</v>
      </c>
      <c r="Y667" s="14" t="s">
        <v>283</v>
      </c>
      <c r="AC667" s="38" t="s">
        <v>121</v>
      </c>
      <c r="AD667" s="38" t="s">
        <v>284</v>
      </c>
      <c r="AE667" s="38" t="s">
        <v>285</v>
      </c>
      <c r="AF667" s="38" t="s">
        <v>286</v>
      </c>
      <c r="AG667" s="38" t="s">
        <v>287</v>
      </c>
      <c r="AO667" s="57"/>
      <c r="AQ667" s="59"/>
      <c r="AS667" s="30"/>
    </row>
    <row r="668" customFormat="false" ht="15" hidden="false" customHeight="false" outlineLevel="0" collapsed="false">
      <c r="Y668" s="56" t="s">
        <v>288</v>
      </c>
      <c r="AO668" s="57"/>
      <c r="AQ668" s="59"/>
      <c r="AS668" s="30"/>
    </row>
    <row r="669" customFormat="false" ht="15" hidden="false" customHeight="false" outlineLevel="0" collapsed="false">
      <c r="Y669" s="1" t="s">
        <v>649</v>
      </c>
      <c r="AC669" s="57" t="s">
        <v>290</v>
      </c>
      <c r="AD669" s="58" t="n">
        <v>0.2</v>
      </c>
      <c r="AE669" s="59" t="n">
        <f aca="false">AD669*8/$AA$666</f>
        <v>0.016</v>
      </c>
      <c r="AF669" s="30" t="n">
        <v>34.73</v>
      </c>
      <c r="AG669" s="30" t="n">
        <f aca="false">AE669*AF669</f>
        <v>0.55568</v>
      </c>
      <c r="AO669" s="57"/>
      <c r="AQ669" s="59"/>
      <c r="AS669" s="30"/>
    </row>
    <row r="670" customFormat="false" ht="15" hidden="false" customHeight="false" outlineLevel="0" collapsed="false">
      <c r="Y670" s="1" t="s">
        <v>289</v>
      </c>
      <c r="AC670" s="57" t="s">
        <v>290</v>
      </c>
      <c r="AD670" s="58" t="n">
        <v>1</v>
      </c>
      <c r="AE670" s="59" t="n">
        <f aca="false">AD670*8/$AA$666</f>
        <v>0.08</v>
      </c>
      <c r="AF670" s="30" t="n">
        <v>28.94</v>
      </c>
      <c r="AG670" s="30" t="n">
        <f aca="false">AE670*AF670</f>
        <v>2.3152</v>
      </c>
      <c r="AO670" s="57"/>
      <c r="AQ670" s="59"/>
      <c r="AS670" s="30"/>
    </row>
    <row r="671" customFormat="false" ht="15" hidden="false" customHeight="false" outlineLevel="0" collapsed="false">
      <c r="AC671" s="57"/>
      <c r="AD671" s="58"/>
      <c r="AE671" s="59"/>
      <c r="AF671" s="30"/>
      <c r="AG671" s="55" t="n">
        <f aca="false">SUM(AG669:AG670)</f>
        <v>2.87088</v>
      </c>
      <c r="AO671" s="57"/>
      <c r="AQ671" s="59"/>
      <c r="AS671" s="30"/>
    </row>
    <row r="672" customFormat="false" ht="15" hidden="false" customHeight="false" outlineLevel="0" collapsed="false">
      <c r="Y672" s="56" t="s">
        <v>293</v>
      </c>
      <c r="AC672" s="57"/>
      <c r="AO672" s="57"/>
      <c r="AQ672" s="59"/>
      <c r="AS672" s="30"/>
    </row>
    <row r="673" customFormat="false" ht="15" hidden="false" customHeight="false" outlineLevel="0" collapsed="false">
      <c r="Y673" s="1" t="s">
        <v>726</v>
      </c>
      <c r="AC673" s="57" t="s">
        <v>132</v>
      </c>
      <c r="AE673" s="59" t="n">
        <v>0.05</v>
      </c>
      <c r="AF673" s="30" t="n">
        <v>18</v>
      </c>
      <c r="AG673" s="30" t="n">
        <f aca="false">AE673*AF673</f>
        <v>0.9</v>
      </c>
      <c r="AO673" s="57"/>
      <c r="AQ673" s="59"/>
      <c r="AS673" s="30"/>
    </row>
    <row r="674" customFormat="false" ht="15" hidden="false" customHeight="false" outlineLevel="0" collapsed="false">
      <c r="Y674" s="1" t="s">
        <v>727</v>
      </c>
      <c r="AC674" s="57" t="s">
        <v>437</v>
      </c>
      <c r="AE674" s="59" t="n">
        <v>0.1</v>
      </c>
      <c r="AF674" s="30" t="n">
        <v>150</v>
      </c>
      <c r="AG674" s="30" t="n">
        <f aca="false">AE674*AF674</f>
        <v>15</v>
      </c>
      <c r="AO674" s="57"/>
      <c r="AQ674" s="59"/>
      <c r="AS674" s="30"/>
    </row>
    <row r="675" customFormat="false" ht="15" hidden="false" customHeight="false" outlineLevel="0" collapsed="false">
      <c r="AG675" s="55" t="n">
        <f aca="false">SUM(AG673:AG674)</f>
        <v>15.9</v>
      </c>
      <c r="AO675" s="57"/>
      <c r="AQ675" s="59"/>
      <c r="AS675" s="30"/>
    </row>
    <row r="676" customFormat="false" ht="15" hidden="false" customHeight="false" outlineLevel="0" collapsed="false">
      <c r="Y676" s="56" t="s">
        <v>317</v>
      </c>
      <c r="AO676" s="57"/>
      <c r="AQ676" s="59"/>
      <c r="AS676" s="30"/>
    </row>
    <row r="677" customFormat="false" ht="15" hidden="false" customHeight="false" outlineLevel="0" collapsed="false">
      <c r="Y677" s="1" t="s">
        <v>309</v>
      </c>
      <c r="AC677" s="57" t="s">
        <v>310</v>
      </c>
      <c r="AE677" s="59" t="n">
        <v>3</v>
      </c>
      <c r="AF677" s="30" t="n">
        <f aca="false">AG671</f>
        <v>2.87088</v>
      </c>
      <c r="AG677" s="30" t="n">
        <f aca="false">AE677%*AF677</f>
        <v>0.0861264</v>
      </c>
      <c r="AO677" s="57"/>
      <c r="AQ677" s="59"/>
      <c r="AS677" s="30"/>
    </row>
    <row r="678" customFormat="false" ht="15" hidden="false" customHeight="false" outlineLevel="0" collapsed="false">
      <c r="X678" s="62"/>
      <c r="Y678" s="62"/>
      <c r="Z678" s="62"/>
      <c r="AA678" s="62"/>
      <c r="AB678" s="62"/>
      <c r="AC678" s="62"/>
      <c r="AD678" s="62"/>
      <c r="AE678" s="62"/>
      <c r="AF678" s="62"/>
      <c r="AG678" s="91" t="n">
        <f aca="false">SUM(AG677)</f>
        <v>0.0861264</v>
      </c>
      <c r="AO678" s="57"/>
      <c r="AQ678" s="59"/>
      <c r="AS678" s="30"/>
    </row>
    <row r="679" customFormat="false" ht="15" hidden="false" customHeight="false" outlineLevel="0" collapsed="false">
      <c r="AO679" s="57"/>
      <c r="AQ679" s="59"/>
      <c r="AS679" s="30"/>
    </row>
    <row r="680" customFormat="false" ht="15" hidden="false" customHeight="false" outlineLevel="0" collapsed="false">
      <c r="X680" s="14" t="s">
        <v>1327</v>
      </c>
      <c r="Y680" s="14"/>
      <c r="Z680" s="14" t="s">
        <v>847</v>
      </c>
      <c r="AA680" s="14"/>
      <c r="AB680" s="14"/>
      <c r="AC680" s="14"/>
      <c r="AD680" s="14"/>
      <c r="AE680" s="14"/>
      <c r="AF680" s="14"/>
      <c r="AO680" s="57"/>
      <c r="AQ680" s="59"/>
      <c r="AS680" s="30"/>
    </row>
    <row r="681" customFormat="false" ht="15" hidden="false" customHeight="false" outlineLevel="0" collapsed="false">
      <c r="X681" s="14" t="s">
        <v>277</v>
      </c>
      <c r="Y681" s="14" t="s">
        <v>278</v>
      </c>
      <c r="Z681" s="38" t="s">
        <v>279</v>
      </c>
      <c r="AA681" s="54" t="n">
        <v>6.5</v>
      </c>
      <c r="AB681" s="38" t="s">
        <v>280</v>
      </c>
      <c r="AC681" s="54" t="n">
        <f aca="false">AA681</f>
        <v>6.5</v>
      </c>
      <c r="AD681" s="14" t="s">
        <v>281</v>
      </c>
      <c r="AF681" s="38" t="s">
        <v>132</v>
      </c>
      <c r="AG681" s="55" t="n">
        <f aca="false">AG687+AG695+AG698</f>
        <v>67.7683724615385</v>
      </c>
    </row>
    <row r="682" customFormat="false" ht="15" hidden="false" customHeight="false" outlineLevel="0" collapsed="false">
      <c r="X682" s="14" t="s">
        <v>282</v>
      </c>
      <c r="Y682" s="14" t="s">
        <v>283</v>
      </c>
      <c r="AC682" s="38" t="s">
        <v>121</v>
      </c>
      <c r="AD682" s="38" t="s">
        <v>284</v>
      </c>
      <c r="AE682" s="38" t="s">
        <v>285</v>
      </c>
      <c r="AF682" s="38" t="s">
        <v>286</v>
      </c>
      <c r="AG682" s="38" t="s">
        <v>287</v>
      </c>
    </row>
    <row r="683" customFormat="false" ht="15" hidden="false" customHeight="false" outlineLevel="0" collapsed="false">
      <c r="Y683" s="56" t="s">
        <v>288</v>
      </c>
    </row>
    <row r="684" customFormat="false" ht="15" hidden="false" customHeight="false" outlineLevel="0" collapsed="false">
      <c r="Y684" s="1" t="s">
        <v>649</v>
      </c>
      <c r="AC684" s="57" t="s">
        <v>290</v>
      </c>
      <c r="AD684" s="58" t="n">
        <v>0.1</v>
      </c>
      <c r="AE684" s="59" t="n">
        <f aca="false">AD684*8/$AA$681</f>
        <v>0.123076923076923</v>
      </c>
      <c r="AF684" s="30" t="n">
        <v>34.73</v>
      </c>
      <c r="AG684" s="30" t="n">
        <f aca="false">AE684*AF684</f>
        <v>4.27446153846154</v>
      </c>
    </row>
    <row r="685" customFormat="false" ht="15" hidden="false" customHeight="false" outlineLevel="0" collapsed="false">
      <c r="Y685" s="1" t="s">
        <v>289</v>
      </c>
      <c r="AC685" s="57" t="s">
        <v>290</v>
      </c>
      <c r="AD685" s="58" t="n">
        <v>1</v>
      </c>
      <c r="AE685" s="59" t="n">
        <f aca="false">AD685*8/$AA$681</f>
        <v>1.23076923076923</v>
      </c>
      <c r="AF685" s="30" t="n">
        <v>28.94</v>
      </c>
      <c r="AG685" s="30" t="n">
        <f aca="false">AE685*AF685</f>
        <v>35.6184615384615</v>
      </c>
    </row>
    <row r="686" customFormat="false" ht="15" hidden="false" customHeight="false" outlineLevel="0" collapsed="false">
      <c r="Y686" s="1" t="s">
        <v>292</v>
      </c>
      <c r="AC686" s="57" t="s">
        <v>290</v>
      </c>
      <c r="AD686" s="58" t="n">
        <v>0.4</v>
      </c>
      <c r="AE686" s="59" t="n">
        <f aca="false">AD686*8/$AA$681</f>
        <v>0.492307692307692</v>
      </c>
      <c r="AF686" s="30" t="n">
        <v>20.51</v>
      </c>
      <c r="AG686" s="30" t="n">
        <f aca="false">AE686*AF686</f>
        <v>10.0972307692308</v>
      </c>
    </row>
    <row r="687" customFormat="false" ht="15" hidden="false" customHeight="false" outlineLevel="0" collapsed="false">
      <c r="AE687" s="59"/>
      <c r="AG687" s="55" t="n">
        <f aca="false">SUM(AG684:AG686)</f>
        <v>49.9901538461539</v>
      </c>
    </row>
    <row r="688" customFormat="false" ht="15" hidden="false" customHeight="false" outlineLevel="0" collapsed="false">
      <c r="Y688" s="56" t="s">
        <v>293</v>
      </c>
      <c r="AC688" s="57"/>
    </row>
    <row r="689" customFormat="false" ht="15" hidden="false" customHeight="false" outlineLevel="0" collapsed="false">
      <c r="Y689" s="1" t="s">
        <v>662</v>
      </c>
      <c r="AC689" s="57" t="s">
        <v>202</v>
      </c>
      <c r="AE689" s="59" t="n">
        <v>0.004</v>
      </c>
      <c r="AF689" s="30" t="n">
        <v>6.14</v>
      </c>
      <c r="AG689" s="30" t="n">
        <f aca="false">AE689*AF689</f>
        <v>0.02456</v>
      </c>
    </row>
    <row r="690" customFormat="false" ht="15" hidden="false" customHeight="false" outlineLevel="0" collapsed="false">
      <c r="Y690" s="1" t="s">
        <v>300</v>
      </c>
      <c r="AC690" s="57" t="s">
        <v>295</v>
      </c>
      <c r="AE690" s="59" t="n">
        <v>0.044</v>
      </c>
      <c r="AF690" s="30" t="n">
        <v>5.51</v>
      </c>
      <c r="AG690" s="30" t="n">
        <f aca="false">AE690*AF690</f>
        <v>0.24244</v>
      </c>
    </row>
    <row r="691" customFormat="false" ht="15" hidden="false" customHeight="false" outlineLevel="0" collapsed="false">
      <c r="Y691" s="1" t="s">
        <v>962</v>
      </c>
      <c r="AC691" s="57" t="s">
        <v>304</v>
      </c>
      <c r="AE691" s="59" t="n">
        <v>0.0388</v>
      </c>
      <c r="AF691" s="30" t="n">
        <v>17.48</v>
      </c>
      <c r="AG691" s="30" t="n">
        <f aca="false">AE691*AF691</f>
        <v>0.678224</v>
      </c>
    </row>
    <row r="692" customFormat="false" ht="15" hidden="false" customHeight="false" outlineLevel="0" collapsed="false">
      <c r="Y692" s="1" t="s">
        <v>718</v>
      </c>
      <c r="AC692" s="57" t="s">
        <v>429</v>
      </c>
      <c r="AE692" s="59" t="n">
        <v>0.117</v>
      </c>
      <c r="AF692" s="30" t="n">
        <v>24.52</v>
      </c>
      <c r="AG692" s="30" t="n">
        <f aca="false">AE692*AF692</f>
        <v>2.86884</v>
      </c>
    </row>
    <row r="693" customFormat="false" ht="15" hidden="false" customHeight="false" outlineLevel="0" collapsed="false">
      <c r="Y693" s="1" t="s">
        <v>892</v>
      </c>
      <c r="AC693" s="57" t="s">
        <v>202</v>
      </c>
      <c r="AE693" s="59" t="n">
        <v>0.017</v>
      </c>
      <c r="AF693" s="30" t="n">
        <v>50.85</v>
      </c>
      <c r="AG693" s="30" t="n">
        <f aca="false">AE693*AF693</f>
        <v>0.86445</v>
      </c>
    </row>
    <row r="694" customFormat="false" ht="15" hidden="false" customHeight="false" outlineLevel="0" collapsed="false">
      <c r="Y694" s="1" t="s">
        <v>307</v>
      </c>
      <c r="AC694" s="57" t="s">
        <v>304</v>
      </c>
      <c r="AE694" s="59" t="n">
        <v>2</v>
      </c>
      <c r="AF694" s="30" t="n">
        <v>5.8</v>
      </c>
      <c r="AG694" s="30" t="n">
        <f aca="false">AE694*AF694</f>
        <v>11.6</v>
      </c>
    </row>
    <row r="695" customFormat="false" ht="15" hidden="false" customHeight="false" outlineLevel="0" collapsed="false">
      <c r="AG695" s="55" t="n">
        <f aca="false">SUM(AG689:AG694)</f>
        <v>16.278514</v>
      </c>
    </row>
    <row r="696" customFormat="false" ht="15" hidden="false" customHeight="false" outlineLevel="0" collapsed="false">
      <c r="Y696" s="56" t="s">
        <v>317</v>
      </c>
    </row>
    <row r="697" customFormat="false" ht="15" hidden="false" customHeight="false" outlineLevel="0" collapsed="false">
      <c r="Y697" s="1" t="s">
        <v>309</v>
      </c>
      <c r="AC697" s="57" t="s">
        <v>310</v>
      </c>
      <c r="AE697" s="59" t="n">
        <v>3</v>
      </c>
      <c r="AF697" s="30" t="n">
        <f aca="false">AG687</f>
        <v>49.9901538461539</v>
      </c>
      <c r="AG697" s="30" t="n">
        <f aca="false">AE697%*AF697</f>
        <v>1.49970461538462</v>
      </c>
    </row>
    <row r="698" customFormat="false" ht="15" hidden="false" customHeight="false" outlineLevel="0" collapsed="false">
      <c r="X698" s="62"/>
      <c r="Y698" s="62"/>
      <c r="Z698" s="62"/>
      <c r="AA698" s="62"/>
      <c r="AB698" s="62"/>
      <c r="AC698" s="62"/>
      <c r="AD698" s="62"/>
      <c r="AE698" s="62"/>
      <c r="AF698" s="62"/>
      <c r="AG698" s="63" t="n">
        <f aca="false">SUM(AG697)</f>
        <v>1.49970461538462</v>
      </c>
    </row>
    <row r="700" customFormat="false" ht="15" hidden="false" customHeight="false" outlineLevel="0" collapsed="false">
      <c r="X700" s="14" t="s">
        <v>1362</v>
      </c>
      <c r="Y700" s="14"/>
      <c r="Z700" s="14" t="s">
        <v>963</v>
      </c>
      <c r="AA700" s="14"/>
      <c r="AB700" s="14"/>
      <c r="AC700" s="14"/>
      <c r="AD700" s="14"/>
      <c r="AE700" s="14"/>
      <c r="AF700" s="14"/>
    </row>
    <row r="701" customFormat="false" ht="15" hidden="false" customHeight="false" outlineLevel="0" collapsed="false">
      <c r="X701" s="14" t="s">
        <v>277</v>
      </c>
      <c r="Y701" s="14" t="s">
        <v>278</v>
      </c>
      <c r="Z701" s="38" t="s">
        <v>279</v>
      </c>
      <c r="AA701" s="54" t="n">
        <v>1</v>
      </c>
      <c r="AB701" s="38" t="s">
        <v>280</v>
      </c>
      <c r="AC701" s="54" t="n">
        <f aca="false">AA701</f>
        <v>1</v>
      </c>
      <c r="AD701" s="14" t="s">
        <v>281</v>
      </c>
      <c r="AF701" s="38" t="s">
        <v>132</v>
      </c>
      <c r="AG701" s="55" t="n">
        <f aca="false">AG705</f>
        <v>39.51</v>
      </c>
    </row>
    <row r="702" customFormat="false" ht="15" hidden="false" customHeight="false" outlineLevel="0" collapsed="false">
      <c r="X702" s="14" t="s">
        <v>282</v>
      </c>
      <c r="Y702" s="14" t="s">
        <v>283</v>
      </c>
      <c r="AC702" s="38" t="s">
        <v>121</v>
      </c>
      <c r="AD702" s="38" t="s">
        <v>284</v>
      </c>
      <c r="AE702" s="38" t="s">
        <v>285</v>
      </c>
      <c r="AF702" s="38" t="s">
        <v>286</v>
      </c>
      <c r="AG702" s="38" t="s">
        <v>287</v>
      </c>
    </row>
    <row r="703" customFormat="false" ht="15" hidden="false" customHeight="false" outlineLevel="0" collapsed="false">
      <c r="Y703" s="56" t="s">
        <v>293</v>
      </c>
    </row>
    <row r="704" customFormat="false" ht="15" hidden="false" customHeight="false" outlineLevel="0" collapsed="false">
      <c r="Y704" s="1" t="s">
        <v>963</v>
      </c>
      <c r="AC704" s="57" t="s">
        <v>132</v>
      </c>
      <c r="AD704" s="58"/>
      <c r="AE704" s="59" t="n">
        <v>1</v>
      </c>
      <c r="AF704" s="1" t="n">
        <v>39.51</v>
      </c>
      <c r="AG704" s="30" t="n">
        <f aca="false">AE704*AF704</f>
        <v>39.51</v>
      </c>
    </row>
    <row r="705" customFormat="false" ht="15" hidden="false" customHeight="false" outlineLevel="0" collapsed="false">
      <c r="X705" s="62"/>
      <c r="Y705" s="62"/>
      <c r="Z705" s="62"/>
      <c r="AA705" s="62"/>
      <c r="AB705" s="62"/>
      <c r="AC705" s="62"/>
      <c r="AD705" s="62"/>
      <c r="AE705" s="62"/>
      <c r="AF705" s="62"/>
      <c r="AG705" s="63" t="n">
        <f aca="false">SUM(AG704)</f>
        <v>39.51</v>
      </c>
    </row>
    <row r="707" customFormat="false" ht="15" hidden="false" customHeight="false" outlineLevel="0" collapsed="false">
      <c r="X707" s="14" t="s">
        <v>1362</v>
      </c>
      <c r="Y707" s="14"/>
      <c r="Z707" s="14" t="s">
        <v>964</v>
      </c>
      <c r="AA707" s="14"/>
      <c r="AB707" s="14"/>
      <c r="AC707" s="14"/>
      <c r="AD707" s="14"/>
      <c r="AE707" s="14"/>
      <c r="AF707" s="14"/>
    </row>
    <row r="708" customFormat="false" ht="15" hidden="false" customHeight="false" outlineLevel="0" collapsed="false">
      <c r="X708" s="14" t="s">
        <v>277</v>
      </c>
      <c r="Y708" s="14" t="s">
        <v>278</v>
      </c>
      <c r="Z708" s="38" t="s">
        <v>279</v>
      </c>
      <c r="AA708" s="54" t="n">
        <v>1</v>
      </c>
      <c r="AB708" s="38" t="s">
        <v>280</v>
      </c>
      <c r="AC708" s="54" t="n">
        <f aca="false">AA708</f>
        <v>1</v>
      </c>
      <c r="AD708" s="14" t="s">
        <v>281</v>
      </c>
      <c r="AF708" s="38" t="s">
        <v>132</v>
      </c>
      <c r="AG708" s="55" t="n">
        <f aca="false">AG712</f>
        <v>17.38</v>
      </c>
    </row>
    <row r="709" customFormat="false" ht="15" hidden="false" customHeight="false" outlineLevel="0" collapsed="false">
      <c r="X709" s="14" t="s">
        <v>282</v>
      </c>
      <c r="Y709" s="14" t="s">
        <v>283</v>
      </c>
      <c r="AC709" s="38" t="s">
        <v>121</v>
      </c>
      <c r="AD709" s="38" t="s">
        <v>284</v>
      </c>
      <c r="AE709" s="38" t="s">
        <v>285</v>
      </c>
      <c r="AF709" s="38" t="s">
        <v>286</v>
      </c>
      <c r="AG709" s="38" t="s">
        <v>287</v>
      </c>
    </row>
    <row r="710" customFormat="false" ht="15" hidden="false" customHeight="false" outlineLevel="0" collapsed="false">
      <c r="Y710" s="56" t="s">
        <v>293</v>
      </c>
    </row>
    <row r="711" customFormat="false" ht="15" hidden="false" customHeight="false" outlineLevel="0" collapsed="false">
      <c r="Y711" s="1" t="s">
        <v>964</v>
      </c>
      <c r="AC711" s="57" t="s">
        <v>132</v>
      </c>
      <c r="AD711" s="58"/>
      <c r="AE711" s="59" t="n">
        <v>1</v>
      </c>
      <c r="AF711" s="1" t="n">
        <v>17.38</v>
      </c>
      <c r="AG711" s="30" t="n">
        <f aca="false">AE711*AF711</f>
        <v>17.38</v>
      </c>
    </row>
    <row r="712" customFormat="false" ht="15" hidden="false" customHeight="false" outlineLevel="0" collapsed="false">
      <c r="X712" s="62"/>
      <c r="Y712" s="62"/>
      <c r="Z712" s="62"/>
      <c r="AA712" s="62"/>
      <c r="AB712" s="62"/>
      <c r="AC712" s="62"/>
      <c r="AD712" s="62"/>
      <c r="AE712" s="62"/>
      <c r="AF712" s="62"/>
      <c r="AG712" s="63" t="n">
        <f aca="false">SUM(AG711)</f>
        <v>17.38</v>
      </c>
    </row>
    <row r="714" customFormat="false" ht="15" hidden="false" customHeight="false" outlineLevel="0" collapsed="false">
      <c r="M714" s="14" t="s">
        <v>276</v>
      </c>
      <c r="N714" s="14"/>
      <c r="O714" s="14" t="s">
        <v>749</v>
      </c>
      <c r="P714" s="14"/>
      <c r="Q714" s="14"/>
      <c r="R714" s="14"/>
      <c r="S714" s="14"/>
      <c r="T714" s="14"/>
      <c r="U714" s="14"/>
    </row>
    <row r="715" customFormat="false" ht="15" hidden="false" customHeight="false" outlineLevel="0" collapsed="false">
      <c r="M715" s="14" t="s">
        <v>277</v>
      </c>
      <c r="N715" s="14" t="s">
        <v>331</v>
      </c>
      <c r="O715" s="38" t="s">
        <v>279</v>
      </c>
      <c r="P715" s="54" t="n">
        <v>1</v>
      </c>
      <c r="Q715" s="38" t="s">
        <v>280</v>
      </c>
      <c r="R715" s="54" t="n">
        <f aca="false">P715</f>
        <v>1</v>
      </c>
      <c r="S715" s="14" t="s">
        <v>281</v>
      </c>
      <c r="U715" s="38" t="s">
        <v>153</v>
      </c>
      <c r="V715" s="55" t="n">
        <f aca="false">V719</f>
        <v>29580.5881071662</v>
      </c>
    </row>
    <row r="716" customFormat="false" ht="15" hidden="false" customHeight="false" outlineLevel="0" collapsed="false">
      <c r="M716" s="14" t="s">
        <v>282</v>
      </c>
      <c r="N716" s="14" t="s">
        <v>283</v>
      </c>
      <c r="R716" s="38" t="s">
        <v>121</v>
      </c>
      <c r="S716" s="38" t="s">
        <v>284</v>
      </c>
      <c r="T716" s="38" t="s">
        <v>285</v>
      </c>
      <c r="U716" s="38" t="s">
        <v>286</v>
      </c>
      <c r="V716" s="38" t="s">
        <v>287</v>
      </c>
    </row>
    <row r="717" customFormat="false" ht="15" hidden="false" customHeight="false" outlineLevel="0" collapsed="false">
      <c r="N717" s="56" t="s">
        <v>293</v>
      </c>
    </row>
    <row r="718" customFormat="false" ht="15" hidden="false" customHeight="false" outlineLevel="0" collapsed="false">
      <c r="N718" s="1" t="s">
        <v>749</v>
      </c>
      <c r="R718" s="57" t="s">
        <v>153</v>
      </c>
      <c r="S718" s="58"/>
      <c r="T718" s="59" t="n">
        <v>1</v>
      </c>
      <c r="U718" s="30" t="n">
        <v>29580.5881071662</v>
      </c>
      <c r="V718" s="30" t="n">
        <f aca="false">T718*U718</f>
        <v>29580.5881071662</v>
      </c>
    </row>
    <row r="719" customFormat="false" ht="15" hidden="false" customHeight="false" outlineLevel="0" collapsed="false">
      <c r="M719" s="62"/>
      <c r="N719" s="62"/>
      <c r="O719" s="62"/>
      <c r="P719" s="62"/>
      <c r="Q719" s="62"/>
      <c r="R719" s="62"/>
      <c r="S719" s="62"/>
      <c r="T719" s="62"/>
      <c r="U719" s="62"/>
      <c r="V719" s="63" t="n">
        <f aca="false">SUM(V718)</f>
        <v>29580.5881071662</v>
      </c>
    </row>
    <row r="720" customFormat="false" ht="15" hidden="false" customHeight="false" outlineLevel="0" collapsed="false">
      <c r="R720" s="57"/>
      <c r="S720" s="58"/>
      <c r="T720" s="59"/>
      <c r="U720" s="30"/>
      <c r="V720" s="30"/>
    </row>
    <row r="721" customFormat="false" ht="15" hidden="false" customHeight="false" outlineLevel="0" collapsed="false">
      <c r="M721" s="14"/>
      <c r="N721" s="14"/>
      <c r="O721" s="14"/>
      <c r="P721" s="14"/>
      <c r="Q721" s="14"/>
      <c r="R721" s="14"/>
      <c r="S721" s="14"/>
      <c r="T721" s="14"/>
      <c r="U721" s="14"/>
    </row>
    <row r="722" customFormat="false" ht="15" hidden="false" customHeight="false" outlineLevel="0" collapsed="false">
      <c r="M722" s="14"/>
      <c r="N722" s="14"/>
      <c r="O722" s="38"/>
      <c r="P722" s="54"/>
      <c r="Q722" s="38"/>
      <c r="R722" s="54"/>
      <c r="S722" s="14"/>
      <c r="U722" s="38"/>
      <c r="V722" s="55"/>
    </row>
    <row r="723" customFormat="false" ht="15" hidden="false" customHeight="false" outlineLevel="0" collapsed="false">
      <c r="M723" s="14"/>
      <c r="N723" s="14"/>
      <c r="R723" s="38"/>
      <c r="S723" s="38"/>
      <c r="T723" s="38"/>
      <c r="U723" s="38"/>
      <c r="V723" s="38"/>
    </row>
    <row r="724" customFormat="false" ht="15" hidden="false" customHeight="false" outlineLevel="0" collapsed="false">
      <c r="N724" s="56"/>
    </row>
    <row r="725" customFormat="false" ht="15" hidden="false" customHeight="false" outlineLevel="0" collapsed="false">
      <c r="R725" s="57"/>
      <c r="S725" s="58"/>
      <c r="T725" s="59"/>
      <c r="U725" s="30"/>
      <c r="V725" s="30"/>
    </row>
    <row r="726" customFormat="false" ht="15" hidden="false" customHeight="false" outlineLevel="0" collapsed="false">
      <c r="M726" s="62"/>
      <c r="N726" s="62"/>
      <c r="O726" s="62"/>
      <c r="P726" s="62"/>
      <c r="Q726" s="62"/>
      <c r="R726" s="62"/>
      <c r="S726" s="62"/>
      <c r="T726" s="62"/>
      <c r="U726" s="62"/>
      <c r="V726" s="6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1" width="9.3"/>
    <col collapsed="false" customWidth="true" hidden="false" outlineLevel="0" max="12" min="12" style="1" width="14.86"/>
    <col collapsed="false" customWidth="true" hidden="false" outlineLevel="0" max="19" min="19" style="1" width="10.29"/>
    <col collapsed="false" customWidth="true" hidden="false" outlineLevel="0" max="22" min="22" style="1" width="9.43"/>
  </cols>
  <sheetData>
    <row r="2" customFormat="false" ht="15" hidden="false" customHeight="false" outlineLevel="0" collapsed="false">
      <c r="L2" s="159" t="s">
        <v>88</v>
      </c>
      <c r="M2" s="159" t="n">
        <f aca="false">'Datos iniciales '!B11</f>
        <v>150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159"/>
    </row>
    <row r="4" customFormat="false" ht="15" hidden="false" customHeight="false" outlineLevel="0" collapsed="false">
      <c r="A4" s="15"/>
      <c r="E4" s="59"/>
      <c r="F4" s="205"/>
      <c r="G4" s="76"/>
      <c r="H4" s="205"/>
      <c r="J4" s="1" t="n">
        <f aca="false">SUM(I5:I24)</f>
        <v>121112.486052834</v>
      </c>
      <c r="L4" s="159" t="s">
        <v>1373</v>
      </c>
      <c r="M4" s="159" t="n">
        <f aca="false">J4/M2</f>
        <v>807.416573685559</v>
      </c>
      <c r="P4" s="85" t="s">
        <v>276</v>
      </c>
      <c r="Q4" s="85"/>
      <c r="R4" s="85" t="s">
        <v>525</v>
      </c>
      <c r="S4" s="85"/>
    </row>
    <row r="5" customFormat="false" ht="15" hidden="false" customHeight="false" outlineLevel="0" collapsed="false">
      <c r="A5" s="15" t="s">
        <v>523</v>
      </c>
      <c r="E5" s="59"/>
      <c r="F5" s="205"/>
      <c r="G5" s="76"/>
      <c r="P5" s="85" t="s">
        <v>277</v>
      </c>
      <c r="Q5" s="85" t="s">
        <v>415</v>
      </c>
      <c r="R5" s="87" t="s">
        <v>279</v>
      </c>
      <c r="S5" s="88" t="n">
        <v>15</v>
      </c>
      <c r="T5" s="87" t="s">
        <v>280</v>
      </c>
      <c r="U5" s="88" t="n">
        <f aca="false">S5</f>
        <v>15</v>
      </c>
      <c r="V5" s="85" t="s">
        <v>281</v>
      </c>
      <c r="X5" s="87" t="s">
        <v>202</v>
      </c>
      <c r="Y5" s="89" t="n">
        <f aca="false">Y11+Y18+Y23</f>
        <v>402.684786666667</v>
      </c>
    </row>
    <row r="6" customFormat="false" ht="16.4" hidden="false" customHeight="false" outlineLevel="0" collapsed="false">
      <c r="A6" s="1" t="s">
        <v>525</v>
      </c>
      <c r="E6" s="1" t="n">
        <v>0.160129573170732</v>
      </c>
      <c r="F6" s="205" t="s">
        <v>202</v>
      </c>
      <c r="G6" s="76" t="n">
        <f aca="false">E6*$M$2</f>
        <v>24.0194359756098</v>
      </c>
      <c r="H6" s="206" t="n">
        <f aca="false">Y5</f>
        <v>402.684786666667</v>
      </c>
      <c r="I6" s="1" t="n">
        <f aca="false">G6*H6</f>
        <v>9672.26145169207</v>
      </c>
      <c r="P6" s="85" t="s">
        <v>282</v>
      </c>
      <c r="Q6" s="85" t="s">
        <v>283</v>
      </c>
      <c r="U6" s="87" t="s">
        <v>121</v>
      </c>
      <c r="V6" s="87" t="s">
        <v>284</v>
      </c>
      <c r="W6" s="87" t="s">
        <v>285</v>
      </c>
      <c r="X6" s="87" t="s">
        <v>286</v>
      </c>
      <c r="Y6" s="87" t="s">
        <v>287</v>
      </c>
    </row>
    <row r="7" customFormat="false" ht="16.4" hidden="false" customHeight="false" outlineLevel="0" collapsed="false">
      <c r="A7" s="1" t="s">
        <v>527</v>
      </c>
      <c r="E7" s="1" t="n">
        <v>1.16524390243902</v>
      </c>
      <c r="F7" s="205" t="s">
        <v>132</v>
      </c>
      <c r="G7" s="76" t="n">
        <f aca="false">E7*$M$2</f>
        <v>174.786585365854</v>
      </c>
      <c r="H7" s="207" t="n">
        <f aca="false">Y26</f>
        <v>47.0115742857143</v>
      </c>
      <c r="I7" s="1" t="n">
        <f aca="false">G7*H7</f>
        <v>8216.99254207317</v>
      </c>
      <c r="Q7" s="90" t="s">
        <v>288</v>
      </c>
    </row>
    <row r="8" customFormat="false" ht="16.4" hidden="false" customHeight="false" outlineLevel="0" collapsed="false">
      <c r="A8" s="1" t="s">
        <v>529</v>
      </c>
      <c r="F8" s="205" t="s">
        <v>295</v>
      </c>
      <c r="G8" s="208" t="n">
        <f aca="false">G6*170</f>
        <v>4083.30411585366</v>
      </c>
      <c r="H8" s="206" t="n">
        <f aca="false">Y43</f>
        <v>5.5639628445</v>
      </c>
      <c r="I8" s="1" t="n">
        <f aca="false">G8*H8</f>
        <v>22719.3523834037</v>
      </c>
      <c r="J8" s="1" t="n">
        <f aca="false">G8/G6</f>
        <v>170</v>
      </c>
      <c r="Q8" s="1" t="s">
        <v>289</v>
      </c>
      <c r="U8" s="57" t="s">
        <v>290</v>
      </c>
      <c r="V8" s="58" t="n">
        <v>1</v>
      </c>
      <c r="W8" s="59" t="n">
        <f aca="false">V8*8/$S$5</f>
        <v>0.533333333333333</v>
      </c>
      <c r="X8" s="30" t="n">
        <v>28.94</v>
      </c>
      <c r="Y8" s="30" t="n">
        <f aca="false">W8*X8</f>
        <v>15.4346666666667</v>
      </c>
    </row>
    <row r="9" customFormat="false" ht="15" hidden="false" customHeight="false" outlineLevel="0" collapsed="false">
      <c r="A9" s="15" t="s">
        <v>539</v>
      </c>
      <c r="G9" s="76"/>
      <c r="Q9" s="1" t="s">
        <v>291</v>
      </c>
      <c r="U9" s="57" t="s">
        <v>290</v>
      </c>
      <c r="V9" s="58" t="n">
        <v>2</v>
      </c>
      <c r="W9" s="59" t="n">
        <f aca="false">V9*8/$S$5</f>
        <v>1.06666666666667</v>
      </c>
      <c r="X9" s="30" t="n">
        <v>23.6</v>
      </c>
      <c r="Y9" s="30" t="n">
        <f aca="false">W9*X9</f>
        <v>25.1733333333333</v>
      </c>
    </row>
    <row r="10" customFormat="false" ht="16.4" hidden="false" customHeight="false" outlineLevel="0" collapsed="false">
      <c r="A10" s="1" t="s">
        <v>541</v>
      </c>
      <c r="E10" s="1" t="n">
        <v>0.168490853658537</v>
      </c>
      <c r="F10" s="205" t="s">
        <v>202</v>
      </c>
      <c r="G10" s="76" t="n">
        <f aca="false">E10*$M$2</f>
        <v>25.2736280487805</v>
      </c>
      <c r="H10" s="209" t="n">
        <f aca="false">Y61</f>
        <v>392.537930909091</v>
      </c>
      <c r="I10" s="1" t="n">
        <f aca="false">G10*H10</f>
        <v>9920.85766083426</v>
      </c>
      <c r="Q10" s="1" t="s">
        <v>292</v>
      </c>
      <c r="U10" s="57" t="s">
        <v>290</v>
      </c>
      <c r="V10" s="58" t="n">
        <v>4</v>
      </c>
      <c r="W10" s="59" t="n">
        <f aca="false">V10*8/$S$5</f>
        <v>2.13333333333333</v>
      </c>
      <c r="X10" s="30" t="n">
        <v>21.36</v>
      </c>
      <c r="Y10" s="30" t="n">
        <f aca="false">W10*X10</f>
        <v>45.568</v>
      </c>
    </row>
    <row r="11" customFormat="false" ht="16.4" hidden="false" customHeight="false" outlineLevel="0" collapsed="false">
      <c r="A11" s="1" t="s">
        <v>543</v>
      </c>
      <c r="E11" s="1" t="n">
        <v>0.822259908536585</v>
      </c>
      <c r="F11" s="205" t="s">
        <v>132</v>
      </c>
      <c r="G11" s="76" t="n">
        <f aca="false">E11*$M$2</f>
        <v>123.338986280488</v>
      </c>
      <c r="H11" s="210" t="n">
        <f aca="false">Y83</f>
        <v>50.7905142857143</v>
      </c>
      <c r="I11" s="1" t="n">
        <f aca="false">G11*H11</f>
        <v>6264.45054466463</v>
      </c>
      <c r="U11" s="57"/>
      <c r="V11" s="58"/>
      <c r="W11" s="59"/>
      <c r="Y11" s="89" t="n">
        <f aca="false">SUM(Y8:Y10)</f>
        <v>86.176</v>
      </c>
    </row>
    <row r="12" customFormat="false" ht="16.4" hidden="false" customHeight="false" outlineLevel="0" collapsed="false">
      <c r="A12" s="1" t="s">
        <v>545</v>
      </c>
      <c r="F12" s="205" t="s">
        <v>295</v>
      </c>
      <c r="G12" s="208" t="n">
        <f aca="false">G10*140</f>
        <v>3538.30792682927</v>
      </c>
      <c r="H12" s="30" t="n">
        <f aca="false">Y99</f>
        <v>5.5639628445</v>
      </c>
      <c r="I12" s="1" t="n">
        <f aca="false">G12*H12</f>
        <v>19687.0138372779</v>
      </c>
      <c r="J12" s="1" t="n">
        <f aca="false">G12/G10</f>
        <v>140</v>
      </c>
      <c r="Q12" s="90" t="s">
        <v>652</v>
      </c>
      <c r="U12" s="57"/>
      <c r="V12" s="58"/>
      <c r="W12" s="59"/>
      <c r="Y12" s="30"/>
    </row>
    <row r="13" customFormat="false" ht="15" hidden="false" customHeight="false" outlineLevel="0" collapsed="false">
      <c r="A13" s="15" t="s">
        <v>555</v>
      </c>
      <c r="G13" s="76"/>
      <c r="Q13" s="1" t="s">
        <v>670</v>
      </c>
      <c r="U13" s="57" t="s">
        <v>202</v>
      </c>
      <c r="W13" s="59" t="n">
        <v>0.53</v>
      </c>
      <c r="X13" s="30" t="n">
        <v>55.08</v>
      </c>
      <c r="Y13" s="30" t="n">
        <f aca="false">W13*X13</f>
        <v>29.1924</v>
      </c>
    </row>
    <row r="14" customFormat="false" ht="15" hidden="false" customHeight="false" outlineLevel="0" collapsed="false">
      <c r="A14" s="76" t="s">
        <v>557</v>
      </c>
      <c r="E14" s="1" t="n">
        <v>0.116875</v>
      </c>
      <c r="F14" s="1" t="s">
        <v>202</v>
      </c>
      <c r="G14" s="76" t="n">
        <f aca="false">E14*$M$2</f>
        <v>17.53125</v>
      </c>
      <c r="H14" s="30" t="n">
        <f aca="false">Y115</f>
        <v>396.881736</v>
      </c>
      <c r="I14" s="1" t="n">
        <f aca="false">G14*H14</f>
        <v>6957.83293425</v>
      </c>
      <c r="Q14" s="1" t="s">
        <v>671</v>
      </c>
      <c r="U14" s="57" t="s">
        <v>202</v>
      </c>
      <c r="W14" s="59" t="n">
        <v>0.52</v>
      </c>
      <c r="X14" s="30" t="n">
        <v>47</v>
      </c>
      <c r="Y14" s="30" t="n">
        <f aca="false">W14*X14</f>
        <v>24.44</v>
      </c>
    </row>
    <row r="15" customFormat="false" ht="15" hidden="false" customHeight="false" outlineLevel="0" collapsed="false">
      <c r="A15" s="76" t="s">
        <v>559</v>
      </c>
      <c r="E15" s="1" t="n">
        <v>1.28136432926829</v>
      </c>
      <c r="F15" s="1" t="s">
        <v>132</v>
      </c>
      <c r="G15" s="76" t="n">
        <f aca="false">E15*$M$2</f>
        <v>192.204649390244</v>
      </c>
      <c r="H15" s="65" t="n">
        <f aca="false">Y140</f>
        <v>43.4766</v>
      </c>
      <c r="I15" s="1" t="n">
        <f aca="false">G15*H15</f>
        <v>8356.40465967988</v>
      </c>
      <c r="Q15" s="1" t="s">
        <v>305</v>
      </c>
      <c r="U15" s="57" t="s">
        <v>306</v>
      </c>
      <c r="W15" s="59" t="n">
        <v>9.73</v>
      </c>
      <c r="X15" s="30" t="n">
        <v>24.52</v>
      </c>
      <c r="Y15" s="30" t="n">
        <f aca="false">W15*X15</f>
        <v>238.5796</v>
      </c>
    </row>
    <row r="16" customFormat="false" ht="15" hidden="false" customHeight="false" outlineLevel="0" collapsed="false">
      <c r="A16" s="76" t="s">
        <v>561</v>
      </c>
      <c r="F16" s="1" t="s">
        <v>295</v>
      </c>
      <c r="G16" s="208" t="n">
        <f aca="false">G14*45</f>
        <v>788.90625</v>
      </c>
      <c r="H16" s="30" t="n">
        <f aca="false">Y157</f>
        <v>5.4833634845</v>
      </c>
      <c r="I16" s="1" t="n">
        <f aca="false">G16*H16</f>
        <v>4325.85972394383</v>
      </c>
      <c r="J16" s="1" t="n">
        <f aca="false">G16/G14</f>
        <v>45</v>
      </c>
      <c r="Q16" s="1" t="s">
        <v>654</v>
      </c>
      <c r="U16" s="57" t="s">
        <v>202</v>
      </c>
      <c r="W16" s="59" t="n">
        <v>0.186</v>
      </c>
      <c r="X16" s="1" t="n">
        <v>6.14</v>
      </c>
      <c r="Y16" s="30" t="n">
        <f aca="false">W16*X16</f>
        <v>1.14204</v>
      </c>
    </row>
    <row r="17" customFormat="false" ht="15" hidden="false" customHeight="false" outlineLevel="0" collapsed="false">
      <c r="A17" s="76" t="s">
        <v>563</v>
      </c>
      <c r="E17" s="1" t="n">
        <v>9.700625</v>
      </c>
      <c r="F17" s="1" t="s">
        <v>564</v>
      </c>
      <c r="G17" s="76" t="n">
        <f aca="false">E17*$M$2</f>
        <v>1455.09375</v>
      </c>
      <c r="H17" s="30" t="n">
        <f aca="false">Y173</f>
        <v>2.715605</v>
      </c>
      <c r="I17" s="1" t="n">
        <f aca="false">G17*H17</f>
        <v>3951.45986296875</v>
      </c>
      <c r="Q17" s="1" t="s">
        <v>663</v>
      </c>
      <c r="U17" s="57" t="s">
        <v>437</v>
      </c>
      <c r="W17" s="59" t="n">
        <v>0.36</v>
      </c>
      <c r="X17" s="1" t="n">
        <v>13.93</v>
      </c>
      <c r="Y17" s="30" t="n">
        <f aca="false">W17*X17</f>
        <v>5.0148</v>
      </c>
    </row>
    <row r="18" customFormat="false" ht="15" hidden="false" customHeight="false" outlineLevel="0" collapsed="false">
      <c r="A18" s="77" t="s">
        <v>574</v>
      </c>
      <c r="B18" s="75"/>
      <c r="C18" s="75"/>
      <c r="U18" s="57"/>
      <c r="W18" s="59"/>
      <c r="X18" s="30"/>
      <c r="Y18" s="89" t="n">
        <f aca="false">SUM(Y13:Y17)</f>
        <v>298.36884</v>
      </c>
    </row>
    <row r="19" customFormat="false" ht="16.4" hidden="false" customHeight="false" outlineLevel="0" collapsed="false">
      <c r="A19" s="75" t="s">
        <v>525</v>
      </c>
      <c r="B19" s="75"/>
      <c r="C19" s="75"/>
      <c r="E19" s="75" t="n">
        <v>0.08</v>
      </c>
      <c r="F19" s="205" t="s">
        <v>202</v>
      </c>
      <c r="G19" s="76" t="n">
        <f aca="false">E19*$M$2</f>
        <v>12</v>
      </c>
      <c r="H19" s="209" t="n">
        <f aca="false">Y189</f>
        <v>402.684786666667</v>
      </c>
      <c r="I19" s="1" t="n">
        <f aca="false">G19*H19</f>
        <v>4832.21744</v>
      </c>
      <c r="Q19" s="90" t="s">
        <v>308</v>
      </c>
    </row>
    <row r="20" customFormat="false" ht="16.4" hidden="false" customHeight="false" outlineLevel="0" collapsed="false">
      <c r="A20" s="75" t="s">
        <v>527</v>
      </c>
      <c r="B20" s="75"/>
      <c r="C20" s="75"/>
      <c r="E20" s="75" t="n">
        <v>0.961</v>
      </c>
      <c r="F20" s="205" t="s">
        <v>132</v>
      </c>
      <c r="G20" s="76" t="n">
        <f aca="false">E20*$M$2</f>
        <v>144.15</v>
      </c>
      <c r="H20" s="65" t="n">
        <f aca="false">Y210</f>
        <v>47.5915742857143</v>
      </c>
      <c r="I20" s="1" t="n">
        <f aca="false">G20*H20</f>
        <v>6860.32543328571</v>
      </c>
      <c r="Q20" s="1" t="s">
        <v>309</v>
      </c>
      <c r="U20" s="57" t="s">
        <v>310</v>
      </c>
      <c r="W20" s="59" t="n">
        <v>3</v>
      </c>
      <c r="X20" s="30" t="n">
        <f aca="false">Y11</f>
        <v>86.176</v>
      </c>
      <c r="Y20" s="30" t="n">
        <f aca="false">W20%*X20</f>
        <v>2.58528</v>
      </c>
    </row>
    <row r="21" customFormat="false" ht="16.4" hidden="false" customHeight="false" outlineLevel="0" collapsed="false">
      <c r="A21" s="75" t="s">
        <v>529</v>
      </c>
      <c r="B21" s="75"/>
      <c r="C21" s="75"/>
      <c r="E21" s="75"/>
      <c r="F21" s="205" t="s">
        <v>295</v>
      </c>
      <c r="G21" s="208" t="n">
        <f aca="false">G19*140</f>
        <v>1680</v>
      </c>
      <c r="H21" s="30" t="n">
        <f aca="false">Y227</f>
        <v>5.5639628445</v>
      </c>
      <c r="I21" s="1" t="n">
        <f aca="false">G21*H21</f>
        <v>9347.45757876</v>
      </c>
      <c r="J21" s="1" t="n">
        <f aca="false">G21/G19</f>
        <v>140</v>
      </c>
      <c r="Q21" s="1" t="s">
        <v>665</v>
      </c>
      <c r="U21" s="57" t="s">
        <v>337</v>
      </c>
      <c r="V21" s="58" t="n">
        <v>1</v>
      </c>
      <c r="W21" s="59" t="n">
        <f aca="false">V21*8/$S$5</f>
        <v>0.533333333333333</v>
      </c>
      <c r="X21" s="30" t="n">
        <v>25.63</v>
      </c>
      <c r="Y21" s="30" t="n">
        <f aca="false">W21*X21</f>
        <v>13.6693333333333</v>
      </c>
    </row>
    <row r="22" customFormat="false" ht="15" hidden="false" customHeight="false" outlineLevel="0" collapsed="false">
      <c r="A22" s="15"/>
      <c r="E22" s="59"/>
      <c r="G22" s="76"/>
      <c r="Q22" s="1" t="s">
        <v>673</v>
      </c>
      <c r="U22" s="57" t="s">
        <v>337</v>
      </c>
      <c r="V22" s="58" t="n">
        <v>0.5</v>
      </c>
      <c r="W22" s="59" t="n">
        <f aca="false">V22*8/$S$5</f>
        <v>0.266666666666667</v>
      </c>
      <c r="X22" s="30" t="n">
        <v>7.07</v>
      </c>
      <c r="Y22" s="30" t="n">
        <f aca="false">W22*X22</f>
        <v>1.88533333333333</v>
      </c>
    </row>
    <row r="23" customFormat="false" ht="15" hidden="false" customHeight="false" outlineLevel="0" collapsed="false">
      <c r="E23" s="59"/>
      <c r="F23" s="211"/>
      <c r="G23" s="76"/>
      <c r="H23" s="212"/>
      <c r="P23" s="62"/>
      <c r="Q23" s="62"/>
      <c r="R23" s="62"/>
      <c r="S23" s="62"/>
      <c r="T23" s="62"/>
      <c r="U23" s="62"/>
      <c r="V23" s="62"/>
      <c r="W23" s="62"/>
      <c r="X23" s="62"/>
      <c r="Y23" s="91" t="n">
        <f aca="false">SUM(Y20:Y22)</f>
        <v>18.1399466666667</v>
      </c>
    </row>
    <row r="24" customFormat="false" ht="15" hidden="false" customHeight="false" outlineLevel="0" collapsed="false">
      <c r="A24" s="213"/>
      <c r="E24" s="59"/>
      <c r="F24" s="211"/>
      <c r="G24" s="76"/>
      <c r="H24" s="209"/>
    </row>
    <row r="25" customFormat="false" ht="15" hidden="false" customHeight="false" outlineLevel="0" collapsed="false">
      <c r="P25" s="85" t="s">
        <v>276</v>
      </c>
      <c r="Q25" s="85"/>
      <c r="R25" s="85" t="s">
        <v>527</v>
      </c>
      <c r="S25" s="85"/>
    </row>
    <row r="26" customFormat="false" ht="15" hidden="false" customHeight="false" outlineLevel="0" collapsed="false">
      <c r="P26" s="85" t="s">
        <v>277</v>
      </c>
      <c r="Q26" s="85" t="s">
        <v>278</v>
      </c>
      <c r="R26" s="87" t="s">
        <v>279</v>
      </c>
      <c r="S26" s="88" t="n">
        <v>35</v>
      </c>
      <c r="T26" s="87" t="s">
        <v>280</v>
      </c>
      <c r="U26" s="88" t="n">
        <f aca="false">S26</f>
        <v>35</v>
      </c>
      <c r="V26" s="85" t="s">
        <v>281</v>
      </c>
      <c r="X26" s="87" t="s">
        <v>132</v>
      </c>
      <c r="Y26" s="89" t="n">
        <f aca="false">Y32+Y37+Y40</f>
        <v>47.0115742857143</v>
      </c>
    </row>
    <row r="27" customFormat="false" ht="15" hidden="false" customHeight="false" outlineLevel="0" collapsed="false">
      <c r="P27" s="85" t="s">
        <v>282</v>
      </c>
      <c r="Q27" s="85" t="s">
        <v>283</v>
      </c>
      <c r="U27" s="87" t="s">
        <v>121</v>
      </c>
      <c r="V27" s="87" t="s">
        <v>284</v>
      </c>
      <c r="W27" s="87" t="s">
        <v>285</v>
      </c>
      <c r="X27" s="87" t="s">
        <v>286</v>
      </c>
      <c r="Y27" s="87" t="s">
        <v>287</v>
      </c>
    </row>
    <row r="28" customFormat="false" ht="15" hidden="false" customHeight="false" outlineLevel="0" collapsed="false">
      <c r="Q28" s="90" t="s">
        <v>288</v>
      </c>
    </row>
    <row r="29" customFormat="false" ht="15" hidden="false" customHeight="false" outlineLevel="0" collapsed="false">
      <c r="Q29" s="1" t="s">
        <v>289</v>
      </c>
      <c r="U29" s="57" t="s">
        <v>290</v>
      </c>
      <c r="V29" s="58" t="n">
        <v>2</v>
      </c>
      <c r="W29" s="59" t="n">
        <f aca="false">V29*8/$S$26</f>
        <v>0.457142857142857</v>
      </c>
      <c r="X29" s="30" t="n">
        <v>28.94</v>
      </c>
      <c r="Y29" s="30" t="n">
        <f aca="false">W29*X29</f>
        <v>13.2297142857143</v>
      </c>
    </row>
    <row r="30" customFormat="false" ht="15" hidden="false" customHeight="false" outlineLevel="0" collapsed="false">
      <c r="Q30" s="1" t="s">
        <v>291</v>
      </c>
      <c r="U30" s="57" t="s">
        <v>290</v>
      </c>
      <c r="V30" s="58" t="n">
        <v>1</v>
      </c>
      <c r="W30" s="59" t="n">
        <f aca="false">V30*8/$S$26</f>
        <v>0.228571428571429</v>
      </c>
      <c r="X30" s="30" t="n">
        <v>23.6</v>
      </c>
      <c r="Y30" s="30" t="n">
        <f aca="false">W30*X30</f>
        <v>5.39428571428571</v>
      </c>
    </row>
    <row r="31" customFormat="false" ht="15" hidden="false" customHeight="false" outlineLevel="0" collapsed="false">
      <c r="Q31" s="1" t="s">
        <v>292</v>
      </c>
      <c r="U31" s="57" t="s">
        <v>290</v>
      </c>
      <c r="V31" s="58" t="n">
        <v>1</v>
      </c>
      <c r="W31" s="59" t="n">
        <f aca="false">V31*8/$S$26</f>
        <v>0.228571428571429</v>
      </c>
      <c r="X31" s="30" t="n">
        <v>21.36</v>
      </c>
      <c r="Y31" s="30" t="n">
        <f aca="false">W31*X31</f>
        <v>4.88228571428571</v>
      </c>
    </row>
    <row r="32" customFormat="false" ht="15" hidden="false" customHeight="false" outlineLevel="0" collapsed="false">
      <c r="U32" s="57"/>
      <c r="V32" s="58"/>
      <c r="W32" s="59"/>
      <c r="Y32" s="89" t="n">
        <f aca="false">SUM(Y29:Y31)</f>
        <v>23.5062857142857</v>
      </c>
    </row>
    <row r="33" customFormat="false" ht="15" hidden="false" customHeight="false" outlineLevel="0" collapsed="false">
      <c r="Q33" s="90" t="s">
        <v>652</v>
      </c>
      <c r="U33" s="57"/>
      <c r="V33" s="58"/>
      <c r="W33" s="59"/>
      <c r="Y33" s="30"/>
    </row>
    <row r="34" customFormat="false" ht="15" hidden="false" customHeight="false" outlineLevel="0" collapsed="false">
      <c r="Q34" s="1" t="s">
        <v>685</v>
      </c>
      <c r="U34" s="57" t="s">
        <v>295</v>
      </c>
      <c r="W34" s="59" t="n">
        <v>0.3</v>
      </c>
      <c r="X34" s="30" t="n">
        <v>2.64</v>
      </c>
      <c r="Y34" s="30" t="n">
        <f aca="false">W34*X34</f>
        <v>0.792</v>
      </c>
    </row>
    <row r="35" customFormat="false" ht="15" hidden="false" customHeight="false" outlineLevel="0" collapsed="false">
      <c r="Q35" s="1" t="s">
        <v>300</v>
      </c>
      <c r="U35" s="57" t="s">
        <v>295</v>
      </c>
      <c r="W35" s="59" t="n">
        <v>0.31</v>
      </c>
      <c r="X35" s="30" t="n">
        <v>5.51</v>
      </c>
      <c r="Y35" s="30" t="n">
        <f aca="false">W35*X35</f>
        <v>1.7081</v>
      </c>
    </row>
    <row r="36" customFormat="false" ht="15" hidden="false" customHeight="false" outlineLevel="0" collapsed="false">
      <c r="Q36" s="1" t="s">
        <v>667</v>
      </c>
      <c r="U36" s="57" t="s">
        <v>304</v>
      </c>
      <c r="W36" s="59" t="n">
        <v>3.5</v>
      </c>
      <c r="X36" s="30" t="n">
        <v>5.8</v>
      </c>
      <c r="Y36" s="30" t="n">
        <f aca="false">W36*X36</f>
        <v>20.3</v>
      </c>
    </row>
    <row r="37" customFormat="false" ht="15" hidden="false" customHeight="false" outlineLevel="0" collapsed="false">
      <c r="U37" s="57"/>
      <c r="W37" s="59"/>
      <c r="X37" s="30"/>
      <c r="Y37" s="89" t="n">
        <f aca="false">SUM(Y34:Y36)</f>
        <v>22.8001</v>
      </c>
    </row>
    <row r="38" customFormat="false" ht="15" hidden="false" customHeight="false" outlineLevel="0" collapsed="false">
      <c r="Q38" s="90" t="s">
        <v>308</v>
      </c>
    </row>
    <row r="39" customFormat="false" ht="15" hidden="false" customHeight="false" outlineLevel="0" collapsed="false">
      <c r="Q39" s="1" t="s">
        <v>309</v>
      </c>
      <c r="U39" s="57" t="s">
        <v>310</v>
      </c>
      <c r="W39" s="59" t="n">
        <v>3</v>
      </c>
      <c r="X39" s="30" t="n">
        <f aca="false">Y32</f>
        <v>23.5062857142857</v>
      </c>
      <c r="Y39" s="30" t="n">
        <f aca="false">W39%*X39</f>
        <v>0.705188571428571</v>
      </c>
    </row>
    <row r="40" customFormat="false" ht="15" hidden="false" customHeight="false" outlineLevel="0" collapsed="false">
      <c r="P40" s="62"/>
      <c r="Q40" s="62"/>
      <c r="R40" s="62"/>
      <c r="S40" s="62"/>
      <c r="T40" s="62"/>
      <c r="U40" s="62"/>
      <c r="V40" s="62"/>
      <c r="W40" s="62"/>
      <c r="X40" s="62"/>
      <c r="Y40" s="91" t="n">
        <f aca="false">SUM(Y39)</f>
        <v>0.705188571428571</v>
      </c>
    </row>
    <row r="42" customFormat="false" ht="15" hidden="false" customHeight="false" outlineLevel="0" collapsed="false">
      <c r="P42" s="85" t="s">
        <v>276</v>
      </c>
      <c r="Q42" s="85"/>
      <c r="R42" s="85" t="s">
        <v>529</v>
      </c>
      <c r="S42" s="85"/>
    </row>
    <row r="43" customFormat="false" ht="15" hidden="false" customHeight="false" outlineLevel="0" collapsed="false">
      <c r="P43" s="85" t="s">
        <v>277</v>
      </c>
      <c r="Q43" s="85" t="s">
        <v>278</v>
      </c>
      <c r="R43" s="87" t="s">
        <v>279</v>
      </c>
      <c r="S43" s="88" t="n">
        <v>250</v>
      </c>
      <c r="T43" s="87" t="s">
        <v>280</v>
      </c>
      <c r="U43" s="88" t="n">
        <f aca="false">S43</f>
        <v>250</v>
      </c>
      <c r="V43" s="85" t="s">
        <v>281</v>
      </c>
      <c r="X43" s="87" t="s">
        <v>132</v>
      </c>
      <c r="Y43" s="89" t="n">
        <f aca="false">Y48+Y52+Y56</f>
        <v>5.5639628445</v>
      </c>
    </row>
    <row r="44" customFormat="false" ht="15" hidden="false" customHeight="false" outlineLevel="0" collapsed="false">
      <c r="E44" s="59"/>
      <c r="P44" s="85" t="s">
        <v>282</v>
      </c>
      <c r="Q44" s="85" t="s">
        <v>283</v>
      </c>
      <c r="U44" s="87" t="s">
        <v>121</v>
      </c>
      <c r="V44" s="87" t="s">
        <v>284</v>
      </c>
      <c r="W44" s="87" t="s">
        <v>285</v>
      </c>
      <c r="X44" s="87" t="s">
        <v>286</v>
      </c>
      <c r="Y44" s="87" t="s">
        <v>287</v>
      </c>
    </row>
    <row r="45" customFormat="false" ht="15" hidden="false" customHeight="false" outlineLevel="0" collapsed="false">
      <c r="E45" s="59"/>
      <c r="Q45" s="90" t="s">
        <v>288</v>
      </c>
    </row>
    <row r="46" customFormat="false" ht="15" hidden="false" customHeight="false" outlineLevel="0" collapsed="false">
      <c r="Q46" s="1" t="s">
        <v>289</v>
      </c>
      <c r="U46" s="57" t="s">
        <v>290</v>
      </c>
      <c r="V46" s="58" t="n">
        <v>1</v>
      </c>
      <c r="W46" s="101" t="n">
        <f aca="false">V46*8/$S$43</f>
        <v>0.032</v>
      </c>
      <c r="X46" s="30" t="n">
        <v>28.94</v>
      </c>
      <c r="Y46" s="30" t="n">
        <f aca="false">W46*X46</f>
        <v>0.92608</v>
      </c>
    </row>
    <row r="47" customFormat="false" ht="15" hidden="false" customHeight="false" outlineLevel="0" collapsed="false">
      <c r="Q47" s="1" t="s">
        <v>675</v>
      </c>
      <c r="U47" s="57" t="s">
        <v>290</v>
      </c>
      <c r="V47" s="58" t="n">
        <v>1</v>
      </c>
      <c r="W47" s="101" t="n">
        <f aca="false">V47*8/$S$43</f>
        <v>0.032</v>
      </c>
      <c r="X47" s="30" t="n">
        <v>23.6</v>
      </c>
      <c r="Y47" s="30" t="n">
        <f aca="false">W47*X47</f>
        <v>0.7552</v>
      </c>
    </row>
    <row r="48" customFormat="false" ht="15" hidden="false" customHeight="false" outlineLevel="0" collapsed="false">
      <c r="U48" s="57"/>
      <c r="V48" s="58"/>
      <c r="Y48" s="126" t="n">
        <f aca="false">SUM(Y46:Y47)</f>
        <v>1.68128</v>
      </c>
    </row>
    <row r="49" customFormat="false" ht="15" hidden="false" customHeight="false" outlineLevel="0" collapsed="false">
      <c r="Q49" s="127" t="s">
        <v>293</v>
      </c>
      <c r="U49" s="57"/>
      <c r="V49" s="58"/>
      <c r="W49" s="101"/>
    </row>
    <row r="50" customFormat="false" ht="15" hidden="false" customHeight="false" outlineLevel="0" collapsed="false">
      <c r="Q50" s="1" t="s">
        <v>294</v>
      </c>
      <c r="U50" s="57" t="s">
        <v>295</v>
      </c>
      <c r="V50" s="58"/>
      <c r="W50" s="101" t="n">
        <v>0.03</v>
      </c>
      <c r="X50" s="30" t="n">
        <v>2.64</v>
      </c>
      <c r="Y50" s="30" t="n">
        <f aca="false">W50*X50</f>
        <v>0.0792</v>
      </c>
    </row>
    <row r="51" customFormat="false" ht="15" hidden="false" customHeight="false" outlineLevel="0" collapsed="false">
      <c r="Q51" s="1" t="s">
        <v>676</v>
      </c>
      <c r="U51" s="57" t="s">
        <v>295</v>
      </c>
      <c r="V51" s="58"/>
      <c r="W51" s="101" t="n">
        <v>1.05</v>
      </c>
      <c r="X51" s="30" t="n">
        <f aca="false">1012.71*3.379/1000</f>
        <v>3.42194709</v>
      </c>
      <c r="Y51" s="30" t="n">
        <f aca="false">W51*X51</f>
        <v>3.5930444445</v>
      </c>
    </row>
    <row r="52" customFormat="false" ht="15" hidden="false" customHeight="false" outlineLevel="0" collapsed="false">
      <c r="U52" s="57"/>
      <c r="V52" s="58"/>
      <c r="Y52" s="126" t="n">
        <f aca="false">SUM(Y50:Y51)</f>
        <v>3.6722444445</v>
      </c>
    </row>
    <row r="53" customFormat="false" ht="15" hidden="false" customHeight="false" outlineLevel="0" collapsed="false">
      <c r="Q53" s="127" t="s">
        <v>317</v>
      </c>
      <c r="U53" s="57"/>
      <c r="V53" s="58"/>
    </row>
    <row r="54" customFormat="false" ht="15" hidden="false" customHeight="false" outlineLevel="0" collapsed="false">
      <c r="Q54" s="1" t="s">
        <v>309</v>
      </c>
      <c r="U54" s="57" t="s">
        <v>310</v>
      </c>
      <c r="W54" s="59" t="n">
        <v>3</v>
      </c>
      <c r="X54" s="30" t="n">
        <f aca="false">Y48</f>
        <v>1.68128</v>
      </c>
      <c r="Y54" s="30" t="n">
        <f aca="false">W54%*X54</f>
        <v>0.0504384</v>
      </c>
    </row>
    <row r="55" customFormat="false" ht="15" hidden="false" customHeight="false" outlineLevel="0" collapsed="false">
      <c r="Q55" s="1" t="s">
        <v>677</v>
      </c>
      <c r="U55" s="57" t="s">
        <v>290</v>
      </c>
      <c r="V55" s="58" t="n">
        <v>1</v>
      </c>
      <c r="W55" s="101" t="n">
        <f aca="false">V55*8/$S$43</f>
        <v>0.032</v>
      </c>
      <c r="X55" s="65" t="n">
        <v>5</v>
      </c>
      <c r="Y55" s="30" t="n">
        <f aca="false">W55*X55</f>
        <v>0.16</v>
      </c>
    </row>
    <row r="56" customFormat="false" ht="15" hidden="false" customHeight="false" outlineLevel="0" collapsed="false">
      <c r="P56" s="62"/>
      <c r="Q56" s="62"/>
      <c r="R56" s="62"/>
      <c r="S56" s="62"/>
      <c r="T56" s="62"/>
      <c r="U56" s="62"/>
      <c r="V56" s="62"/>
      <c r="W56" s="62"/>
      <c r="X56" s="62"/>
      <c r="Y56" s="128" t="n">
        <f aca="false">SUM(Y54:Y55)</f>
        <v>0.2104384</v>
      </c>
    </row>
    <row r="60" customFormat="false" ht="15" hidden="false" customHeight="false" outlineLevel="0" collapsed="false">
      <c r="P60" s="85" t="s">
        <v>276</v>
      </c>
      <c r="Q60" s="85"/>
      <c r="R60" s="85" t="s">
        <v>541</v>
      </c>
      <c r="S60" s="85"/>
    </row>
    <row r="61" customFormat="false" ht="15" hidden="false" customHeight="false" outlineLevel="0" collapsed="false">
      <c r="P61" s="85" t="s">
        <v>277</v>
      </c>
      <c r="Q61" s="85" t="s">
        <v>415</v>
      </c>
      <c r="R61" s="87" t="s">
        <v>279</v>
      </c>
      <c r="S61" s="88" t="n">
        <v>22</v>
      </c>
      <c r="T61" s="87" t="s">
        <v>280</v>
      </c>
      <c r="U61" s="88" t="n">
        <f aca="false">S61</f>
        <v>22</v>
      </c>
      <c r="V61" s="85" t="s">
        <v>281</v>
      </c>
      <c r="X61" s="87" t="s">
        <v>202</v>
      </c>
      <c r="Y61" s="89" t="n">
        <f aca="false">Y67+Y74+Y80</f>
        <v>392.537930909091</v>
      </c>
    </row>
    <row r="62" customFormat="false" ht="15" hidden="false" customHeight="false" outlineLevel="0" collapsed="false">
      <c r="P62" s="85" t="s">
        <v>282</v>
      </c>
      <c r="Q62" s="85" t="s">
        <v>283</v>
      </c>
      <c r="U62" s="87" t="s">
        <v>121</v>
      </c>
      <c r="V62" s="87" t="s">
        <v>284</v>
      </c>
      <c r="W62" s="87" t="s">
        <v>285</v>
      </c>
      <c r="X62" s="87" t="s">
        <v>286</v>
      </c>
      <c r="Y62" s="87" t="s">
        <v>287</v>
      </c>
    </row>
    <row r="63" customFormat="false" ht="15" hidden="false" customHeight="false" outlineLevel="0" collapsed="false">
      <c r="Q63" s="90" t="s">
        <v>288</v>
      </c>
    </row>
    <row r="64" customFormat="false" ht="15" hidden="false" customHeight="false" outlineLevel="0" collapsed="false">
      <c r="Q64" s="1" t="s">
        <v>289</v>
      </c>
      <c r="U64" s="57" t="s">
        <v>290</v>
      </c>
      <c r="V64" s="58" t="n">
        <v>2</v>
      </c>
      <c r="W64" s="59" t="n">
        <f aca="false">V64*8/$S$61</f>
        <v>0.727272727272727</v>
      </c>
      <c r="X64" s="30" t="n">
        <v>28.94</v>
      </c>
      <c r="Y64" s="30" t="n">
        <f aca="false">W64*X64</f>
        <v>21.0472727272727</v>
      </c>
    </row>
    <row r="65" customFormat="false" ht="15" hidden="false" customHeight="false" outlineLevel="0" collapsed="false">
      <c r="Q65" s="1" t="s">
        <v>291</v>
      </c>
      <c r="U65" s="57" t="s">
        <v>290</v>
      </c>
      <c r="V65" s="58" t="n">
        <v>1</v>
      </c>
      <c r="W65" s="59" t="n">
        <f aca="false">V65*8/$S$61</f>
        <v>0.363636363636364</v>
      </c>
      <c r="X65" s="30" t="n">
        <v>23.6</v>
      </c>
      <c r="Y65" s="30" t="n">
        <f aca="false">W65*X65</f>
        <v>8.58181818181818</v>
      </c>
    </row>
    <row r="66" customFormat="false" ht="15" hidden="false" customHeight="false" outlineLevel="0" collapsed="false">
      <c r="Q66" s="1" t="s">
        <v>292</v>
      </c>
      <c r="U66" s="57" t="s">
        <v>290</v>
      </c>
      <c r="V66" s="58" t="n">
        <v>6</v>
      </c>
      <c r="W66" s="59" t="n">
        <f aca="false">V66*8/$S$61</f>
        <v>2.18181818181818</v>
      </c>
      <c r="X66" s="30" t="n">
        <v>21.36</v>
      </c>
      <c r="Y66" s="30" t="n">
        <f aca="false">W66*X66</f>
        <v>46.6036363636364</v>
      </c>
    </row>
    <row r="67" customFormat="false" ht="15" hidden="false" customHeight="false" outlineLevel="0" collapsed="false">
      <c r="U67" s="57"/>
      <c r="V67" s="58"/>
      <c r="W67" s="59"/>
      <c r="Y67" s="89" t="n">
        <f aca="false">SUM(Y64:Y66)</f>
        <v>76.2327272727273</v>
      </c>
    </row>
    <row r="68" customFormat="false" ht="15" hidden="false" customHeight="false" outlineLevel="0" collapsed="false">
      <c r="Q68" s="90" t="s">
        <v>652</v>
      </c>
      <c r="U68" s="57"/>
      <c r="V68" s="58"/>
      <c r="W68" s="59"/>
      <c r="Y68" s="30"/>
    </row>
    <row r="69" customFormat="false" ht="15" hidden="false" customHeight="false" outlineLevel="0" collapsed="false">
      <c r="Q69" s="1" t="s">
        <v>670</v>
      </c>
      <c r="U69" s="57" t="s">
        <v>202</v>
      </c>
      <c r="W69" s="59" t="n">
        <v>0.53</v>
      </c>
      <c r="X69" s="30" t="n">
        <v>55.08</v>
      </c>
      <c r="Y69" s="30" t="n">
        <f aca="false">W69*X69</f>
        <v>29.1924</v>
      </c>
    </row>
    <row r="70" customFormat="false" ht="15" hidden="false" customHeight="false" outlineLevel="0" collapsed="false">
      <c r="Q70" s="1" t="s">
        <v>671</v>
      </c>
      <c r="U70" s="57" t="s">
        <v>202</v>
      </c>
      <c r="W70" s="59" t="n">
        <v>0.52</v>
      </c>
      <c r="X70" s="30" t="n">
        <v>47</v>
      </c>
      <c r="Y70" s="30" t="n">
        <f aca="false">W70*X70</f>
        <v>24.44</v>
      </c>
    </row>
    <row r="71" customFormat="false" ht="15" hidden="false" customHeight="false" outlineLevel="0" collapsed="false">
      <c r="Q71" s="1" t="s">
        <v>305</v>
      </c>
      <c r="U71" s="57" t="s">
        <v>306</v>
      </c>
      <c r="W71" s="59" t="n">
        <v>9.73</v>
      </c>
      <c r="X71" s="30" t="n">
        <v>24.52</v>
      </c>
      <c r="Y71" s="30" t="n">
        <f aca="false">W71*X71</f>
        <v>238.5796</v>
      </c>
    </row>
    <row r="72" customFormat="false" ht="15" hidden="false" customHeight="false" outlineLevel="0" collapsed="false">
      <c r="Q72" s="1" t="s">
        <v>654</v>
      </c>
      <c r="U72" s="57" t="s">
        <v>202</v>
      </c>
      <c r="W72" s="59" t="n">
        <v>0.186</v>
      </c>
      <c r="X72" s="1" t="n">
        <v>6.14</v>
      </c>
      <c r="Y72" s="30" t="n">
        <f aca="false">W72*X72</f>
        <v>1.14204</v>
      </c>
    </row>
    <row r="73" customFormat="false" ht="15" hidden="false" customHeight="false" outlineLevel="0" collapsed="false">
      <c r="Q73" s="1" t="s">
        <v>663</v>
      </c>
      <c r="U73" s="57" t="s">
        <v>437</v>
      </c>
      <c r="W73" s="59" t="n">
        <v>0.2</v>
      </c>
      <c r="X73" s="1" t="n">
        <v>13.93</v>
      </c>
      <c r="Y73" s="30" t="n">
        <f aca="false">W73*X73</f>
        <v>2.786</v>
      </c>
    </row>
    <row r="74" customFormat="false" ht="15" hidden="false" customHeight="false" outlineLevel="0" collapsed="false">
      <c r="U74" s="57"/>
      <c r="W74" s="59"/>
      <c r="X74" s="30"/>
      <c r="Y74" s="89" t="n">
        <f aca="false">SUM(Y69:Y73)</f>
        <v>296.14004</v>
      </c>
    </row>
    <row r="75" customFormat="false" ht="15" hidden="false" customHeight="false" outlineLevel="0" collapsed="false">
      <c r="Q75" s="90" t="s">
        <v>308</v>
      </c>
    </row>
    <row r="76" customFormat="false" ht="15" hidden="false" customHeight="false" outlineLevel="0" collapsed="false">
      <c r="Q76" s="1" t="s">
        <v>309</v>
      </c>
      <c r="U76" s="57" t="s">
        <v>310</v>
      </c>
      <c r="W76" s="59" t="n">
        <v>3</v>
      </c>
      <c r="X76" s="30" t="n">
        <f aca="false">Y67</f>
        <v>76.2327272727273</v>
      </c>
      <c r="Y76" s="30" t="n">
        <f aca="false">W76%*X76</f>
        <v>2.28698181818182</v>
      </c>
    </row>
    <row r="77" customFormat="false" ht="15" hidden="false" customHeight="false" outlineLevel="0" collapsed="false">
      <c r="Q77" s="1" t="s">
        <v>665</v>
      </c>
      <c r="U77" s="57" t="s">
        <v>337</v>
      </c>
      <c r="V77" s="58" t="n">
        <v>1</v>
      </c>
      <c r="W77" s="59" t="n">
        <f aca="false">V77*8/$S$61</f>
        <v>0.363636363636364</v>
      </c>
      <c r="X77" s="30" t="n">
        <v>25.63</v>
      </c>
      <c r="Y77" s="30" t="n">
        <f aca="false">W77*X77</f>
        <v>9.32</v>
      </c>
    </row>
    <row r="78" customFormat="false" ht="15" hidden="false" customHeight="false" outlineLevel="0" collapsed="false">
      <c r="Q78" s="1" t="s">
        <v>687</v>
      </c>
      <c r="U78" s="57" t="s">
        <v>337</v>
      </c>
      <c r="V78" s="58" t="n">
        <v>1</v>
      </c>
      <c r="W78" s="59" t="n">
        <f aca="false">V78*8/$S$61</f>
        <v>0.363636363636364</v>
      </c>
      <c r="X78" s="65" t="n">
        <v>20</v>
      </c>
      <c r="Y78" s="30" t="n">
        <f aca="false">W78*X78</f>
        <v>7.27272727272727</v>
      </c>
    </row>
    <row r="79" customFormat="false" ht="15" hidden="false" customHeight="false" outlineLevel="0" collapsed="false">
      <c r="Q79" s="1" t="s">
        <v>673</v>
      </c>
      <c r="U79" s="57" t="s">
        <v>337</v>
      </c>
      <c r="V79" s="58" t="n">
        <v>0.5</v>
      </c>
      <c r="W79" s="59" t="n">
        <f aca="false">V79*8/$S$61</f>
        <v>0.181818181818182</v>
      </c>
      <c r="X79" s="1" t="n">
        <v>7.07</v>
      </c>
      <c r="Y79" s="30" t="n">
        <f aca="false">W79*X79</f>
        <v>1.28545454545455</v>
      </c>
    </row>
    <row r="80" customFormat="false" ht="15" hidden="false" customHeight="false" outlineLevel="0" collapsed="false">
      <c r="P80" s="62"/>
      <c r="Q80" s="62"/>
      <c r="R80" s="62"/>
      <c r="S80" s="62"/>
      <c r="T80" s="62"/>
      <c r="U80" s="62"/>
      <c r="V80" s="62"/>
      <c r="W80" s="62"/>
      <c r="X80" s="62"/>
      <c r="Y80" s="91" t="n">
        <f aca="false">SUM(Y76:Y79)</f>
        <v>20.1651636363636</v>
      </c>
    </row>
    <row r="82" customFormat="false" ht="15" hidden="false" customHeight="false" outlineLevel="0" collapsed="false">
      <c r="P82" s="85" t="s">
        <v>276</v>
      </c>
      <c r="Q82" s="85"/>
      <c r="R82" s="85" t="s">
        <v>543</v>
      </c>
      <c r="S82" s="85"/>
    </row>
    <row r="83" customFormat="false" ht="15" hidden="false" customHeight="false" outlineLevel="0" collapsed="false">
      <c r="P83" s="85" t="s">
        <v>277</v>
      </c>
      <c r="Q83" s="85" t="s">
        <v>278</v>
      </c>
      <c r="R83" s="87" t="s">
        <v>279</v>
      </c>
      <c r="S83" s="88" t="n">
        <v>35</v>
      </c>
      <c r="T83" s="87" t="s">
        <v>280</v>
      </c>
      <c r="U83" s="88" t="n">
        <f aca="false">S83</f>
        <v>35</v>
      </c>
      <c r="V83" s="85" t="s">
        <v>281</v>
      </c>
      <c r="X83" s="87" t="s">
        <v>132</v>
      </c>
      <c r="Y83" s="89" t="n">
        <f aca="false">Y88+Y93+Y96</f>
        <v>50.7905142857143</v>
      </c>
    </row>
    <row r="84" customFormat="false" ht="15" hidden="false" customHeight="false" outlineLevel="0" collapsed="false">
      <c r="P84" s="85" t="s">
        <v>282</v>
      </c>
      <c r="Q84" s="85" t="s">
        <v>283</v>
      </c>
      <c r="U84" s="87" t="s">
        <v>121</v>
      </c>
      <c r="V84" s="87" t="s">
        <v>284</v>
      </c>
      <c r="W84" s="87" t="s">
        <v>285</v>
      </c>
      <c r="X84" s="87" t="s">
        <v>286</v>
      </c>
      <c r="Y84" s="87" t="s">
        <v>287</v>
      </c>
    </row>
    <row r="85" customFormat="false" ht="15" hidden="false" customHeight="false" outlineLevel="0" collapsed="false">
      <c r="Q85" s="90" t="s">
        <v>288</v>
      </c>
    </row>
    <row r="86" customFormat="false" ht="15" hidden="false" customHeight="false" outlineLevel="0" collapsed="false">
      <c r="Q86" s="1" t="s">
        <v>289</v>
      </c>
      <c r="U86" s="57" t="s">
        <v>290</v>
      </c>
      <c r="V86" s="58" t="n">
        <v>2</v>
      </c>
      <c r="W86" s="59" t="n">
        <f aca="false">V86*8/$S$83</f>
        <v>0.457142857142857</v>
      </c>
      <c r="X86" s="30" t="n">
        <v>28.94</v>
      </c>
      <c r="Y86" s="30" t="n">
        <f aca="false">W86*X86</f>
        <v>13.2297142857143</v>
      </c>
    </row>
    <row r="87" customFormat="false" ht="15" hidden="false" customHeight="false" outlineLevel="0" collapsed="false">
      <c r="Q87" s="1" t="s">
        <v>292</v>
      </c>
      <c r="U87" s="57" t="s">
        <v>290</v>
      </c>
      <c r="V87" s="58" t="n">
        <v>2</v>
      </c>
      <c r="W87" s="59" t="n">
        <f aca="false">V87*8/$S$83</f>
        <v>0.457142857142857</v>
      </c>
      <c r="X87" s="30" t="n">
        <v>21.36</v>
      </c>
      <c r="Y87" s="30" t="n">
        <f aca="false">W87*X87</f>
        <v>9.76457142857143</v>
      </c>
    </row>
    <row r="88" customFormat="false" ht="15" hidden="false" customHeight="false" outlineLevel="0" collapsed="false">
      <c r="U88" s="57"/>
      <c r="V88" s="58"/>
      <c r="W88" s="59"/>
      <c r="X88" s="30"/>
      <c r="Y88" s="89" t="n">
        <f aca="false">SUM(Y86:Y87)</f>
        <v>22.9942857142857</v>
      </c>
    </row>
    <row r="89" customFormat="false" ht="15" hidden="false" customHeight="false" outlineLevel="0" collapsed="false">
      <c r="Q89" s="90" t="s">
        <v>652</v>
      </c>
      <c r="U89" s="57"/>
      <c r="V89" s="58"/>
      <c r="W89" s="59"/>
      <c r="Y89" s="30"/>
    </row>
    <row r="90" customFormat="false" ht="15" hidden="false" customHeight="false" outlineLevel="0" collapsed="false">
      <c r="Q90" s="1" t="s">
        <v>685</v>
      </c>
      <c r="U90" s="57" t="s">
        <v>295</v>
      </c>
      <c r="W90" s="59" t="n">
        <v>0.1</v>
      </c>
      <c r="X90" s="30" t="n">
        <v>2.64</v>
      </c>
      <c r="Y90" s="30" t="n">
        <f aca="false">W90*X90</f>
        <v>0.264</v>
      </c>
    </row>
    <row r="91" customFormat="false" ht="15" hidden="false" customHeight="false" outlineLevel="0" collapsed="false">
      <c r="Q91" s="1" t="s">
        <v>300</v>
      </c>
      <c r="U91" s="57" t="s">
        <v>295</v>
      </c>
      <c r="W91" s="59" t="n">
        <v>0.24</v>
      </c>
      <c r="X91" s="30" t="n">
        <v>5.51</v>
      </c>
      <c r="Y91" s="30" t="n">
        <f aca="false">W91*X91</f>
        <v>1.3224</v>
      </c>
    </row>
    <row r="92" customFormat="false" ht="15" hidden="false" customHeight="false" outlineLevel="0" collapsed="false">
      <c r="Q92" s="1" t="s">
        <v>667</v>
      </c>
      <c r="U92" s="57" t="s">
        <v>304</v>
      </c>
      <c r="W92" s="59" t="n">
        <v>4.4</v>
      </c>
      <c r="X92" s="30" t="n">
        <v>5.8</v>
      </c>
      <c r="Y92" s="30" t="n">
        <f aca="false">W92*X92</f>
        <v>25.52</v>
      </c>
    </row>
    <row r="93" customFormat="false" ht="15" hidden="false" customHeight="false" outlineLevel="0" collapsed="false">
      <c r="U93" s="57"/>
      <c r="W93" s="59"/>
      <c r="X93" s="30"/>
      <c r="Y93" s="89" t="n">
        <f aca="false">SUM(Y90:Y92)</f>
        <v>27.1064</v>
      </c>
    </row>
    <row r="94" customFormat="false" ht="15" hidden="false" customHeight="false" outlineLevel="0" collapsed="false">
      <c r="Q94" s="90" t="s">
        <v>308</v>
      </c>
    </row>
    <row r="95" customFormat="false" ht="15" hidden="false" customHeight="false" outlineLevel="0" collapsed="false">
      <c r="Q95" s="1" t="s">
        <v>309</v>
      </c>
      <c r="U95" s="57" t="s">
        <v>310</v>
      </c>
      <c r="W95" s="59" t="n">
        <v>3</v>
      </c>
      <c r="X95" s="30" t="n">
        <f aca="false">Y88</f>
        <v>22.9942857142857</v>
      </c>
      <c r="Y95" s="30" t="n">
        <f aca="false">W95%*X95</f>
        <v>0.689828571428571</v>
      </c>
    </row>
    <row r="96" customFormat="false" ht="15" hidden="false" customHeight="false" outlineLevel="0" collapsed="false">
      <c r="P96" s="62"/>
      <c r="Q96" s="62"/>
      <c r="R96" s="62"/>
      <c r="S96" s="62"/>
      <c r="T96" s="62"/>
      <c r="U96" s="62"/>
      <c r="V96" s="62"/>
      <c r="W96" s="62"/>
      <c r="X96" s="62"/>
      <c r="Y96" s="91" t="n">
        <f aca="false">SUM(Y95)</f>
        <v>0.689828571428571</v>
      </c>
    </row>
    <row r="98" customFormat="false" ht="15" hidden="false" customHeight="false" outlineLevel="0" collapsed="false">
      <c r="P98" s="85" t="s">
        <v>276</v>
      </c>
      <c r="Q98" s="85"/>
      <c r="R98" s="85" t="s">
        <v>688</v>
      </c>
      <c r="S98" s="85"/>
    </row>
    <row r="99" customFormat="false" ht="15" hidden="false" customHeight="false" outlineLevel="0" collapsed="false">
      <c r="P99" s="85" t="s">
        <v>277</v>
      </c>
      <c r="Q99" s="85" t="s">
        <v>674</v>
      </c>
      <c r="R99" s="87" t="s">
        <v>279</v>
      </c>
      <c r="S99" s="88" t="n">
        <v>250</v>
      </c>
      <c r="T99" s="87" t="s">
        <v>280</v>
      </c>
      <c r="U99" s="88" t="n">
        <f aca="false">S99</f>
        <v>250</v>
      </c>
      <c r="V99" s="85" t="s">
        <v>281</v>
      </c>
      <c r="X99" s="87" t="s">
        <v>295</v>
      </c>
      <c r="Y99" s="89" t="n">
        <f aca="false">Y104+Y108+Y112</f>
        <v>5.5639628445</v>
      </c>
    </row>
    <row r="100" customFormat="false" ht="15" hidden="false" customHeight="false" outlineLevel="0" collapsed="false">
      <c r="P100" s="85" t="s">
        <v>282</v>
      </c>
      <c r="Q100" s="85" t="s">
        <v>283</v>
      </c>
      <c r="U100" s="87" t="s">
        <v>121</v>
      </c>
      <c r="V100" s="87" t="s">
        <v>284</v>
      </c>
      <c r="W100" s="87" t="s">
        <v>285</v>
      </c>
      <c r="X100" s="87" t="s">
        <v>286</v>
      </c>
      <c r="Y100" s="87" t="s">
        <v>287</v>
      </c>
    </row>
    <row r="101" customFormat="false" ht="15" hidden="false" customHeight="false" outlineLevel="0" collapsed="false">
      <c r="Q101" s="90" t="s">
        <v>288</v>
      </c>
      <c r="AE101" s="57"/>
      <c r="AG101" s="59"/>
      <c r="AH101" s="30"/>
    </row>
    <row r="102" customFormat="false" ht="15" hidden="false" customHeight="false" outlineLevel="0" collapsed="false">
      <c r="Q102" s="1" t="s">
        <v>289</v>
      </c>
      <c r="U102" s="57" t="s">
        <v>290</v>
      </c>
      <c r="V102" s="58" t="n">
        <v>1</v>
      </c>
      <c r="W102" s="101" t="n">
        <f aca="false">V102*8/$S$99</f>
        <v>0.032</v>
      </c>
      <c r="X102" s="30" t="n">
        <v>28.94</v>
      </c>
      <c r="Y102" s="30" t="n">
        <f aca="false">W102*X102</f>
        <v>0.92608</v>
      </c>
      <c r="AE102" s="57"/>
      <c r="AG102" s="59"/>
      <c r="AH102" s="30"/>
    </row>
    <row r="103" customFormat="false" ht="15" hidden="false" customHeight="false" outlineLevel="0" collapsed="false">
      <c r="Q103" s="1" t="s">
        <v>675</v>
      </c>
      <c r="U103" s="57" t="s">
        <v>290</v>
      </c>
      <c r="V103" s="58" t="n">
        <v>1</v>
      </c>
      <c r="W103" s="101" t="n">
        <f aca="false">V103*8/$S$99</f>
        <v>0.032</v>
      </c>
      <c r="X103" s="30" t="n">
        <v>23.6</v>
      </c>
      <c r="Y103" s="30" t="n">
        <f aca="false">W103*X103</f>
        <v>0.7552</v>
      </c>
      <c r="AE103" s="57"/>
      <c r="AG103" s="59"/>
      <c r="AH103" s="30"/>
    </row>
    <row r="104" customFormat="false" ht="15" hidden="false" customHeight="false" outlineLevel="0" collapsed="false">
      <c r="U104" s="57"/>
      <c r="V104" s="58"/>
      <c r="Y104" s="126" t="n">
        <f aca="false">SUM(Y102:Y103)</f>
        <v>1.68128</v>
      </c>
      <c r="AE104" s="57"/>
      <c r="AG104" s="59"/>
    </row>
    <row r="105" customFormat="false" ht="15" hidden="false" customHeight="false" outlineLevel="0" collapsed="false">
      <c r="Q105" s="127" t="s">
        <v>293</v>
      </c>
      <c r="U105" s="57"/>
      <c r="V105" s="58"/>
      <c r="W105" s="101"/>
      <c r="AE105" s="57"/>
      <c r="AG105" s="59"/>
    </row>
    <row r="106" customFormat="false" ht="15" hidden="false" customHeight="false" outlineLevel="0" collapsed="false">
      <c r="Q106" s="1" t="s">
        <v>294</v>
      </c>
      <c r="U106" s="57" t="s">
        <v>295</v>
      </c>
      <c r="V106" s="58"/>
      <c r="W106" s="101" t="n">
        <v>0.03</v>
      </c>
      <c r="X106" s="30" t="n">
        <v>2.64</v>
      </c>
      <c r="Y106" s="30" t="n">
        <f aca="false">W106*X106</f>
        <v>0.0792</v>
      </c>
      <c r="AE106" s="57"/>
      <c r="AG106" s="59"/>
    </row>
    <row r="107" customFormat="false" ht="15" hidden="false" customHeight="false" outlineLevel="0" collapsed="false">
      <c r="Q107" s="1" t="s">
        <v>676</v>
      </c>
      <c r="U107" s="57" t="s">
        <v>295</v>
      </c>
      <c r="V107" s="58"/>
      <c r="W107" s="101" t="n">
        <v>1.05</v>
      </c>
      <c r="X107" s="30" t="n">
        <f aca="false">1012.71*3.379/1000</f>
        <v>3.42194709</v>
      </c>
      <c r="Y107" s="30" t="n">
        <f aca="false">W107*X107</f>
        <v>3.5930444445</v>
      </c>
    </row>
    <row r="108" customFormat="false" ht="15" hidden="false" customHeight="false" outlineLevel="0" collapsed="false">
      <c r="U108" s="57"/>
      <c r="V108" s="58"/>
      <c r="Y108" s="126" t="n">
        <f aca="false">SUM(Y106:Y107)</f>
        <v>3.6722444445</v>
      </c>
    </row>
    <row r="109" customFormat="false" ht="15" hidden="false" customHeight="false" outlineLevel="0" collapsed="false">
      <c r="Q109" s="127" t="s">
        <v>317</v>
      </c>
      <c r="U109" s="57"/>
      <c r="V109" s="58"/>
    </row>
    <row r="110" customFormat="false" ht="15" hidden="false" customHeight="false" outlineLevel="0" collapsed="false">
      <c r="Q110" s="1" t="s">
        <v>309</v>
      </c>
      <c r="U110" s="57" t="s">
        <v>310</v>
      </c>
      <c r="W110" s="59" t="n">
        <v>3</v>
      </c>
      <c r="X110" s="30" t="n">
        <f aca="false">Y104</f>
        <v>1.68128</v>
      </c>
      <c r="Y110" s="30" t="n">
        <f aca="false">W110%*X110</f>
        <v>0.0504384</v>
      </c>
    </row>
    <row r="111" customFormat="false" ht="15" hidden="false" customHeight="false" outlineLevel="0" collapsed="false">
      <c r="Q111" s="1" t="s">
        <v>677</v>
      </c>
      <c r="U111" s="57" t="s">
        <v>290</v>
      </c>
      <c r="V111" s="58" t="n">
        <v>1</v>
      </c>
      <c r="W111" s="101" t="n">
        <f aca="false">V111*8/$S$99</f>
        <v>0.032</v>
      </c>
      <c r="X111" s="65" t="n">
        <v>5</v>
      </c>
      <c r="Y111" s="30" t="n">
        <f aca="false">W111*X111</f>
        <v>0.16</v>
      </c>
    </row>
    <row r="112" customFormat="false" ht="15" hidden="false" customHeight="false" outlineLevel="0" collapsed="false">
      <c r="P112" s="62"/>
      <c r="Q112" s="62"/>
      <c r="R112" s="62"/>
      <c r="S112" s="62"/>
      <c r="T112" s="62"/>
      <c r="U112" s="62"/>
      <c r="V112" s="62"/>
      <c r="W112" s="62"/>
      <c r="X112" s="62"/>
      <c r="Y112" s="128" t="n">
        <f aca="false">SUM(Y110:Y111)</f>
        <v>0.2104384</v>
      </c>
    </row>
    <row r="114" customFormat="false" ht="15" hidden="false" customHeight="false" outlineLevel="0" collapsed="false">
      <c r="P114" s="14" t="s">
        <v>276</v>
      </c>
      <c r="Q114" s="14"/>
      <c r="R114" s="214" t="s">
        <v>691</v>
      </c>
      <c r="S114" s="14"/>
    </row>
    <row r="115" customFormat="false" ht="15" hidden="false" customHeight="false" outlineLevel="0" collapsed="false">
      <c r="P115" s="14" t="s">
        <v>277</v>
      </c>
      <c r="Q115" s="14" t="s">
        <v>415</v>
      </c>
      <c r="R115" s="38" t="s">
        <v>279</v>
      </c>
      <c r="S115" s="54" t="n">
        <v>25</v>
      </c>
      <c r="T115" s="38" t="s">
        <v>280</v>
      </c>
      <c r="U115" s="54" t="n">
        <f aca="false">S115</f>
        <v>25</v>
      </c>
      <c r="V115" s="14" t="s">
        <v>281</v>
      </c>
      <c r="X115" s="38" t="s">
        <v>202</v>
      </c>
      <c r="Y115" s="55" t="n">
        <f aca="false">Y123+Y132+Y137</f>
        <v>396.881736</v>
      </c>
    </row>
    <row r="116" customFormat="false" ht="15" hidden="false" customHeight="false" outlineLevel="0" collapsed="false">
      <c r="P116" s="14" t="s">
        <v>282</v>
      </c>
      <c r="Q116" s="14" t="s">
        <v>283</v>
      </c>
      <c r="U116" s="38" t="s">
        <v>121</v>
      </c>
      <c r="V116" s="38" t="s">
        <v>284</v>
      </c>
      <c r="W116" s="38" t="s">
        <v>285</v>
      </c>
      <c r="X116" s="38" t="s">
        <v>286</v>
      </c>
      <c r="Y116" s="38" t="s">
        <v>287</v>
      </c>
    </row>
    <row r="117" customFormat="false" ht="15" hidden="false" customHeight="false" outlineLevel="0" collapsed="false">
      <c r="Q117" s="56" t="s">
        <v>288</v>
      </c>
    </row>
    <row r="118" customFormat="false" ht="15" hidden="false" customHeight="false" outlineLevel="0" collapsed="false">
      <c r="Q118" s="1" t="s">
        <v>649</v>
      </c>
      <c r="U118" s="57" t="s">
        <v>290</v>
      </c>
      <c r="V118" s="58" t="n">
        <v>0.2</v>
      </c>
      <c r="W118" s="59" t="n">
        <f aca="false">V118*8/$S$115</f>
        <v>0.064</v>
      </c>
      <c r="X118" s="215" t="n">
        <v>34.73</v>
      </c>
      <c r="Y118" s="30" t="n">
        <f aca="false">W118*X118</f>
        <v>2.22272</v>
      </c>
    </row>
    <row r="119" customFormat="false" ht="15" hidden="false" customHeight="false" outlineLevel="0" collapsed="false">
      <c r="Q119" s="1" t="s">
        <v>289</v>
      </c>
      <c r="U119" s="57" t="s">
        <v>290</v>
      </c>
      <c r="V119" s="58" t="n">
        <v>2</v>
      </c>
      <c r="W119" s="59" t="n">
        <f aca="false">V119*8/$S$115</f>
        <v>0.64</v>
      </c>
      <c r="X119" s="215" t="n">
        <v>28.94</v>
      </c>
      <c r="Y119" s="30" t="n">
        <f aca="false">W119*X119</f>
        <v>18.5216</v>
      </c>
    </row>
    <row r="120" customFormat="false" ht="15" hidden="false" customHeight="false" outlineLevel="0" collapsed="false">
      <c r="Q120" s="1" t="s">
        <v>675</v>
      </c>
      <c r="U120" s="57" t="s">
        <v>290</v>
      </c>
      <c r="V120" s="58" t="n">
        <v>1</v>
      </c>
      <c r="W120" s="59" t="n">
        <f aca="false">V120*8/$S$115</f>
        <v>0.32</v>
      </c>
      <c r="X120" s="1" t="n">
        <v>23.6</v>
      </c>
      <c r="Y120" s="30" t="n">
        <f aca="false">W120*X120</f>
        <v>7.552</v>
      </c>
    </row>
    <row r="121" customFormat="false" ht="15" hidden="false" customHeight="false" outlineLevel="0" collapsed="false">
      <c r="Q121" s="1" t="s">
        <v>292</v>
      </c>
      <c r="U121" s="57" t="s">
        <v>290</v>
      </c>
      <c r="V121" s="58" t="n">
        <v>7</v>
      </c>
      <c r="W121" s="59" t="n">
        <f aca="false">V121*8/$S$115</f>
        <v>2.24</v>
      </c>
      <c r="X121" s="1" t="n">
        <v>21.36</v>
      </c>
      <c r="Y121" s="30" t="n">
        <f aca="false">W121*X121</f>
        <v>47.8464</v>
      </c>
    </row>
    <row r="122" customFormat="false" ht="15" hidden="false" customHeight="false" outlineLevel="0" collapsed="false">
      <c r="Q122" s="1" t="s">
        <v>1358</v>
      </c>
      <c r="U122" s="57" t="s">
        <v>290</v>
      </c>
      <c r="V122" s="58" t="n">
        <v>1</v>
      </c>
      <c r="W122" s="59" t="n">
        <f aca="false">V122*8/$S$115</f>
        <v>0.32</v>
      </c>
      <c r="X122" s="1" t="n">
        <v>29.94</v>
      </c>
      <c r="Y122" s="30" t="n">
        <f aca="false">W122*X122</f>
        <v>9.5808</v>
      </c>
    </row>
    <row r="123" customFormat="false" ht="15" hidden="false" customHeight="false" outlineLevel="0" collapsed="false">
      <c r="U123" s="57"/>
      <c r="Y123" s="55" t="n">
        <f aca="false">SUM(Y118:Y122)</f>
        <v>85.72352</v>
      </c>
    </row>
    <row r="124" customFormat="false" ht="15" hidden="false" customHeight="false" outlineLevel="0" collapsed="false">
      <c r="Q124" s="56" t="s">
        <v>652</v>
      </c>
    </row>
    <row r="125" customFormat="false" ht="15" hidden="false" customHeight="false" outlineLevel="0" collapsed="false">
      <c r="Q125" s="1" t="s">
        <v>692</v>
      </c>
      <c r="U125" s="57" t="s">
        <v>437</v>
      </c>
      <c r="W125" s="59" t="n">
        <v>0.01</v>
      </c>
      <c r="X125" s="30" t="n">
        <v>38.22</v>
      </c>
      <c r="Y125" s="30" t="n">
        <f aca="false">W125*X125</f>
        <v>0.3822</v>
      </c>
    </row>
    <row r="126" customFormat="false" ht="15" hidden="false" customHeight="false" outlineLevel="0" collapsed="false">
      <c r="Q126" s="1" t="s">
        <v>693</v>
      </c>
      <c r="U126" s="57" t="s">
        <v>694</v>
      </c>
      <c r="W126" s="59" t="n">
        <v>0.008</v>
      </c>
      <c r="X126" s="30" t="n">
        <v>12.63</v>
      </c>
      <c r="Y126" s="30" t="n">
        <f aca="false">W126*X126</f>
        <v>0.10104</v>
      </c>
    </row>
    <row r="127" customFormat="false" ht="15" hidden="false" customHeight="false" outlineLevel="0" collapsed="false">
      <c r="Q127" s="1" t="s">
        <v>695</v>
      </c>
      <c r="U127" s="57" t="s">
        <v>437</v>
      </c>
      <c r="W127" s="59" t="n">
        <v>0.12</v>
      </c>
      <c r="X127" s="30" t="n">
        <v>13.93</v>
      </c>
      <c r="Y127" s="30" t="n">
        <f aca="false">W127*X127</f>
        <v>1.6716</v>
      </c>
    </row>
    <row r="128" customFormat="false" ht="15" hidden="false" customHeight="false" outlineLevel="0" collapsed="false">
      <c r="Q128" s="1" t="s">
        <v>696</v>
      </c>
      <c r="U128" s="57" t="s">
        <v>202</v>
      </c>
      <c r="W128" s="59" t="n">
        <v>0.8</v>
      </c>
      <c r="X128" s="30" t="n">
        <v>55.08</v>
      </c>
      <c r="Y128" s="30" t="n">
        <f aca="false">W128*X128</f>
        <v>44.064</v>
      </c>
    </row>
    <row r="129" customFormat="false" ht="15" hidden="false" customHeight="false" outlineLevel="0" collapsed="false">
      <c r="Q129" s="1" t="s">
        <v>697</v>
      </c>
      <c r="U129" s="57" t="s">
        <v>202</v>
      </c>
      <c r="W129" s="59" t="n">
        <v>0.5</v>
      </c>
      <c r="X129" s="30" t="n">
        <v>47</v>
      </c>
      <c r="Y129" s="30" t="n">
        <f aca="false">W129*X129</f>
        <v>23.5</v>
      </c>
    </row>
    <row r="130" customFormat="false" ht="15" hidden="false" customHeight="false" outlineLevel="0" collapsed="false">
      <c r="Q130" s="1" t="s">
        <v>662</v>
      </c>
      <c r="U130" s="57" t="s">
        <v>202</v>
      </c>
      <c r="W130" s="59" t="n">
        <v>0.18</v>
      </c>
      <c r="X130" s="30" t="n">
        <v>6.14</v>
      </c>
      <c r="Y130" s="30" t="n">
        <f aca="false">W130*X130</f>
        <v>1.1052</v>
      </c>
    </row>
    <row r="131" customFormat="false" ht="15" hidden="false" customHeight="false" outlineLevel="0" collapsed="false">
      <c r="Q131" s="1" t="s">
        <v>698</v>
      </c>
      <c r="U131" s="57" t="s">
        <v>306</v>
      </c>
      <c r="W131" s="59" t="n">
        <v>9.2</v>
      </c>
      <c r="X131" s="30" t="n">
        <v>24.52</v>
      </c>
      <c r="Y131" s="30" t="n">
        <f aca="false">W131*X131</f>
        <v>225.584</v>
      </c>
    </row>
    <row r="132" customFormat="false" ht="15" hidden="false" customHeight="false" outlineLevel="0" collapsed="false">
      <c r="U132" s="57"/>
      <c r="W132" s="59"/>
      <c r="X132" s="30"/>
      <c r="Y132" s="55" t="n">
        <f aca="false">SUM(Y125:Y131)</f>
        <v>296.40804</v>
      </c>
    </row>
    <row r="133" customFormat="false" ht="15" hidden="false" customHeight="false" outlineLevel="0" collapsed="false">
      <c r="Q133" s="56" t="s">
        <v>308</v>
      </c>
    </row>
    <row r="134" customFormat="false" ht="15" hidden="false" customHeight="false" outlineLevel="0" collapsed="false">
      <c r="Q134" s="1" t="s">
        <v>699</v>
      </c>
      <c r="U134" s="57" t="s">
        <v>337</v>
      </c>
      <c r="V134" s="58" t="n">
        <v>1</v>
      </c>
      <c r="W134" s="59" t="n">
        <f aca="false">V134*8/$S$115</f>
        <v>0.32</v>
      </c>
      <c r="X134" s="30" t="n">
        <v>25.63</v>
      </c>
      <c r="Y134" s="30" t="n">
        <f aca="false">W134*X134</f>
        <v>8.2016</v>
      </c>
    </row>
    <row r="135" customFormat="false" ht="15" hidden="false" customHeight="false" outlineLevel="0" collapsed="false">
      <c r="Q135" s="1" t="s">
        <v>700</v>
      </c>
      <c r="U135" s="57" t="s">
        <v>337</v>
      </c>
      <c r="V135" s="58" t="n">
        <v>1</v>
      </c>
      <c r="W135" s="59" t="n">
        <f aca="false">V135*8/$S$115</f>
        <v>0.32</v>
      </c>
      <c r="X135" s="30" t="n">
        <v>7.07</v>
      </c>
      <c r="Y135" s="30" t="n">
        <f aca="false">W135*X135</f>
        <v>2.2624</v>
      </c>
    </row>
    <row r="136" customFormat="false" ht="15" hidden="false" customHeight="false" outlineLevel="0" collapsed="false">
      <c r="Q136" s="1" t="s">
        <v>309</v>
      </c>
      <c r="U136" s="57" t="s">
        <v>310</v>
      </c>
      <c r="W136" s="59" t="n">
        <v>5</v>
      </c>
      <c r="X136" s="30" t="n">
        <f aca="false">Y123</f>
        <v>85.72352</v>
      </c>
      <c r="Y136" s="30" t="n">
        <f aca="false">W136%*X136</f>
        <v>4.286176</v>
      </c>
    </row>
    <row r="137" customFormat="false" ht="15" hidden="false" customHeight="false" outlineLevel="0" collapsed="false">
      <c r="P137" s="62"/>
      <c r="Q137" s="62"/>
      <c r="R137" s="62"/>
      <c r="S137" s="62"/>
      <c r="T137" s="62"/>
      <c r="U137" s="62"/>
      <c r="V137" s="62"/>
      <c r="W137" s="62"/>
      <c r="X137" s="83"/>
      <c r="Y137" s="63" t="n">
        <f aca="false">SUM(Y134:Y136)</f>
        <v>14.750176</v>
      </c>
    </row>
    <row r="139" customFormat="false" ht="15" hidden="false" customHeight="false" outlineLevel="0" collapsed="false">
      <c r="P139" s="14" t="s">
        <v>276</v>
      </c>
      <c r="Q139" s="14"/>
      <c r="R139" s="14" t="s">
        <v>701</v>
      </c>
      <c r="S139" s="14"/>
      <c r="AE139" s="57"/>
      <c r="AF139" s="58"/>
      <c r="AG139" s="101"/>
    </row>
    <row r="140" customFormat="false" ht="15" hidden="false" customHeight="false" outlineLevel="0" collapsed="false">
      <c r="P140" s="14" t="s">
        <v>277</v>
      </c>
      <c r="Q140" s="14" t="s">
        <v>278</v>
      </c>
      <c r="R140" s="38" t="s">
        <v>279</v>
      </c>
      <c r="S140" s="54" t="n">
        <v>35</v>
      </c>
      <c r="T140" s="38" t="s">
        <v>280</v>
      </c>
      <c r="U140" s="54" t="n">
        <f aca="false">S140</f>
        <v>35</v>
      </c>
      <c r="V140" s="14" t="s">
        <v>281</v>
      </c>
      <c r="X140" s="38" t="s">
        <v>132</v>
      </c>
      <c r="Y140" s="55" t="n">
        <f aca="false">Y146+Y151+Y154</f>
        <v>43.4766</v>
      </c>
      <c r="AB140" s="30"/>
      <c r="AE140" s="57"/>
      <c r="AF140" s="58"/>
      <c r="AG140" s="101"/>
    </row>
    <row r="141" customFormat="false" ht="15" hidden="false" customHeight="false" outlineLevel="0" collapsed="false">
      <c r="P141" s="14" t="s">
        <v>282</v>
      </c>
      <c r="Q141" s="14" t="s">
        <v>283</v>
      </c>
      <c r="U141" s="38" t="s">
        <v>121</v>
      </c>
      <c r="V141" s="38" t="s">
        <v>284</v>
      </c>
      <c r="W141" s="38" t="s">
        <v>285</v>
      </c>
      <c r="X141" s="38" t="s">
        <v>286</v>
      </c>
      <c r="Y141" s="38" t="s">
        <v>287</v>
      </c>
      <c r="AB141" s="30"/>
    </row>
    <row r="142" customFormat="false" ht="15" hidden="false" customHeight="false" outlineLevel="0" collapsed="false">
      <c r="Q142" s="56" t="s">
        <v>288</v>
      </c>
    </row>
    <row r="143" customFormat="false" ht="15" hidden="false" customHeight="false" outlineLevel="0" collapsed="false">
      <c r="Q143" s="1" t="s">
        <v>289</v>
      </c>
      <c r="U143" s="57" t="s">
        <v>290</v>
      </c>
      <c r="V143" s="58" t="n">
        <v>2</v>
      </c>
      <c r="W143" s="59" t="n">
        <f aca="false">V143*8/$S$140</f>
        <v>0.457142857142857</v>
      </c>
      <c r="X143" s="30" t="n">
        <v>28.94</v>
      </c>
      <c r="Y143" s="30" t="n">
        <f aca="false">W143*X143</f>
        <v>13.2297142857143</v>
      </c>
    </row>
    <row r="144" customFormat="false" ht="15" hidden="false" customHeight="false" outlineLevel="0" collapsed="false">
      <c r="Q144" s="1" t="s">
        <v>675</v>
      </c>
      <c r="U144" s="57" t="s">
        <v>290</v>
      </c>
      <c r="V144" s="58" t="n">
        <v>1</v>
      </c>
      <c r="W144" s="59" t="n">
        <f aca="false">V144*8/$S$140</f>
        <v>0.228571428571429</v>
      </c>
      <c r="X144" s="1" t="n">
        <v>23.6</v>
      </c>
      <c r="Y144" s="30" t="n">
        <f aca="false">W144*X144</f>
        <v>5.39428571428571</v>
      </c>
    </row>
    <row r="145" customFormat="false" ht="15" hidden="false" customHeight="false" outlineLevel="0" collapsed="false">
      <c r="Q145" s="1" t="s">
        <v>292</v>
      </c>
      <c r="U145" s="57" t="s">
        <v>290</v>
      </c>
      <c r="V145" s="58" t="n">
        <v>1</v>
      </c>
      <c r="W145" s="59" t="n">
        <f aca="false">V145*8/$S$140</f>
        <v>0.228571428571429</v>
      </c>
      <c r="X145" s="1" t="n">
        <v>21.36</v>
      </c>
      <c r="Y145" s="30" t="n">
        <f aca="false">W145*X145</f>
        <v>4.88228571428571</v>
      </c>
    </row>
    <row r="146" customFormat="false" ht="15" hidden="false" customHeight="false" outlineLevel="0" collapsed="false">
      <c r="U146" s="57"/>
      <c r="Y146" s="55" t="n">
        <f aca="false">SUM(Y143:Y145)</f>
        <v>23.5062857142857</v>
      </c>
    </row>
    <row r="147" customFormat="false" ht="15" hidden="false" customHeight="false" outlineLevel="0" collapsed="false">
      <c r="Q147" s="56" t="s">
        <v>652</v>
      </c>
    </row>
    <row r="148" customFormat="false" ht="15" hidden="false" customHeight="false" outlineLevel="0" collapsed="false">
      <c r="Q148" s="1" t="s">
        <v>685</v>
      </c>
      <c r="U148" s="57" t="s">
        <v>295</v>
      </c>
      <c r="W148" s="59" t="n">
        <v>0.1</v>
      </c>
      <c r="X148" s="30" t="n">
        <v>2.64</v>
      </c>
      <c r="Y148" s="30" t="n">
        <f aca="false">W148*X148</f>
        <v>0.264</v>
      </c>
    </row>
    <row r="149" customFormat="false" ht="15" hidden="false" customHeight="false" outlineLevel="0" collapsed="false">
      <c r="Q149" s="1" t="s">
        <v>300</v>
      </c>
      <c r="U149" s="57" t="s">
        <v>295</v>
      </c>
      <c r="W149" s="59" t="n">
        <v>0.1</v>
      </c>
      <c r="X149" s="30" t="n">
        <v>5.51</v>
      </c>
      <c r="Y149" s="30" t="n">
        <f aca="false">W149*X149</f>
        <v>0.551</v>
      </c>
    </row>
    <row r="150" customFormat="false" ht="15" hidden="false" customHeight="false" outlineLevel="0" collapsed="false">
      <c r="Q150" s="1" t="s">
        <v>667</v>
      </c>
      <c r="U150" s="57" t="s">
        <v>295</v>
      </c>
      <c r="W150" s="59" t="n">
        <v>3.1</v>
      </c>
      <c r="X150" s="30" t="n">
        <v>5.8</v>
      </c>
      <c r="Y150" s="30" t="n">
        <f aca="false">W150*X150</f>
        <v>17.98</v>
      </c>
    </row>
    <row r="151" customFormat="false" ht="15" hidden="false" customHeight="false" outlineLevel="0" collapsed="false">
      <c r="Y151" s="55" t="n">
        <f aca="false">SUM(Y148:Y150)</f>
        <v>18.795</v>
      </c>
    </row>
    <row r="152" customFormat="false" ht="15" hidden="false" customHeight="false" outlineLevel="0" collapsed="false">
      <c r="Q152" s="56" t="s">
        <v>308</v>
      </c>
    </row>
    <row r="153" customFormat="false" ht="15" hidden="false" customHeight="false" outlineLevel="0" collapsed="false">
      <c r="Q153" s="1" t="s">
        <v>309</v>
      </c>
      <c r="U153" s="57" t="s">
        <v>310</v>
      </c>
      <c r="W153" s="59" t="n">
        <v>5</v>
      </c>
      <c r="X153" s="30" t="n">
        <f aca="false">Y146</f>
        <v>23.5062857142857</v>
      </c>
      <c r="Y153" s="30" t="n">
        <f aca="false">W153%*X153</f>
        <v>1.17531428571429</v>
      </c>
    </row>
    <row r="154" customFormat="false" ht="15" hidden="false" customHeight="false" outlineLevel="0" collapsed="false">
      <c r="P154" s="62"/>
      <c r="Q154" s="62"/>
      <c r="R154" s="62"/>
      <c r="S154" s="62"/>
      <c r="T154" s="62"/>
      <c r="U154" s="62"/>
      <c r="V154" s="62"/>
      <c r="W154" s="62"/>
      <c r="X154" s="62"/>
      <c r="Y154" s="63" t="n">
        <f aca="false">SUM(Y153)</f>
        <v>1.17531428571429</v>
      </c>
    </row>
    <row r="156" customFormat="false" ht="15" hidden="false" customHeight="false" outlineLevel="0" collapsed="false">
      <c r="P156" s="216" t="s">
        <v>276</v>
      </c>
      <c r="Q156" s="216"/>
      <c r="R156" s="85" t="s">
        <v>561</v>
      </c>
    </row>
    <row r="157" customFormat="false" ht="15" hidden="false" customHeight="false" outlineLevel="0" collapsed="false">
      <c r="P157" s="216" t="s">
        <v>277</v>
      </c>
      <c r="Q157" s="216" t="s">
        <v>702</v>
      </c>
      <c r="R157" s="217" t="s">
        <v>279</v>
      </c>
      <c r="S157" s="218" t="n">
        <v>250</v>
      </c>
      <c r="T157" s="217" t="s">
        <v>280</v>
      </c>
      <c r="U157" s="218" t="n">
        <f aca="false">S157</f>
        <v>250</v>
      </c>
      <c r="V157" s="216" t="s">
        <v>281</v>
      </c>
      <c r="X157" s="217" t="s">
        <v>703</v>
      </c>
      <c r="Y157" s="126" t="n">
        <f aca="false">Y163+Y167+Y170</f>
        <v>5.4833634845</v>
      </c>
    </row>
    <row r="158" customFormat="false" ht="15" hidden="false" customHeight="false" outlineLevel="0" collapsed="false">
      <c r="P158" s="216" t="s">
        <v>282</v>
      </c>
      <c r="Q158" s="216" t="s">
        <v>283</v>
      </c>
      <c r="U158" s="217" t="s">
        <v>121</v>
      </c>
      <c r="V158" s="217" t="s">
        <v>284</v>
      </c>
      <c r="W158" s="217" t="s">
        <v>285</v>
      </c>
      <c r="X158" s="217" t="s">
        <v>286</v>
      </c>
      <c r="Y158" s="217" t="s">
        <v>287</v>
      </c>
    </row>
    <row r="159" customFormat="false" ht="15" hidden="false" customHeight="false" outlineLevel="0" collapsed="false">
      <c r="Q159" s="127" t="s">
        <v>288</v>
      </c>
      <c r="V159" s="58"/>
    </row>
    <row r="160" customFormat="false" ht="15" hidden="false" customHeight="false" outlineLevel="0" collapsed="false">
      <c r="Q160" s="1" t="s">
        <v>289</v>
      </c>
      <c r="U160" s="57" t="s">
        <v>290</v>
      </c>
      <c r="V160" s="58" t="n">
        <v>1</v>
      </c>
      <c r="W160" s="101" t="n">
        <f aca="false">V160*8/$S$157</f>
        <v>0.032</v>
      </c>
      <c r="X160" s="215" t="n">
        <v>29.99</v>
      </c>
      <c r="Y160" s="30" t="n">
        <f aca="false">W160*X160</f>
        <v>0.95968</v>
      </c>
    </row>
    <row r="161" customFormat="false" ht="15" hidden="false" customHeight="false" outlineLevel="0" collapsed="false">
      <c r="Q161" s="1" t="s">
        <v>675</v>
      </c>
      <c r="U161" s="57" t="s">
        <v>290</v>
      </c>
      <c r="V161" s="58" t="n">
        <v>1</v>
      </c>
      <c r="W161" s="101" t="n">
        <f aca="false">V161*8/$S$157</f>
        <v>0.032</v>
      </c>
      <c r="X161" s="1" t="n">
        <v>21.36</v>
      </c>
      <c r="Y161" s="30" t="n">
        <f aca="false">W161*X161</f>
        <v>0.68352</v>
      </c>
    </row>
    <row r="162" customFormat="false" ht="15" hidden="false" customHeight="false" outlineLevel="0" collapsed="false">
      <c r="Q162" s="1" t="s">
        <v>649</v>
      </c>
      <c r="U162" s="57" t="s">
        <v>290</v>
      </c>
      <c r="V162" s="58" t="n">
        <v>0.1</v>
      </c>
      <c r="W162" s="101" t="n">
        <f aca="false">V162*8/$S$157</f>
        <v>0.0032</v>
      </c>
      <c r="X162" s="215" t="n">
        <v>35.99</v>
      </c>
      <c r="Y162" s="30" t="n">
        <f aca="false">W162*X162</f>
        <v>0.115168</v>
      </c>
    </row>
    <row r="163" customFormat="false" ht="15" hidden="false" customHeight="false" outlineLevel="0" collapsed="false">
      <c r="U163" s="57"/>
      <c r="V163" s="58"/>
      <c r="Y163" s="126" t="n">
        <f aca="false">SUM(Y160:Y162)</f>
        <v>1.758368</v>
      </c>
    </row>
    <row r="164" customFormat="false" ht="15" hidden="false" customHeight="false" outlineLevel="0" collapsed="false">
      <c r="Q164" s="127" t="s">
        <v>293</v>
      </c>
      <c r="U164" s="57"/>
      <c r="V164" s="58"/>
      <c r="W164" s="101"/>
    </row>
    <row r="165" customFormat="false" ht="15" hidden="false" customHeight="false" outlineLevel="0" collapsed="false">
      <c r="Q165" s="1" t="s">
        <v>294</v>
      </c>
      <c r="U165" s="57" t="s">
        <v>295</v>
      </c>
      <c r="V165" s="58"/>
      <c r="W165" s="101" t="n">
        <v>0.03</v>
      </c>
      <c r="X165" s="30" t="n">
        <v>2.64</v>
      </c>
      <c r="Y165" s="30" t="n">
        <f aca="false">W165*X165</f>
        <v>0.0792</v>
      </c>
    </row>
    <row r="166" customFormat="false" ht="15" hidden="false" customHeight="false" outlineLevel="0" collapsed="false">
      <c r="Q166" s="1" t="s">
        <v>676</v>
      </c>
      <c r="U166" s="57" t="s">
        <v>295</v>
      </c>
      <c r="V166" s="58"/>
      <c r="W166" s="101" t="n">
        <v>1.05</v>
      </c>
      <c r="X166" s="30" t="n">
        <f aca="false">1012.71*3.379/1000</f>
        <v>3.42194709</v>
      </c>
      <c r="Y166" s="30" t="n">
        <f aca="false">W166*X166</f>
        <v>3.5930444445</v>
      </c>
    </row>
    <row r="167" customFormat="false" ht="15" hidden="false" customHeight="false" outlineLevel="0" collapsed="false">
      <c r="U167" s="57"/>
      <c r="V167" s="58"/>
      <c r="Y167" s="126" t="n">
        <f aca="false">SUM(Y165:Y166)</f>
        <v>3.6722444445</v>
      </c>
    </row>
    <row r="168" customFormat="false" ht="15" hidden="false" customHeight="false" outlineLevel="0" collapsed="false">
      <c r="Q168" s="127" t="s">
        <v>317</v>
      </c>
      <c r="U168" s="57"/>
      <c r="V168" s="58"/>
    </row>
    <row r="169" customFormat="false" ht="15" hidden="false" customHeight="false" outlineLevel="0" collapsed="false">
      <c r="Q169" s="1" t="s">
        <v>309</v>
      </c>
      <c r="U169" s="57" t="s">
        <v>310</v>
      </c>
      <c r="W169" s="59" t="n">
        <v>3</v>
      </c>
      <c r="X169" s="30" t="n">
        <f aca="false">Y163</f>
        <v>1.758368</v>
      </c>
      <c r="Y169" s="30" t="n">
        <f aca="false">W169%*X169</f>
        <v>0.05275104</v>
      </c>
    </row>
    <row r="170" customFormat="false" ht="15" hidden="false" customHeight="false" outlineLevel="0" collapsed="false">
      <c r="P170" s="62"/>
      <c r="Q170" s="62"/>
      <c r="R170" s="62"/>
      <c r="S170" s="62"/>
      <c r="T170" s="62"/>
      <c r="U170" s="62"/>
      <c r="V170" s="62"/>
      <c r="W170" s="62"/>
      <c r="X170" s="62"/>
      <c r="Y170" s="128" t="n">
        <f aca="false">SUM(Y169:Y169)</f>
        <v>0.05275104</v>
      </c>
    </row>
    <row r="172" customFormat="false" ht="15" hidden="false" customHeight="false" outlineLevel="0" collapsed="false">
      <c r="P172" s="216" t="s">
        <v>276</v>
      </c>
      <c r="Q172" s="216"/>
      <c r="R172" s="85" t="s">
        <v>563</v>
      </c>
    </row>
    <row r="173" customFormat="false" ht="15" hidden="false" customHeight="false" outlineLevel="0" collapsed="false">
      <c r="P173" s="216" t="s">
        <v>277</v>
      </c>
      <c r="Q173" s="216" t="s">
        <v>704</v>
      </c>
      <c r="R173" s="217" t="s">
        <v>279</v>
      </c>
      <c r="S173" s="218" t="n">
        <v>1600</v>
      </c>
      <c r="T173" s="217" t="s">
        <v>280</v>
      </c>
      <c r="U173" s="218" t="n">
        <f aca="false">S173</f>
        <v>1600</v>
      </c>
      <c r="V173" s="216" t="s">
        <v>281</v>
      </c>
      <c r="X173" s="217" t="s">
        <v>148</v>
      </c>
      <c r="Y173" s="126" t="n">
        <f aca="false">Y179+Y183+Y186</f>
        <v>2.715605</v>
      </c>
    </row>
    <row r="174" customFormat="false" ht="15" hidden="false" customHeight="false" outlineLevel="0" collapsed="false">
      <c r="P174" s="216" t="s">
        <v>282</v>
      </c>
      <c r="Q174" s="216" t="s">
        <v>283</v>
      </c>
      <c r="U174" s="217" t="s">
        <v>121</v>
      </c>
      <c r="V174" s="217" t="s">
        <v>284</v>
      </c>
      <c r="W174" s="217" t="s">
        <v>285</v>
      </c>
      <c r="X174" s="217" t="s">
        <v>286</v>
      </c>
      <c r="Y174" s="217" t="s">
        <v>287</v>
      </c>
    </row>
    <row r="175" customFormat="false" ht="15" hidden="false" customHeight="false" outlineLevel="0" collapsed="false">
      <c r="Q175" s="127" t="s">
        <v>288</v>
      </c>
      <c r="V175" s="58"/>
    </row>
    <row r="176" customFormat="false" ht="15" hidden="false" customHeight="false" outlineLevel="0" collapsed="false">
      <c r="Q176" s="1" t="s">
        <v>289</v>
      </c>
      <c r="U176" s="57" t="s">
        <v>290</v>
      </c>
      <c r="V176" s="58" t="n">
        <v>1</v>
      </c>
      <c r="W176" s="59" t="n">
        <f aca="false">V176*8/$S$173</f>
        <v>0.005</v>
      </c>
      <c r="X176" s="1" t="n">
        <v>28.94</v>
      </c>
      <c r="Y176" s="30" t="n">
        <f aca="false">W176*X176</f>
        <v>0.1447</v>
      </c>
    </row>
    <row r="177" customFormat="false" ht="15" hidden="false" customHeight="false" outlineLevel="0" collapsed="false">
      <c r="Q177" s="1" t="s">
        <v>675</v>
      </c>
      <c r="U177" s="57" t="s">
        <v>290</v>
      </c>
      <c r="V177" s="58" t="n">
        <v>1</v>
      </c>
      <c r="W177" s="59" t="n">
        <f aca="false">V177*8/$S$173</f>
        <v>0.005</v>
      </c>
      <c r="X177" s="1" t="n">
        <v>23.6</v>
      </c>
      <c r="Y177" s="30" t="n">
        <f aca="false">W177*X177</f>
        <v>0.118</v>
      </c>
    </row>
    <row r="178" customFormat="false" ht="15" hidden="false" customHeight="false" outlineLevel="0" collapsed="false">
      <c r="Q178" s="1" t="s">
        <v>292</v>
      </c>
      <c r="U178" s="57" t="s">
        <v>290</v>
      </c>
      <c r="V178" s="58" t="n">
        <v>6</v>
      </c>
      <c r="W178" s="59" t="n">
        <f aca="false">V178*8/$S$173</f>
        <v>0.03</v>
      </c>
      <c r="X178" s="1" t="n">
        <v>21.36</v>
      </c>
      <c r="Y178" s="30" t="n">
        <f aca="false">W178*X178</f>
        <v>0.6408</v>
      </c>
    </row>
    <row r="179" customFormat="false" ht="15" hidden="false" customHeight="false" outlineLevel="0" collapsed="false">
      <c r="U179" s="57"/>
      <c r="V179" s="58"/>
      <c r="Y179" s="126" t="n">
        <f aca="false">SUM(Y176:Y178)</f>
        <v>0.9035</v>
      </c>
    </row>
    <row r="180" customFormat="false" ht="15" hidden="false" customHeight="false" outlineLevel="0" collapsed="false">
      <c r="Q180" s="127" t="s">
        <v>293</v>
      </c>
      <c r="U180" s="57"/>
      <c r="V180" s="58"/>
      <c r="W180" s="101"/>
    </row>
    <row r="181" customFormat="false" ht="15" hidden="false" customHeight="false" outlineLevel="0" collapsed="false">
      <c r="Q181" s="1" t="s">
        <v>705</v>
      </c>
      <c r="U181" s="57" t="s">
        <v>148</v>
      </c>
      <c r="V181" s="58"/>
      <c r="W181" s="101" t="n">
        <v>1.05</v>
      </c>
      <c r="X181" s="30" t="n">
        <v>1.7</v>
      </c>
      <c r="Y181" s="30" t="n">
        <f aca="false">W181*X181</f>
        <v>1.785</v>
      </c>
    </row>
    <row r="182" customFormat="false" ht="15" hidden="false" customHeight="false" outlineLevel="0" collapsed="false">
      <c r="U182" s="57"/>
      <c r="V182" s="58"/>
      <c r="W182" s="101"/>
      <c r="X182" s="30"/>
      <c r="Y182" s="30"/>
    </row>
    <row r="183" customFormat="false" ht="15" hidden="false" customHeight="false" outlineLevel="0" collapsed="false">
      <c r="U183" s="57"/>
      <c r="V183" s="58"/>
      <c r="Y183" s="126" t="n">
        <f aca="false">SUM(Y181:Y182)</f>
        <v>1.785</v>
      </c>
    </row>
    <row r="184" customFormat="false" ht="15" hidden="false" customHeight="false" outlineLevel="0" collapsed="false">
      <c r="Q184" s="127" t="s">
        <v>317</v>
      </c>
      <c r="U184" s="57"/>
      <c r="V184" s="58"/>
    </row>
    <row r="185" customFormat="false" ht="15" hidden="false" customHeight="false" outlineLevel="0" collapsed="false">
      <c r="Q185" s="1" t="s">
        <v>309</v>
      </c>
      <c r="U185" s="57" t="s">
        <v>310</v>
      </c>
      <c r="W185" s="59" t="n">
        <v>3</v>
      </c>
      <c r="X185" s="30" t="n">
        <f aca="false">Y179</f>
        <v>0.9035</v>
      </c>
      <c r="Y185" s="30" t="n">
        <f aca="false">W185%*X185</f>
        <v>0.027105</v>
      </c>
    </row>
    <row r="186" customFormat="false" ht="15" hidden="false" customHeight="false" outlineLevel="0" collapsed="false">
      <c r="P186" s="62"/>
      <c r="Q186" s="62"/>
      <c r="R186" s="62"/>
      <c r="S186" s="62"/>
      <c r="T186" s="62"/>
      <c r="U186" s="62"/>
      <c r="V186" s="62"/>
      <c r="W186" s="62"/>
      <c r="X186" s="62"/>
      <c r="Y186" s="128" t="n">
        <f aca="false">SUM(Y185:Y185)</f>
        <v>0.027105</v>
      </c>
    </row>
    <row r="188" customFormat="false" ht="15" hidden="false" customHeight="false" outlineLevel="0" collapsed="false">
      <c r="P188" s="85" t="s">
        <v>276</v>
      </c>
      <c r="Q188" s="85"/>
      <c r="R188" s="85" t="s">
        <v>576</v>
      </c>
      <c r="S188" s="85"/>
    </row>
    <row r="189" customFormat="false" ht="15" hidden="false" customHeight="false" outlineLevel="0" collapsed="false">
      <c r="P189" s="85" t="s">
        <v>277</v>
      </c>
      <c r="Q189" s="85" t="s">
        <v>415</v>
      </c>
      <c r="R189" s="87" t="s">
        <v>279</v>
      </c>
      <c r="S189" s="88" t="n">
        <v>15</v>
      </c>
      <c r="T189" s="87" t="s">
        <v>280</v>
      </c>
      <c r="U189" s="88" t="n">
        <f aca="false">S189</f>
        <v>15</v>
      </c>
      <c r="V189" s="85" t="s">
        <v>281</v>
      </c>
      <c r="X189" s="87" t="s">
        <v>202</v>
      </c>
      <c r="Y189" s="89" t="n">
        <f aca="false">Y195+Y202+Y207</f>
        <v>402.684786666667</v>
      </c>
    </row>
    <row r="190" customFormat="false" ht="15" hidden="false" customHeight="false" outlineLevel="0" collapsed="false">
      <c r="P190" s="85" t="s">
        <v>282</v>
      </c>
      <c r="Q190" s="85" t="s">
        <v>283</v>
      </c>
      <c r="U190" s="87" t="s">
        <v>121</v>
      </c>
      <c r="V190" s="87" t="s">
        <v>284</v>
      </c>
      <c r="W190" s="87" t="s">
        <v>285</v>
      </c>
      <c r="X190" s="87" t="s">
        <v>286</v>
      </c>
      <c r="Y190" s="87" t="s">
        <v>287</v>
      </c>
    </row>
    <row r="191" customFormat="false" ht="15" hidden="false" customHeight="false" outlineLevel="0" collapsed="false">
      <c r="Q191" s="90" t="s">
        <v>288</v>
      </c>
    </row>
    <row r="192" customFormat="false" ht="15" hidden="false" customHeight="false" outlineLevel="0" collapsed="false">
      <c r="Q192" s="1" t="s">
        <v>289</v>
      </c>
      <c r="U192" s="57" t="s">
        <v>290</v>
      </c>
      <c r="V192" s="58" t="n">
        <v>1</v>
      </c>
      <c r="W192" s="59" t="n">
        <f aca="false">V192*8/$S$5</f>
        <v>0.533333333333333</v>
      </c>
      <c r="X192" s="30" t="n">
        <v>28.94</v>
      </c>
      <c r="Y192" s="30" t="n">
        <f aca="false">W192*X192</f>
        <v>15.4346666666667</v>
      </c>
    </row>
    <row r="193" customFormat="false" ht="15" hidden="false" customHeight="false" outlineLevel="0" collapsed="false">
      <c r="Q193" s="1" t="s">
        <v>291</v>
      </c>
      <c r="U193" s="57" t="s">
        <v>290</v>
      </c>
      <c r="V193" s="58" t="n">
        <v>2</v>
      </c>
      <c r="W193" s="59" t="n">
        <f aca="false">V193*8/$S$5</f>
        <v>1.06666666666667</v>
      </c>
      <c r="X193" s="30" t="n">
        <v>23.6</v>
      </c>
      <c r="Y193" s="30" t="n">
        <f aca="false">W193*X193</f>
        <v>25.1733333333333</v>
      </c>
    </row>
    <row r="194" customFormat="false" ht="15" hidden="false" customHeight="false" outlineLevel="0" collapsed="false">
      <c r="Q194" s="1" t="s">
        <v>292</v>
      </c>
      <c r="U194" s="57" t="s">
        <v>290</v>
      </c>
      <c r="V194" s="58" t="n">
        <v>4</v>
      </c>
      <c r="W194" s="59" t="n">
        <f aca="false">V194*8/$S$5</f>
        <v>2.13333333333333</v>
      </c>
      <c r="X194" s="30" t="n">
        <v>21.36</v>
      </c>
      <c r="Y194" s="30" t="n">
        <f aca="false">W194*X194</f>
        <v>45.568</v>
      </c>
    </row>
    <row r="195" customFormat="false" ht="15" hidden="false" customHeight="false" outlineLevel="0" collapsed="false">
      <c r="U195" s="57"/>
      <c r="V195" s="58"/>
      <c r="W195" s="59"/>
      <c r="Y195" s="89" t="n">
        <f aca="false">SUM(Y192:Y194)</f>
        <v>86.176</v>
      </c>
    </row>
    <row r="196" customFormat="false" ht="15" hidden="false" customHeight="false" outlineLevel="0" collapsed="false">
      <c r="Q196" s="90" t="s">
        <v>652</v>
      </c>
      <c r="U196" s="57"/>
      <c r="V196" s="58"/>
      <c r="W196" s="59"/>
      <c r="Y196" s="30"/>
    </row>
    <row r="197" customFormat="false" ht="15" hidden="false" customHeight="false" outlineLevel="0" collapsed="false">
      <c r="Q197" s="1" t="s">
        <v>670</v>
      </c>
      <c r="U197" s="57" t="s">
        <v>202</v>
      </c>
      <c r="W197" s="59" t="n">
        <v>0.53</v>
      </c>
      <c r="X197" s="30" t="n">
        <v>55.08</v>
      </c>
      <c r="Y197" s="30" t="n">
        <f aca="false">W197*X197</f>
        <v>29.1924</v>
      </c>
    </row>
    <row r="198" customFormat="false" ht="15" hidden="false" customHeight="false" outlineLevel="0" collapsed="false">
      <c r="Q198" s="1" t="s">
        <v>671</v>
      </c>
      <c r="U198" s="57" t="s">
        <v>202</v>
      </c>
      <c r="W198" s="59" t="n">
        <v>0.52</v>
      </c>
      <c r="X198" s="30" t="n">
        <v>47</v>
      </c>
      <c r="Y198" s="30" t="n">
        <f aca="false">W198*X198</f>
        <v>24.44</v>
      </c>
    </row>
    <row r="199" customFormat="false" ht="15" hidden="false" customHeight="false" outlineLevel="0" collapsed="false">
      <c r="Q199" s="1" t="s">
        <v>305</v>
      </c>
      <c r="U199" s="57" t="s">
        <v>306</v>
      </c>
      <c r="W199" s="59" t="n">
        <v>9.73</v>
      </c>
      <c r="X199" s="30" t="n">
        <v>24.52</v>
      </c>
      <c r="Y199" s="30" t="n">
        <f aca="false">W199*X199</f>
        <v>238.5796</v>
      </c>
    </row>
    <row r="200" customFormat="false" ht="15" hidden="false" customHeight="false" outlineLevel="0" collapsed="false">
      <c r="Q200" s="1" t="s">
        <v>654</v>
      </c>
      <c r="U200" s="57" t="s">
        <v>202</v>
      </c>
      <c r="W200" s="59" t="n">
        <v>0.186</v>
      </c>
      <c r="X200" s="1" t="n">
        <v>6.14</v>
      </c>
      <c r="Y200" s="30" t="n">
        <f aca="false">W200*X200</f>
        <v>1.14204</v>
      </c>
    </row>
    <row r="201" customFormat="false" ht="15" hidden="false" customHeight="false" outlineLevel="0" collapsed="false">
      <c r="Q201" s="1" t="s">
        <v>663</v>
      </c>
      <c r="U201" s="57" t="s">
        <v>437</v>
      </c>
      <c r="W201" s="59" t="n">
        <v>0.36</v>
      </c>
      <c r="X201" s="1" t="n">
        <v>13.93</v>
      </c>
      <c r="Y201" s="30" t="n">
        <f aca="false">W201*X201</f>
        <v>5.0148</v>
      </c>
    </row>
    <row r="202" customFormat="false" ht="15" hidden="false" customHeight="false" outlineLevel="0" collapsed="false">
      <c r="U202" s="57"/>
      <c r="W202" s="59"/>
      <c r="X202" s="30"/>
      <c r="Y202" s="89" t="n">
        <f aca="false">SUM(Y197:Y201)</f>
        <v>298.36884</v>
      </c>
    </row>
    <row r="203" customFormat="false" ht="15" hidden="false" customHeight="false" outlineLevel="0" collapsed="false">
      <c r="Q203" s="90" t="s">
        <v>308</v>
      </c>
    </row>
    <row r="204" customFormat="false" ht="15" hidden="false" customHeight="false" outlineLevel="0" collapsed="false">
      <c r="Q204" s="1" t="s">
        <v>309</v>
      </c>
      <c r="U204" s="57" t="s">
        <v>310</v>
      </c>
      <c r="W204" s="59" t="n">
        <v>3</v>
      </c>
      <c r="X204" s="30" t="n">
        <f aca="false">Y195</f>
        <v>86.176</v>
      </c>
      <c r="Y204" s="30" t="n">
        <f aca="false">W204%*X204</f>
        <v>2.58528</v>
      </c>
    </row>
    <row r="205" customFormat="false" ht="15" hidden="false" customHeight="false" outlineLevel="0" collapsed="false">
      <c r="Q205" s="1" t="s">
        <v>665</v>
      </c>
      <c r="U205" s="57" t="s">
        <v>337</v>
      </c>
      <c r="V205" s="58" t="n">
        <v>1</v>
      </c>
      <c r="W205" s="59" t="n">
        <f aca="false">V205*8/$S$5</f>
        <v>0.533333333333333</v>
      </c>
      <c r="X205" s="30" t="n">
        <v>25.63</v>
      </c>
      <c r="Y205" s="30" t="n">
        <f aca="false">W205*X205</f>
        <v>13.6693333333333</v>
      </c>
    </row>
    <row r="206" customFormat="false" ht="15" hidden="false" customHeight="false" outlineLevel="0" collapsed="false">
      <c r="Q206" s="1" t="s">
        <v>673</v>
      </c>
      <c r="U206" s="57" t="s">
        <v>337</v>
      </c>
      <c r="V206" s="58" t="n">
        <v>0.5</v>
      </c>
      <c r="W206" s="59" t="n">
        <f aca="false">V206*8/$S$5</f>
        <v>0.266666666666667</v>
      </c>
      <c r="X206" s="30" t="n">
        <v>7.07</v>
      </c>
      <c r="Y206" s="30" t="n">
        <f aca="false">W206*X206</f>
        <v>1.88533333333333</v>
      </c>
    </row>
    <row r="207" customFormat="false" ht="15" hidden="false" customHeight="false" outlineLevel="0" collapsed="false">
      <c r="P207" s="62"/>
      <c r="Q207" s="62"/>
      <c r="R207" s="62"/>
      <c r="S207" s="62"/>
      <c r="T207" s="62"/>
      <c r="U207" s="62"/>
      <c r="V207" s="62"/>
      <c r="W207" s="62"/>
      <c r="X207" s="62"/>
      <c r="Y207" s="91" t="n">
        <f aca="false">SUM(Y204:Y206)</f>
        <v>18.1399466666667</v>
      </c>
    </row>
    <row r="209" customFormat="false" ht="15" hidden="false" customHeight="false" outlineLevel="0" collapsed="false">
      <c r="P209" s="85" t="s">
        <v>276</v>
      </c>
      <c r="Q209" s="85"/>
      <c r="R209" s="85" t="s">
        <v>578</v>
      </c>
      <c r="S209" s="85"/>
    </row>
    <row r="210" customFormat="false" ht="15" hidden="false" customHeight="false" outlineLevel="0" collapsed="false">
      <c r="P210" s="85" t="s">
        <v>277</v>
      </c>
      <c r="Q210" s="85" t="s">
        <v>278</v>
      </c>
      <c r="R210" s="87" t="s">
        <v>279</v>
      </c>
      <c r="S210" s="88" t="n">
        <v>35</v>
      </c>
      <c r="T210" s="87" t="s">
        <v>280</v>
      </c>
      <c r="U210" s="88" t="n">
        <f aca="false">S210</f>
        <v>35</v>
      </c>
      <c r="V210" s="85" t="s">
        <v>281</v>
      </c>
      <c r="X210" s="87" t="s">
        <v>132</v>
      </c>
      <c r="Y210" s="89" t="n">
        <f aca="false">Y216+Y221+Y224</f>
        <v>47.5915742857143</v>
      </c>
    </row>
    <row r="211" customFormat="false" ht="15" hidden="false" customHeight="false" outlineLevel="0" collapsed="false">
      <c r="P211" s="85" t="s">
        <v>282</v>
      </c>
      <c r="Q211" s="85" t="s">
        <v>283</v>
      </c>
      <c r="U211" s="87" t="s">
        <v>121</v>
      </c>
      <c r="V211" s="87" t="s">
        <v>284</v>
      </c>
      <c r="W211" s="87" t="s">
        <v>285</v>
      </c>
      <c r="X211" s="87" t="s">
        <v>286</v>
      </c>
      <c r="Y211" s="87" t="s">
        <v>287</v>
      </c>
    </row>
    <row r="212" customFormat="false" ht="15" hidden="false" customHeight="false" outlineLevel="0" collapsed="false">
      <c r="Q212" s="90" t="s">
        <v>288</v>
      </c>
    </row>
    <row r="213" customFormat="false" ht="15" hidden="false" customHeight="false" outlineLevel="0" collapsed="false">
      <c r="Q213" s="1" t="s">
        <v>289</v>
      </c>
      <c r="U213" s="57" t="s">
        <v>290</v>
      </c>
      <c r="V213" s="58" t="n">
        <v>2</v>
      </c>
      <c r="W213" s="59" t="n">
        <f aca="false">V213*8/$S$210</f>
        <v>0.457142857142857</v>
      </c>
      <c r="X213" s="30" t="n">
        <v>28.94</v>
      </c>
      <c r="Y213" s="30" t="n">
        <f aca="false">W213*X213</f>
        <v>13.2297142857143</v>
      </c>
    </row>
    <row r="214" customFormat="false" ht="15" hidden="false" customHeight="false" outlineLevel="0" collapsed="false">
      <c r="Q214" s="1" t="s">
        <v>291</v>
      </c>
      <c r="U214" s="57" t="s">
        <v>290</v>
      </c>
      <c r="V214" s="58" t="n">
        <v>1</v>
      </c>
      <c r="W214" s="59" t="n">
        <f aca="false">V214*8/$S$210</f>
        <v>0.228571428571429</v>
      </c>
      <c r="X214" s="30" t="n">
        <v>23.6</v>
      </c>
      <c r="Y214" s="30" t="n">
        <f aca="false">W214*X214</f>
        <v>5.39428571428571</v>
      </c>
    </row>
    <row r="215" customFormat="false" ht="15" hidden="false" customHeight="false" outlineLevel="0" collapsed="false">
      <c r="Q215" s="1" t="s">
        <v>292</v>
      </c>
      <c r="U215" s="57" t="s">
        <v>290</v>
      </c>
      <c r="V215" s="58" t="n">
        <v>1</v>
      </c>
      <c r="W215" s="59" t="n">
        <f aca="false">V215*8/$S$210</f>
        <v>0.228571428571429</v>
      </c>
      <c r="X215" s="30" t="n">
        <v>21.36</v>
      </c>
      <c r="Y215" s="30" t="n">
        <f aca="false">W215*X215</f>
        <v>4.88228571428571</v>
      </c>
    </row>
    <row r="216" customFormat="false" ht="15" hidden="false" customHeight="false" outlineLevel="0" collapsed="false">
      <c r="U216" s="57"/>
      <c r="V216" s="58"/>
      <c r="W216" s="59"/>
      <c r="Y216" s="89" t="n">
        <f aca="false">SUM(Y213:Y215)</f>
        <v>23.5062857142857</v>
      </c>
    </row>
    <row r="217" customFormat="false" ht="15" hidden="false" customHeight="false" outlineLevel="0" collapsed="false">
      <c r="Q217" s="90" t="s">
        <v>652</v>
      </c>
      <c r="U217" s="57"/>
      <c r="V217" s="58"/>
      <c r="W217" s="59"/>
      <c r="Y217" s="30"/>
    </row>
    <row r="218" customFormat="false" ht="15" hidden="false" customHeight="false" outlineLevel="0" collapsed="false">
      <c r="Q218" s="1" t="s">
        <v>685</v>
      </c>
      <c r="U218" s="57" t="s">
        <v>295</v>
      </c>
      <c r="W218" s="59" t="n">
        <v>0.3</v>
      </c>
      <c r="X218" s="30" t="n">
        <v>2.64</v>
      </c>
      <c r="Y218" s="30" t="n">
        <f aca="false">W218*X218</f>
        <v>0.792</v>
      </c>
    </row>
    <row r="219" customFormat="false" ht="15" hidden="false" customHeight="false" outlineLevel="0" collapsed="false">
      <c r="Q219" s="1" t="s">
        <v>300</v>
      </c>
      <c r="U219" s="57" t="s">
        <v>295</v>
      </c>
      <c r="W219" s="59" t="n">
        <v>0.31</v>
      </c>
      <c r="X219" s="30" t="n">
        <v>5.51</v>
      </c>
      <c r="Y219" s="30" t="n">
        <f aca="false">W219*X219</f>
        <v>1.7081</v>
      </c>
    </row>
    <row r="220" customFormat="false" ht="15" hidden="false" customHeight="false" outlineLevel="0" collapsed="false">
      <c r="Q220" s="1" t="s">
        <v>667</v>
      </c>
      <c r="U220" s="57" t="s">
        <v>304</v>
      </c>
      <c r="W220" s="59" t="n">
        <v>3.6</v>
      </c>
      <c r="X220" s="30" t="n">
        <v>5.8</v>
      </c>
      <c r="Y220" s="30" t="n">
        <f aca="false">W220*X220</f>
        <v>20.88</v>
      </c>
    </row>
    <row r="221" customFormat="false" ht="15" hidden="false" customHeight="false" outlineLevel="0" collapsed="false">
      <c r="U221" s="57"/>
      <c r="W221" s="59"/>
      <c r="X221" s="30"/>
      <c r="Y221" s="89" t="n">
        <f aca="false">SUM(Y218:Y220)</f>
        <v>23.3801</v>
      </c>
    </row>
    <row r="222" customFormat="false" ht="15" hidden="false" customHeight="false" outlineLevel="0" collapsed="false">
      <c r="Q222" s="90" t="s">
        <v>308</v>
      </c>
    </row>
    <row r="223" customFormat="false" ht="15" hidden="false" customHeight="false" outlineLevel="0" collapsed="false">
      <c r="Q223" s="1" t="s">
        <v>309</v>
      </c>
      <c r="U223" s="57" t="s">
        <v>310</v>
      </c>
      <c r="W223" s="59" t="n">
        <v>3</v>
      </c>
      <c r="X223" s="30" t="n">
        <f aca="false">Y216</f>
        <v>23.5062857142857</v>
      </c>
      <c r="Y223" s="30" t="n">
        <f aca="false">W223%*X223</f>
        <v>0.705188571428571</v>
      </c>
    </row>
    <row r="224" customFormat="false" ht="15" hidden="false" customHeight="false" outlineLevel="0" collapsed="false">
      <c r="P224" s="62"/>
      <c r="Q224" s="62"/>
      <c r="R224" s="62"/>
      <c r="S224" s="62"/>
      <c r="T224" s="62"/>
      <c r="U224" s="62"/>
      <c r="V224" s="62"/>
      <c r="W224" s="62"/>
      <c r="X224" s="62"/>
      <c r="Y224" s="91" t="n">
        <f aca="false">SUM(Y223)</f>
        <v>0.705188571428571</v>
      </c>
    </row>
    <row r="226" customFormat="false" ht="15" hidden="false" customHeight="false" outlineLevel="0" collapsed="false">
      <c r="P226" s="85" t="s">
        <v>276</v>
      </c>
      <c r="Q226" s="85"/>
      <c r="R226" s="85" t="s">
        <v>580</v>
      </c>
      <c r="S226" s="85"/>
    </row>
    <row r="227" customFormat="false" ht="15" hidden="false" customHeight="false" outlineLevel="0" collapsed="false">
      <c r="P227" s="85" t="s">
        <v>277</v>
      </c>
      <c r="Q227" s="85" t="s">
        <v>278</v>
      </c>
      <c r="R227" s="87" t="s">
        <v>279</v>
      </c>
      <c r="S227" s="88" t="n">
        <v>250</v>
      </c>
      <c r="T227" s="87" t="s">
        <v>280</v>
      </c>
      <c r="U227" s="88" t="n">
        <f aca="false">S227</f>
        <v>250</v>
      </c>
      <c r="V227" s="85" t="s">
        <v>281</v>
      </c>
      <c r="X227" s="87" t="s">
        <v>132</v>
      </c>
      <c r="Y227" s="89" t="n">
        <f aca="false">Y232+Y236+Y240</f>
        <v>5.5639628445</v>
      </c>
    </row>
    <row r="228" customFormat="false" ht="15" hidden="false" customHeight="false" outlineLevel="0" collapsed="false">
      <c r="P228" s="85" t="s">
        <v>282</v>
      </c>
      <c r="Q228" s="85" t="s">
        <v>283</v>
      </c>
      <c r="U228" s="87" t="s">
        <v>121</v>
      </c>
      <c r="V228" s="87" t="s">
        <v>284</v>
      </c>
      <c r="W228" s="87" t="s">
        <v>285</v>
      </c>
      <c r="X228" s="87" t="s">
        <v>286</v>
      </c>
      <c r="Y228" s="87" t="s">
        <v>287</v>
      </c>
    </row>
    <row r="229" customFormat="false" ht="15" hidden="false" customHeight="false" outlineLevel="0" collapsed="false">
      <c r="Q229" s="90" t="s">
        <v>288</v>
      </c>
    </row>
    <row r="230" customFormat="false" ht="15" hidden="false" customHeight="false" outlineLevel="0" collapsed="false">
      <c r="Q230" s="1" t="s">
        <v>289</v>
      </c>
      <c r="U230" s="57" t="s">
        <v>290</v>
      </c>
      <c r="V230" s="58" t="n">
        <v>1</v>
      </c>
      <c r="W230" s="101" t="n">
        <f aca="false">V230*8/$S$43</f>
        <v>0.032</v>
      </c>
      <c r="X230" s="30" t="n">
        <v>28.94</v>
      </c>
      <c r="Y230" s="30" t="n">
        <f aca="false">W230*X230</f>
        <v>0.92608</v>
      </c>
    </row>
    <row r="231" customFormat="false" ht="15" hidden="false" customHeight="false" outlineLevel="0" collapsed="false">
      <c r="Q231" s="1" t="s">
        <v>675</v>
      </c>
      <c r="U231" s="57" t="s">
        <v>290</v>
      </c>
      <c r="V231" s="58" t="n">
        <v>1</v>
      </c>
      <c r="W231" s="101" t="n">
        <f aca="false">V231*8/$S$43</f>
        <v>0.032</v>
      </c>
      <c r="X231" s="30" t="n">
        <v>23.6</v>
      </c>
      <c r="Y231" s="30" t="n">
        <f aca="false">W231*X231</f>
        <v>0.7552</v>
      </c>
    </row>
    <row r="232" customFormat="false" ht="15" hidden="false" customHeight="false" outlineLevel="0" collapsed="false">
      <c r="U232" s="57"/>
      <c r="V232" s="58"/>
      <c r="Y232" s="89" t="n">
        <f aca="false">SUM(Y230:Y231)</f>
        <v>1.68128</v>
      </c>
    </row>
    <row r="233" customFormat="false" ht="15" hidden="false" customHeight="false" outlineLevel="0" collapsed="false">
      <c r="Q233" s="90" t="s">
        <v>293</v>
      </c>
      <c r="U233" s="57"/>
      <c r="V233" s="58"/>
      <c r="W233" s="101"/>
    </row>
    <row r="234" customFormat="false" ht="15" hidden="false" customHeight="false" outlineLevel="0" collapsed="false">
      <c r="Q234" s="1" t="s">
        <v>294</v>
      </c>
      <c r="U234" s="57" t="s">
        <v>295</v>
      </c>
      <c r="V234" s="58"/>
      <c r="W234" s="101" t="n">
        <v>0.03</v>
      </c>
      <c r="X234" s="30" t="n">
        <v>2.64</v>
      </c>
      <c r="Y234" s="30" t="n">
        <f aca="false">W234*X234</f>
        <v>0.0792</v>
      </c>
    </row>
    <row r="235" customFormat="false" ht="15" hidden="false" customHeight="false" outlineLevel="0" collapsed="false">
      <c r="Q235" s="1" t="s">
        <v>676</v>
      </c>
      <c r="U235" s="57" t="s">
        <v>295</v>
      </c>
      <c r="V235" s="58"/>
      <c r="W235" s="101" t="n">
        <v>1.05</v>
      </c>
      <c r="X235" s="30" t="n">
        <f aca="false">1012.71*3.379/1000</f>
        <v>3.42194709</v>
      </c>
      <c r="Y235" s="30" t="n">
        <f aca="false">W235*X235</f>
        <v>3.5930444445</v>
      </c>
    </row>
    <row r="236" customFormat="false" ht="15" hidden="false" customHeight="false" outlineLevel="0" collapsed="false">
      <c r="U236" s="57"/>
      <c r="V236" s="58"/>
      <c r="Y236" s="89" t="n">
        <f aca="false">SUM(Y234:Y235)</f>
        <v>3.6722444445</v>
      </c>
    </row>
    <row r="237" customFormat="false" ht="15" hidden="false" customHeight="false" outlineLevel="0" collapsed="false">
      <c r="Q237" s="90" t="s">
        <v>317</v>
      </c>
      <c r="U237" s="57"/>
      <c r="V237" s="58"/>
    </row>
    <row r="238" customFormat="false" ht="15" hidden="false" customHeight="false" outlineLevel="0" collapsed="false">
      <c r="Q238" s="1" t="s">
        <v>309</v>
      </c>
      <c r="U238" s="57" t="s">
        <v>310</v>
      </c>
      <c r="W238" s="59" t="n">
        <v>3</v>
      </c>
      <c r="X238" s="30" t="n">
        <f aca="false">Y232</f>
        <v>1.68128</v>
      </c>
      <c r="Y238" s="30" t="n">
        <f aca="false">W238%*X238</f>
        <v>0.0504384</v>
      </c>
    </row>
    <row r="239" customFormat="false" ht="15" hidden="false" customHeight="false" outlineLevel="0" collapsed="false">
      <c r="Q239" s="1" t="s">
        <v>677</v>
      </c>
      <c r="U239" s="57" t="s">
        <v>290</v>
      </c>
      <c r="V239" s="58" t="n">
        <v>1</v>
      </c>
      <c r="W239" s="101" t="n">
        <f aca="false">V239*8/$S$43</f>
        <v>0.032</v>
      </c>
      <c r="X239" s="65" t="n">
        <v>5</v>
      </c>
      <c r="Y239" s="30" t="n">
        <f aca="false">W239*X239</f>
        <v>0.16</v>
      </c>
    </row>
    <row r="240" customFormat="false" ht="15" hidden="false" customHeight="false" outlineLevel="0" collapsed="false">
      <c r="P240" s="62"/>
      <c r="Q240" s="62"/>
      <c r="R240" s="62"/>
      <c r="S240" s="62"/>
      <c r="T240" s="62"/>
      <c r="U240" s="62"/>
      <c r="V240" s="62"/>
      <c r="W240" s="62"/>
      <c r="X240" s="62"/>
      <c r="Y240" s="91" t="n">
        <f aca="false">SUM(Y238:Y239)</f>
        <v>0.2104384</v>
      </c>
    </row>
    <row r="366" customFormat="false" ht="15" hidden="false" customHeight="false" outlineLevel="0" collapsed="false">
      <c r="L366" s="15"/>
    </row>
    <row r="419" customFormat="false" ht="15" hidden="false" customHeight="false" outlineLevel="0" collapsed="false">
      <c r="Q419" s="90"/>
      <c r="U419" s="57"/>
      <c r="V419" s="58"/>
      <c r="W419" s="59"/>
      <c r="Y419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1" width="9.3"/>
    <col collapsed="false" customWidth="true" hidden="false" outlineLevel="0" max="12" min="12" style="1" width="14.86"/>
    <col collapsed="false" customWidth="true" hidden="false" outlineLevel="0" max="19" min="19" style="1" width="10.29"/>
    <col collapsed="false" customWidth="true" hidden="false" outlineLevel="0" max="22" min="22" style="1" width="9.43"/>
  </cols>
  <sheetData>
    <row r="2" customFormat="false" ht="15" hidden="false" customHeight="false" outlineLevel="0" collapsed="false">
      <c r="L2" s="159" t="s">
        <v>88</v>
      </c>
      <c r="M2" s="159" t="n">
        <f aca="false">IF('Datos iniciales '!D11="SI",'Datos iniciales '!B11,0)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159"/>
    </row>
    <row r="4" customFormat="false" ht="15" hidden="false" customHeight="false" outlineLevel="0" collapsed="false">
      <c r="A4" s="15"/>
      <c r="E4" s="59"/>
      <c r="F4" s="205"/>
      <c r="G4" s="76"/>
      <c r="H4" s="205"/>
      <c r="J4" s="1" t="n">
        <f aca="false">SUM(I5:I24)</f>
        <v>0</v>
      </c>
      <c r="L4" s="159" t="s">
        <v>1373</v>
      </c>
      <c r="M4" s="159" t="e">
        <f aca="false">J4/M2</f>
        <v>#DIV/0!</v>
      </c>
      <c r="P4" s="85" t="s">
        <v>276</v>
      </c>
      <c r="Q4" s="85"/>
      <c r="R4" s="85" t="s">
        <v>686</v>
      </c>
      <c r="S4" s="85"/>
    </row>
    <row r="5" customFormat="false" ht="15" hidden="false" customHeight="false" outlineLevel="0" collapsed="false">
      <c r="A5" s="15" t="s">
        <v>531</v>
      </c>
      <c r="E5" s="59"/>
      <c r="F5" s="205"/>
      <c r="G5" s="76"/>
      <c r="P5" s="85" t="s">
        <v>277</v>
      </c>
      <c r="Q5" s="85" t="s">
        <v>415</v>
      </c>
      <c r="R5" s="87" t="s">
        <v>279</v>
      </c>
      <c r="S5" s="88" t="n">
        <v>15</v>
      </c>
      <c r="T5" s="87" t="s">
        <v>280</v>
      </c>
      <c r="U5" s="88" t="n">
        <f aca="false">S5</f>
        <v>15</v>
      </c>
      <c r="V5" s="85" t="s">
        <v>281</v>
      </c>
      <c r="X5" s="87" t="s">
        <v>202</v>
      </c>
      <c r="Y5" s="89" t="n">
        <f aca="false">Y11+Y18+Y23</f>
        <v>359.083626666667</v>
      </c>
    </row>
    <row r="6" customFormat="false" ht="16.4" hidden="false" customHeight="false" outlineLevel="0" collapsed="false">
      <c r="A6" s="1" t="s">
        <v>533</v>
      </c>
      <c r="E6" s="1" t="n">
        <f aca="false">0.160129573170732*0.15</f>
        <v>0.0240194359756098</v>
      </c>
      <c r="F6" s="205" t="s">
        <v>202</v>
      </c>
      <c r="G6" s="76" t="n">
        <f aca="false">E6*$M$2</f>
        <v>0</v>
      </c>
      <c r="H6" s="206" t="n">
        <f aca="false">Y5</f>
        <v>359.083626666667</v>
      </c>
      <c r="I6" s="1" t="n">
        <f aca="false">G6*H6</f>
        <v>0</v>
      </c>
      <c r="P6" s="85" t="s">
        <v>282</v>
      </c>
      <c r="Q6" s="85" t="s">
        <v>283</v>
      </c>
      <c r="U6" s="87" t="s">
        <v>121</v>
      </c>
      <c r="V6" s="87" t="s">
        <v>284</v>
      </c>
      <c r="W6" s="87" t="s">
        <v>285</v>
      </c>
      <c r="X6" s="87" t="s">
        <v>286</v>
      </c>
      <c r="Y6" s="87" t="s">
        <v>287</v>
      </c>
    </row>
    <row r="7" customFormat="false" ht="16.4" hidden="false" customHeight="false" outlineLevel="0" collapsed="false">
      <c r="A7" s="1" t="s">
        <v>535</v>
      </c>
      <c r="E7" s="1" t="n">
        <f aca="false">1.16524390243902*0.35</f>
        <v>0.407835365853657</v>
      </c>
      <c r="F7" s="205" t="s">
        <v>132</v>
      </c>
      <c r="G7" s="76" t="n">
        <f aca="false">E7*$M$2</f>
        <v>0</v>
      </c>
      <c r="H7" s="207" t="n">
        <f aca="false">Y26</f>
        <v>47.0115742857143</v>
      </c>
      <c r="I7" s="1" t="n">
        <f aca="false">G7*H7</f>
        <v>0</v>
      </c>
      <c r="Q7" s="90" t="s">
        <v>288</v>
      </c>
    </row>
    <row r="8" customFormat="false" ht="16.4" hidden="false" customHeight="false" outlineLevel="0" collapsed="false">
      <c r="A8" s="1" t="s">
        <v>537</v>
      </c>
      <c r="F8" s="205" t="s">
        <v>295</v>
      </c>
      <c r="G8" s="208" t="n">
        <f aca="false">G6*80</f>
        <v>0</v>
      </c>
      <c r="H8" s="206" t="n">
        <f aca="false">Y43</f>
        <v>5.5639628445</v>
      </c>
      <c r="I8" s="1" t="n">
        <f aca="false">G8*H8</f>
        <v>0</v>
      </c>
      <c r="J8" s="1" t="e">
        <f aca="false">G8/G6</f>
        <v>#DIV/0!</v>
      </c>
      <c r="Q8" s="1" t="s">
        <v>289</v>
      </c>
      <c r="U8" s="57" t="s">
        <v>290</v>
      </c>
      <c r="V8" s="58" t="n">
        <v>1</v>
      </c>
      <c r="W8" s="59" t="n">
        <f aca="false">V8*8/$S$5</f>
        <v>0.533333333333333</v>
      </c>
      <c r="X8" s="30" t="n">
        <v>28.94</v>
      </c>
      <c r="Y8" s="30" t="n">
        <f aca="false">W8*X8</f>
        <v>15.4346666666667</v>
      </c>
    </row>
    <row r="9" customFormat="false" ht="15" hidden="false" customHeight="false" outlineLevel="0" collapsed="false">
      <c r="A9" s="15" t="s">
        <v>547</v>
      </c>
      <c r="G9" s="76"/>
      <c r="Q9" s="1" t="s">
        <v>291</v>
      </c>
      <c r="U9" s="57" t="s">
        <v>290</v>
      </c>
      <c r="V9" s="58" t="n">
        <v>2</v>
      </c>
      <c r="W9" s="59" t="n">
        <f aca="false">V9*8/$S$5</f>
        <v>1.06666666666667</v>
      </c>
      <c r="X9" s="30" t="n">
        <v>23.6</v>
      </c>
      <c r="Y9" s="30" t="n">
        <f aca="false">W9*X9</f>
        <v>25.1733333333333</v>
      </c>
    </row>
    <row r="10" customFormat="false" ht="16.4" hidden="false" customHeight="false" outlineLevel="0" collapsed="false">
      <c r="A10" s="1" t="s">
        <v>549</v>
      </c>
      <c r="E10" s="1" t="n">
        <f aca="false">0.168490853658537*0.05</f>
        <v>0.00842454268292685</v>
      </c>
      <c r="F10" s="205" t="s">
        <v>202</v>
      </c>
      <c r="G10" s="76" t="n">
        <f aca="false">E10*$M$2</f>
        <v>0</v>
      </c>
      <c r="H10" s="209" t="n">
        <f aca="false">Y61</f>
        <v>349.618832</v>
      </c>
      <c r="I10" s="1" t="n">
        <f aca="false">G10*H10</f>
        <v>0</v>
      </c>
      <c r="Q10" s="1" t="s">
        <v>292</v>
      </c>
      <c r="U10" s="57" t="s">
        <v>290</v>
      </c>
      <c r="V10" s="58" t="n">
        <v>4</v>
      </c>
      <c r="W10" s="59" t="n">
        <f aca="false">V10*8/$S$5</f>
        <v>2.13333333333333</v>
      </c>
      <c r="X10" s="30" t="n">
        <v>21.36</v>
      </c>
      <c r="Y10" s="30" t="n">
        <f aca="false">W10*X10</f>
        <v>45.568</v>
      </c>
    </row>
    <row r="11" customFormat="false" ht="16.4" hidden="false" customHeight="false" outlineLevel="0" collapsed="false">
      <c r="A11" s="1" t="s">
        <v>551</v>
      </c>
      <c r="E11" s="1" t="n">
        <f aca="false">0.822259908536585*0.15</f>
        <v>0.123338986280488</v>
      </c>
      <c r="F11" s="205" t="s">
        <v>132</v>
      </c>
      <c r="G11" s="76" t="n">
        <f aca="false">E11*$M$2</f>
        <v>0</v>
      </c>
      <c r="H11" s="210" t="n">
        <f aca="false">Y83</f>
        <v>50.7905142857143</v>
      </c>
      <c r="I11" s="1" t="n">
        <f aca="false">G11*H11</f>
        <v>0</v>
      </c>
      <c r="U11" s="57"/>
      <c r="V11" s="58"/>
      <c r="W11" s="59"/>
      <c r="Y11" s="89" t="n">
        <f aca="false">SUM(Y8:Y10)</f>
        <v>86.176</v>
      </c>
    </row>
    <row r="12" customFormat="false" ht="16.4" hidden="false" customHeight="false" outlineLevel="0" collapsed="false">
      <c r="A12" s="1" t="s">
        <v>553</v>
      </c>
      <c r="F12" s="205" t="s">
        <v>295</v>
      </c>
      <c r="G12" s="208" t="n">
        <f aca="false">G10*80</f>
        <v>0</v>
      </c>
      <c r="H12" s="30" t="n">
        <f aca="false">Y99</f>
        <v>5.5639628445</v>
      </c>
      <c r="I12" s="1" t="n">
        <f aca="false">G12*H12</f>
        <v>0</v>
      </c>
      <c r="J12" s="1" t="e">
        <f aca="false">G12/G10</f>
        <v>#DIV/0!</v>
      </c>
      <c r="Q12" s="90" t="s">
        <v>652</v>
      </c>
      <c r="U12" s="57"/>
      <c r="V12" s="58"/>
      <c r="W12" s="59"/>
      <c r="Y12" s="30"/>
    </row>
    <row r="13" customFormat="false" ht="15" hidden="false" customHeight="false" outlineLevel="0" collapsed="false">
      <c r="A13" s="15"/>
      <c r="G13" s="76"/>
      <c r="Q13" s="1" t="s">
        <v>670</v>
      </c>
      <c r="U13" s="57" t="s">
        <v>202</v>
      </c>
      <c r="W13" s="59" t="n">
        <v>0.51</v>
      </c>
      <c r="X13" s="30" t="n">
        <v>55.08</v>
      </c>
      <c r="Y13" s="30" t="n">
        <f aca="false">W13*X13</f>
        <v>28.0908</v>
      </c>
    </row>
    <row r="14" customFormat="false" ht="15" hidden="false" customHeight="false" outlineLevel="0" collapsed="false">
      <c r="A14" s="76"/>
      <c r="G14" s="76"/>
      <c r="H14" s="30"/>
      <c r="Q14" s="1" t="s">
        <v>671</v>
      </c>
      <c r="U14" s="57" t="s">
        <v>202</v>
      </c>
      <c r="W14" s="59" t="n">
        <v>0.49</v>
      </c>
      <c r="X14" s="30" t="n">
        <v>47</v>
      </c>
      <c r="Y14" s="30" t="n">
        <f aca="false">W14*X14</f>
        <v>23.03</v>
      </c>
    </row>
    <row r="15" customFormat="false" ht="15" hidden="false" customHeight="false" outlineLevel="0" collapsed="false">
      <c r="A15" s="76"/>
      <c r="Q15" s="1" t="s">
        <v>305</v>
      </c>
      <c r="U15" s="57" t="s">
        <v>306</v>
      </c>
      <c r="W15" s="59" t="n">
        <v>8.02</v>
      </c>
      <c r="X15" s="30" t="n">
        <v>24.52</v>
      </c>
      <c r="Y15" s="30" t="n">
        <f aca="false">W15*X15</f>
        <v>196.6504</v>
      </c>
    </row>
    <row r="16" customFormat="false" ht="15" hidden="false" customHeight="false" outlineLevel="0" collapsed="false">
      <c r="A16" s="76"/>
      <c r="Q16" s="1" t="s">
        <v>654</v>
      </c>
      <c r="U16" s="57" t="s">
        <v>202</v>
      </c>
      <c r="W16" s="59" t="n">
        <v>0.232</v>
      </c>
      <c r="X16" s="1" t="n">
        <v>6.14</v>
      </c>
      <c r="Y16" s="30" t="n">
        <f aca="false">W16*X16</f>
        <v>1.42448</v>
      </c>
    </row>
    <row r="17" customFormat="false" ht="15" hidden="false" customHeight="false" outlineLevel="0" collapsed="false">
      <c r="A17" s="76"/>
      <c r="Q17" s="1" t="s">
        <v>663</v>
      </c>
      <c r="U17" s="57" t="s">
        <v>437</v>
      </c>
      <c r="W17" s="59" t="n">
        <v>0.4</v>
      </c>
      <c r="X17" s="1" t="n">
        <v>13.93</v>
      </c>
      <c r="Y17" s="30" t="n">
        <f aca="false">W17*X17</f>
        <v>5.572</v>
      </c>
    </row>
    <row r="18" customFormat="false" ht="15" hidden="false" customHeight="false" outlineLevel="0" collapsed="false">
      <c r="A18" s="77"/>
      <c r="B18" s="75"/>
      <c r="C18" s="75"/>
      <c r="U18" s="57"/>
      <c r="W18" s="59"/>
      <c r="X18" s="30"/>
      <c r="Y18" s="89" t="n">
        <f aca="false">SUM(Y13:Y17)</f>
        <v>254.76768</v>
      </c>
    </row>
    <row r="19" customFormat="false" ht="15" hidden="false" customHeight="false" outlineLevel="0" collapsed="false">
      <c r="A19" s="75"/>
      <c r="B19" s="75"/>
      <c r="C19" s="75"/>
      <c r="E19" s="75"/>
      <c r="Q19" s="90" t="s">
        <v>308</v>
      </c>
    </row>
    <row r="20" customFormat="false" ht="15" hidden="false" customHeight="false" outlineLevel="0" collapsed="false">
      <c r="A20" s="75"/>
      <c r="B20" s="75"/>
      <c r="C20" s="75"/>
      <c r="E20" s="75"/>
      <c r="Q20" s="1" t="s">
        <v>309</v>
      </c>
      <c r="U20" s="57" t="s">
        <v>310</v>
      </c>
      <c r="W20" s="59" t="n">
        <v>3</v>
      </c>
      <c r="X20" s="30" t="n">
        <f aca="false">Y11</f>
        <v>86.176</v>
      </c>
      <c r="Y20" s="30" t="n">
        <f aca="false">W20%*X20</f>
        <v>2.58528</v>
      </c>
    </row>
    <row r="21" customFormat="false" ht="15" hidden="false" customHeight="false" outlineLevel="0" collapsed="false">
      <c r="A21" s="75"/>
      <c r="B21" s="75"/>
      <c r="C21" s="75"/>
      <c r="E21" s="75"/>
      <c r="Q21" s="1" t="s">
        <v>665</v>
      </c>
      <c r="U21" s="57" t="s">
        <v>337</v>
      </c>
      <c r="V21" s="58" t="n">
        <v>1</v>
      </c>
      <c r="W21" s="59" t="n">
        <f aca="false">V21*8/$S$5</f>
        <v>0.533333333333333</v>
      </c>
      <c r="X21" s="30" t="n">
        <v>25.63</v>
      </c>
      <c r="Y21" s="30" t="n">
        <f aca="false">W21*X21</f>
        <v>13.6693333333333</v>
      </c>
    </row>
    <row r="22" customFormat="false" ht="15" hidden="false" customHeight="false" outlineLevel="0" collapsed="false">
      <c r="A22" s="15"/>
      <c r="E22" s="59"/>
      <c r="Q22" s="1" t="s">
        <v>673</v>
      </c>
      <c r="U22" s="57" t="s">
        <v>337</v>
      </c>
      <c r="V22" s="58" t="n">
        <v>0.5</v>
      </c>
      <c r="W22" s="59" t="n">
        <f aca="false">V22*8/$S$5</f>
        <v>0.266666666666667</v>
      </c>
      <c r="X22" s="30" t="n">
        <v>7.07</v>
      </c>
      <c r="Y22" s="30" t="n">
        <f aca="false">W22*X22</f>
        <v>1.88533333333333</v>
      </c>
    </row>
    <row r="23" customFormat="false" ht="15" hidden="false" customHeight="false" outlineLevel="0" collapsed="false">
      <c r="E23" s="59"/>
      <c r="F23" s="211"/>
      <c r="G23" s="76"/>
      <c r="H23" s="212"/>
      <c r="P23" s="62"/>
      <c r="Q23" s="62"/>
      <c r="R23" s="62"/>
      <c r="S23" s="62"/>
      <c r="T23" s="62"/>
      <c r="U23" s="62"/>
      <c r="V23" s="62"/>
      <c r="W23" s="62"/>
      <c r="X23" s="62"/>
      <c r="Y23" s="91" t="n">
        <f aca="false">SUM(Y20:Y22)</f>
        <v>18.1399466666667</v>
      </c>
    </row>
    <row r="24" customFormat="false" ht="15" hidden="false" customHeight="false" outlineLevel="0" collapsed="false">
      <c r="A24" s="213"/>
      <c r="E24" s="59"/>
      <c r="F24" s="211"/>
      <c r="G24" s="76"/>
      <c r="H24" s="209"/>
    </row>
    <row r="25" customFormat="false" ht="15" hidden="false" customHeight="false" outlineLevel="0" collapsed="false">
      <c r="P25" s="85" t="s">
        <v>276</v>
      </c>
      <c r="Q25" s="85"/>
      <c r="R25" s="85" t="s">
        <v>535</v>
      </c>
      <c r="S25" s="85"/>
    </row>
    <row r="26" customFormat="false" ht="15" hidden="false" customHeight="false" outlineLevel="0" collapsed="false">
      <c r="P26" s="85" t="s">
        <v>277</v>
      </c>
      <c r="Q26" s="85" t="s">
        <v>278</v>
      </c>
      <c r="R26" s="87" t="s">
        <v>279</v>
      </c>
      <c r="S26" s="88" t="n">
        <v>35</v>
      </c>
      <c r="T26" s="87" t="s">
        <v>280</v>
      </c>
      <c r="U26" s="88" t="n">
        <f aca="false">S26</f>
        <v>35</v>
      </c>
      <c r="V26" s="85" t="s">
        <v>281</v>
      </c>
      <c r="X26" s="87" t="s">
        <v>132</v>
      </c>
      <c r="Y26" s="89" t="n">
        <f aca="false">Y32+Y37+Y40</f>
        <v>47.0115742857143</v>
      </c>
    </row>
    <row r="27" customFormat="false" ht="15" hidden="false" customHeight="false" outlineLevel="0" collapsed="false">
      <c r="P27" s="85" t="s">
        <v>282</v>
      </c>
      <c r="Q27" s="85" t="s">
        <v>283</v>
      </c>
      <c r="U27" s="87" t="s">
        <v>121</v>
      </c>
      <c r="V27" s="87" t="s">
        <v>284</v>
      </c>
      <c r="W27" s="87" t="s">
        <v>285</v>
      </c>
      <c r="X27" s="87" t="s">
        <v>286</v>
      </c>
      <c r="Y27" s="87" t="s">
        <v>287</v>
      </c>
    </row>
    <row r="28" customFormat="false" ht="15" hidden="false" customHeight="false" outlineLevel="0" collapsed="false">
      <c r="Q28" s="90" t="s">
        <v>288</v>
      </c>
    </row>
    <row r="29" customFormat="false" ht="15" hidden="false" customHeight="false" outlineLevel="0" collapsed="false">
      <c r="Q29" s="1" t="s">
        <v>289</v>
      </c>
      <c r="U29" s="57" t="s">
        <v>290</v>
      </c>
      <c r="V29" s="58" t="n">
        <v>2</v>
      </c>
      <c r="W29" s="59" t="n">
        <f aca="false">V29*8/$S$26</f>
        <v>0.457142857142857</v>
      </c>
      <c r="X29" s="30" t="n">
        <v>28.94</v>
      </c>
      <c r="Y29" s="30" t="n">
        <f aca="false">W29*X29</f>
        <v>13.2297142857143</v>
      </c>
    </row>
    <row r="30" customFormat="false" ht="15" hidden="false" customHeight="false" outlineLevel="0" collapsed="false">
      <c r="Q30" s="1" t="s">
        <v>291</v>
      </c>
      <c r="U30" s="57" t="s">
        <v>290</v>
      </c>
      <c r="V30" s="58" t="n">
        <v>1</v>
      </c>
      <c r="W30" s="59" t="n">
        <f aca="false">V30*8/$S$26</f>
        <v>0.228571428571429</v>
      </c>
      <c r="X30" s="30" t="n">
        <v>23.6</v>
      </c>
      <c r="Y30" s="30" t="n">
        <f aca="false">W30*X30</f>
        <v>5.39428571428571</v>
      </c>
    </row>
    <row r="31" customFormat="false" ht="15" hidden="false" customHeight="false" outlineLevel="0" collapsed="false">
      <c r="Q31" s="1" t="s">
        <v>292</v>
      </c>
      <c r="U31" s="57" t="s">
        <v>290</v>
      </c>
      <c r="V31" s="58" t="n">
        <v>1</v>
      </c>
      <c r="W31" s="59" t="n">
        <f aca="false">V31*8/$S$26</f>
        <v>0.228571428571429</v>
      </c>
      <c r="X31" s="30" t="n">
        <v>21.36</v>
      </c>
      <c r="Y31" s="30" t="n">
        <f aca="false">W31*X31</f>
        <v>4.88228571428571</v>
      </c>
    </row>
    <row r="32" customFormat="false" ht="15" hidden="false" customHeight="false" outlineLevel="0" collapsed="false">
      <c r="U32" s="57"/>
      <c r="V32" s="58"/>
      <c r="W32" s="59"/>
      <c r="Y32" s="89" t="n">
        <f aca="false">SUM(Y29:Y31)</f>
        <v>23.5062857142857</v>
      </c>
    </row>
    <row r="33" customFormat="false" ht="15" hidden="false" customHeight="false" outlineLevel="0" collapsed="false">
      <c r="Q33" s="90" t="s">
        <v>652</v>
      </c>
      <c r="U33" s="57"/>
      <c r="V33" s="58"/>
      <c r="W33" s="59"/>
      <c r="Y33" s="30"/>
    </row>
    <row r="34" customFormat="false" ht="15" hidden="false" customHeight="false" outlineLevel="0" collapsed="false">
      <c r="Q34" s="1" t="s">
        <v>685</v>
      </c>
      <c r="U34" s="57" t="s">
        <v>295</v>
      </c>
      <c r="W34" s="59" t="n">
        <v>0.3</v>
      </c>
      <c r="X34" s="30" t="n">
        <v>2.64</v>
      </c>
      <c r="Y34" s="30" t="n">
        <f aca="false">W34*X34</f>
        <v>0.792</v>
      </c>
    </row>
    <row r="35" customFormat="false" ht="15" hidden="false" customHeight="false" outlineLevel="0" collapsed="false">
      <c r="Q35" s="1" t="s">
        <v>300</v>
      </c>
      <c r="U35" s="57" t="s">
        <v>295</v>
      </c>
      <c r="W35" s="59" t="n">
        <v>0.31</v>
      </c>
      <c r="X35" s="30" t="n">
        <v>5.51</v>
      </c>
      <c r="Y35" s="30" t="n">
        <f aca="false">W35*X35</f>
        <v>1.7081</v>
      </c>
    </row>
    <row r="36" customFormat="false" ht="15" hidden="false" customHeight="false" outlineLevel="0" collapsed="false">
      <c r="Q36" s="1" t="s">
        <v>667</v>
      </c>
      <c r="U36" s="57" t="s">
        <v>304</v>
      </c>
      <c r="W36" s="59" t="n">
        <v>3.5</v>
      </c>
      <c r="X36" s="30" t="n">
        <v>5.8</v>
      </c>
      <c r="Y36" s="30" t="n">
        <f aca="false">W36*X36</f>
        <v>20.3</v>
      </c>
    </row>
    <row r="37" customFormat="false" ht="15" hidden="false" customHeight="false" outlineLevel="0" collapsed="false">
      <c r="U37" s="57"/>
      <c r="W37" s="59"/>
      <c r="X37" s="30"/>
      <c r="Y37" s="89" t="n">
        <f aca="false">SUM(Y34:Y36)</f>
        <v>22.8001</v>
      </c>
    </row>
    <row r="38" customFormat="false" ht="15" hidden="false" customHeight="false" outlineLevel="0" collapsed="false">
      <c r="Q38" s="90" t="s">
        <v>308</v>
      </c>
    </row>
    <row r="39" customFormat="false" ht="15" hidden="false" customHeight="false" outlineLevel="0" collapsed="false">
      <c r="Q39" s="1" t="s">
        <v>309</v>
      </c>
      <c r="U39" s="57" t="s">
        <v>310</v>
      </c>
      <c r="W39" s="59" t="n">
        <v>3</v>
      </c>
      <c r="X39" s="30" t="n">
        <f aca="false">Y32</f>
        <v>23.5062857142857</v>
      </c>
      <c r="Y39" s="30" t="n">
        <f aca="false">W39%*X39</f>
        <v>0.705188571428571</v>
      </c>
    </row>
    <row r="40" customFormat="false" ht="15" hidden="false" customHeight="false" outlineLevel="0" collapsed="false">
      <c r="P40" s="62"/>
      <c r="Q40" s="62"/>
      <c r="R40" s="62"/>
      <c r="S40" s="62"/>
      <c r="T40" s="62"/>
      <c r="U40" s="62"/>
      <c r="V40" s="62"/>
      <c r="W40" s="62"/>
      <c r="X40" s="62"/>
      <c r="Y40" s="91" t="n">
        <f aca="false">SUM(Y39)</f>
        <v>0.705188571428571</v>
      </c>
    </row>
    <row r="42" customFormat="false" ht="15" hidden="false" customHeight="false" outlineLevel="0" collapsed="false">
      <c r="P42" s="85" t="s">
        <v>276</v>
      </c>
      <c r="Q42" s="85"/>
      <c r="R42" s="85" t="s">
        <v>529</v>
      </c>
      <c r="S42" s="85"/>
    </row>
    <row r="43" customFormat="false" ht="15" hidden="false" customHeight="false" outlineLevel="0" collapsed="false">
      <c r="P43" s="85" t="s">
        <v>277</v>
      </c>
      <c r="Q43" s="85" t="s">
        <v>278</v>
      </c>
      <c r="R43" s="87" t="s">
        <v>279</v>
      </c>
      <c r="S43" s="88" t="n">
        <v>250</v>
      </c>
      <c r="T43" s="87" t="s">
        <v>280</v>
      </c>
      <c r="U43" s="88" t="n">
        <f aca="false">S43</f>
        <v>250</v>
      </c>
      <c r="V43" s="85" t="s">
        <v>281</v>
      </c>
      <c r="X43" s="87" t="s">
        <v>132</v>
      </c>
      <c r="Y43" s="89" t="n">
        <f aca="false">Y48+Y52+Y56</f>
        <v>5.5639628445</v>
      </c>
    </row>
    <row r="44" customFormat="false" ht="15" hidden="false" customHeight="false" outlineLevel="0" collapsed="false">
      <c r="E44" s="59"/>
      <c r="P44" s="85" t="s">
        <v>282</v>
      </c>
      <c r="Q44" s="85" t="s">
        <v>283</v>
      </c>
      <c r="U44" s="87" t="s">
        <v>121</v>
      </c>
      <c r="V44" s="87" t="s">
        <v>284</v>
      </c>
      <c r="W44" s="87" t="s">
        <v>285</v>
      </c>
      <c r="X44" s="87" t="s">
        <v>286</v>
      </c>
      <c r="Y44" s="87" t="s">
        <v>287</v>
      </c>
    </row>
    <row r="45" customFormat="false" ht="15" hidden="false" customHeight="false" outlineLevel="0" collapsed="false">
      <c r="E45" s="59"/>
      <c r="Q45" s="90" t="s">
        <v>288</v>
      </c>
    </row>
    <row r="46" customFormat="false" ht="15" hidden="false" customHeight="false" outlineLevel="0" collapsed="false">
      <c r="Q46" s="1" t="s">
        <v>289</v>
      </c>
      <c r="U46" s="57" t="s">
        <v>290</v>
      </c>
      <c r="V46" s="58" t="n">
        <v>1</v>
      </c>
      <c r="W46" s="101" t="n">
        <f aca="false">V46*8/$S$43</f>
        <v>0.032</v>
      </c>
      <c r="X46" s="30" t="n">
        <v>28.94</v>
      </c>
      <c r="Y46" s="30" t="n">
        <f aca="false">W46*X46</f>
        <v>0.92608</v>
      </c>
    </row>
    <row r="47" customFormat="false" ht="15" hidden="false" customHeight="false" outlineLevel="0" collapsed="false">
      <c r="Q47" s="1" t="s">
        <v>675</v>
      </c>
      <c r="U47" s="57" t="s">
        <v>290</v>
      </c>
      <c r="V47" s="58" t="n">
        <v>1</v>
      </c>
      <c r="W47" s="101" t="n">
        <f aca="false">V47*8/$S$43</f>
        <v>0.032</v>
      </c>
      <c r="X47" s="30" t="n">
        <v>23.6</v>
      </c>
      <c r="Y47" s="30" t="n">
        <f aca="false">W47*X47</f>
        <v>0.7552</v>
      </c>
    </row>
    <row r="48" customFormat="false" ht="15" hidden="false" customHeight="false" outlineLevel="0" collapsed="false">
      <c r="U48" s="57"/>
      <c r="V48" s="58"/>
      <c r="Y48" s="126" t="n">
        <f aca="false">SUM(Y46:Y47)</f>
        <v>1.68128</v>
      </c>
    </row>
    <row r="49" customFormat="false" ht="15" hidden="false" customHeight="false" outlineLevel="0" collapsed="false">
      <c r="Q49" s="127" t="s">
        <v>293</v>
      </c>
      <c r="U49" s="57"/>
      <c r="V49" s="58"/>
      <c r="W49" s="101"/>
    </row>
    <row r="50" customFormat="false" ht="15" hidden="false" customHeight="false" outlineLevel="0" collapsed="false">
      <c r="Q50" s="1" t="s">
        <v>294</v>
      </c>
      <c r="U50" s="57" t="s">
        <v>295</v>
      </c>
      <c r="V50" s="58"/>
      <c r="W50" s="101" t="n">
        <v>0.03</v>
      </c>
      <c r="X50" s="30" t="n">
        <v>2.64</v>
      </c>
      <c r="Y50" s="30" t="n">
        <f aca="false">W50*X50</f>
        <v>0.0792</v>
      </c>
    </row>
    <row r="51" customFormat="false" ht="15" hidden="false" customHeight="false" outlineLevel="0" collapsed="false">
      <c r="Q51" s="1" t="s">
        <v>676</v>
      </c>
      <c r="U51" s="57" t="s">
        <v>295</v>
      </c>
      <c r="V51" s="58"/>
      <c r="W51" s="101" t="n">
        <v>1.05</v>
      </c>
      <c r="X51" s="30" t="n">
        <f aca="false">1012.71*3.379/1000</f>
        <v>3.42194709</v>
      </c>
      <c r="Y51" s="30" t="n">
        <f aca="false">W51*X51</f>
        <v>3.5930444445</v>
      </c>
    </row>
    <row r="52" customFormat="false" ht="15" hidden="false" customHeight="false" outlineLevel="0" collapsed="false">
      <c r="U52" s="57"/>
      <c r="V52" s="58"/>
      <c r="Y52" s="126" t="n">
        <f aca="false">SUM(Y50:Y51)</f>
        <v>3.6722444445</v>
      </c>
    </row>
    <row r="53" customFormat="false" ht="15" hidden="false" customHeight="false" outlineLevel="0" collapsed="false">
      <c r="Q53" s="127" t="s">
        <v>317</v>
      </c>
      <c r="U53" s="57"/>
      <c r="V53" s="58"/>
    </row>
    <row r="54" customFormat="false" ht="15" hidden="false" customHeight="false" outlineLevel="0" collapsed="false">
      <c r="Q54" s="1" t="s">
        <v>309</v>
      </c>
      <c r="U54" s="57" t="s">
        <v>310</v>
      </c>
      <c r="W54" s="59" t="n">
        <v>3</v>
      </c>
      <c r="X54" s="30" t="n">
        <f aca="false">Y48</f>
        <v>1.68128</v>
      </c>
      <c r="Y54" s="30" t="n">
        <f aca="false">W54%*X54</f>
        <v>0.0504384</v>
      </c>
    </row>
    <row r="55" customFormat="false" ht="15" hidden="false" customHeight="false" outlineLevel="0" collapsed="false">
      <c r="Q55" s="1" t="s">
        <v>677</v>
      </c>
      <c r="U55" s="57" t="s">
        <v>290</v>
      </c>
      <c r="V55" s="58" t="n">
        <v>1</v>
      </c>
      <c r="W55" s="101" t="n">
        <f aca="false">V55*8/$S$43</f>
        <v>0.032</v>
      </c>
      <c r="X55" s="65" t="n">
        <v>5</v>
      </c>
      <c r="Y55" s="30" t="n">
        <f aca="false">W55*X55</f>
        <v>0.16</v>
      </c>
    </row>
    <row r="56" customFormat="false" ht="15" hidden="false" customHeight="false" outlineLevel="0" collapsed="false">
      <c r="P56" s="62"/>
      <c r="Q56" s="62"/>
      <c r="R56" s="62"/>
      <c r="S56" s="62"/>
      <c r="T56" s="62"/>
      <c r="U56" s="62"/>
      <c r="V56" s="62"/>
      <c r="W56" s="62"/>
      <c r="X56" s="62"/>
      <c r="Y56" s="128" t="n">
        <f aca="false">SUM(Y54:Y55)</f>
        <v>0.2104384</v>
      </c>
    </row>
    <row r="60" customFormat="false" ht="15" hidden="false" customHeight="false" outlineLevel="0" collapsed="false">
      <c r="P60" s="85" t="s">
        <v>276</v>
      </c>
      <c r="Q60" s="85"/>
      <c r="R60" s="85" t="s">
        <v>689</v>
      </c>
      <c r="S60" s="85"/>
    </row>
    <row r="61" customFormat="false" ht="15" hidden="false" customHeight="false" outlineLevel="0" collapsed="false">
      <c r="P61" s="85" t="s">
        <v>277</v>
      </c>
      <c r="Q61" s="85" t="s">
        <v>415</v>
      </c>
      <c r="R61" s="87" t="s">
        <v>279</v>
      </c>
      <c r="S61" s="88" t="n">
        <v>25</v>
      </c>
      <c r="T61" s="87" t="s">
        <v>280</v>
      </c>
      <c r="U61" s="88" t="n">
        <f aca="false">S61</f>
        <v>25</v>
      </c>
      <c r="V61" s="85" t="s">
        <v>281</v>
      </c>
      <c r="X61" s="87" t="s">
        <v>202</v>
      </c>
      <c r="Y61" s="89" t="n">
        <f aca="false">Y67+Y74+Y80</f>
        <v>349.618832</v>
      </c>
    </row>
    <row r="62" customFormat="false" ht="15" hidden="false" customHeight="false" outlineLevel="0" collapsed="false">
      <c r="P62" s="85" t="s">
        <v>282</v>
      </c>
      <c r="Q62" s="85" t="s">
        <v>283</v>
      </c>
      <c r="U62" s="87" t="s">
        <v>121</v>
      </c>
      <c r="V62" s="87" t="s">
        <v>284</v>
      </c>
      <c r="W62" s="87" t="s">
        <v>285</v>
      </c>
      <c r="X62" s="87" t="s">
        <v>286</v>
      </c>
      <c r="Y62" s="87" t="s">
        <v>287</v>
      </c>
    </row>
    <row r="63" customFormat="false" ht="15" hidden="false" customHeight="false" outlineLevel="0" collapsed="false">
      <c r="Q63" s="90" t="s">
        <v>288</v>
      </c>
    </row>
    <row r="64" customFormat="false" ht="15" hidden="false" customHeight="false" outlineLevel="0" collapsed="false">
      <c r="Q64" s="1" t="s">
        <v>289</v>
      </c>
      <c r="U64" s="57" t="s">
        <v>290</v>
      </c>
      <c r="V64" s="58" t="n">
        <v>2</v>
      </c>
      <c r="W64" s="59" t="n">
        <f aca="false">V64*8/$S$61</f>
        <v>0.64</v>
      </c>
      <c r="X64" s="30" t="n">
        <v>28.94</v>
      </c>
      <c r="Y64" s="30" t="n">
        <f aca="false">W64*X64</f>
        <v>18.5216</v>
      </c>
    </row>
    <row r="65" customFormat="false" ht="15" hidden="false" customHeight="false" outlineLevel="0" collapsed="false">
      <c r="Q65" s="1" t="s">
        <v>291</v>
      </c>
      <c r="U65" s="57" t="s">
        <v>290</v>
      </c>
      <c r="V65" s="58" t="n">
        <v>1</v>
      </c>
      <c r="W65" s="59" t="n">
        <f aca="false">V65*8/$S$61</f>
        <v>0.32</v>
      </c>
      <c r="X65" s="30" t="n">
        <v>23.6</v>
      </c>
      <c r="Y65" s="30" t="n">
        <f aca="false">W65*X65</f>
        <v>7.552</v>
      </c>
    </row>
    <row r="66" customFormat="false" ht="15" hidden="false" customHeight="false" outlineLevel="0" collapsed="false">
      <c r="Q66" s="1" t="s">
        <v>292</v>
      </c>
      <c r="U66" s="57" t="s">
        <v>290</v>
      </c>
      <c r="V66" s="58" t="n">
        <v>4</v>
      </c>
      <c r="W66" s="59" t="n">
        <f aca="false">V66*8/$S$61</f>
        <v>1.28</v>
      </c>
      <c r="X66" s="30" t="n">
        <v>21.36</v>
      </c>
      <c r="Y66" s="30" t="n">
        <f aca="false">W66*X66</f>
        <v>27.3408</v>
      </c>
    </row>
    <row r="67" customFormat="false" ht="15" hidden="false" customHeight="false" outlineLevel="0" collapsed="false">
      <c r="U67" s="57"/>
      <c r="V67" s="58"/>
      <c r="W67" s="59"/>
      <c r="Y67" s="89" t="n">
        <f aca="false">SUM(Y64:Y66)</f>
        <v>53.4144</v>
      </c>
    </row>
    <row r="68" customFormat="false" ht="15" hidden="false" customHeight="false" outlineLevel="0" collapsed="false">
      <c r="Q68" s="90" t="s">
        <v>652</v>
      </c>
      <c r="U68" s="57"/>
      <c r="V68" s="58"/>
      <c r="W68" s="59"/>
      <c r="Y68" s="30"/>
    </row>
    <row r="69" customFormat="false" ht="15" hidden="false" customHeight="false" outlineLevel="0" collapsed="false">
      <c r="Q69" s="1" t="s">
        <v>670</v>
      </c>
      <c r="U69" s="57" t="s">
        <v>202</v>
      </c>
      <c r="W69" s="59" t="n">
        <v>0.85</v>
      </c>
      <c r="X69" s="30" t="n">
        <v>55.08</v>
      </c>
      <c r="Y69" s="30" t="n">
        <f aca="false">W69*X69</f>
        <v>46.818</v>
      </c>
    </row>
    <row r="70" customFormat="false" ht="15" hidden="false" customHeight="false" outlineLevel="0" collapsed="false">
      <c r="Q70" s="1" t="s">
        <v>671</v>
      </c>
      <c r="U70" s="57" t="s">
        <v>202</v>
      </c>
      <c r="W70" s="59" t="n">
        <v>0.42</v>
      </c>
      <c r="X70" s="30" t="n">
        <v>47</v>
      </c>
      <c r="Y70" s="30" t="n">
        <f aca="false">W70*X70</f>
        <v>19.74</v>
      </c>
    </row>
    <row r="71" customFormat="false" ht="15" hidden="false" customHeight="false" outlineLevel="0" collapsed="false">
      <c r="Q71" s="1" t="s">
        <v>305</v>
      </c>
      <c r="U71" s="57" t="s">
        <v>306</v>
      </c>
      <c r="W71" s="59" t="n">
        <v>8.5</v>
      </c>
      <c r="X71" s="30" t="n">
        <v>24.52</v>
      </c>
      <c r="Y71" s="30" t="n">
        <f aca="false">W71*X71</f>
        <v>208.42</v>
      </c>
    </row>
    <row r="72" customFormat="false" ht="15" hidden="false" customHeight="false" outlineLevel="0" collapsed="false">
      <c r="Q72" s="1" t="s">
        <v>654</v>
      </c>
      <c r="U72" s="57" t="s">
        <v>202</v>
      </c>
      <c r="W72" s="59" t="n">
        <v>0.18</v>
      </c>
      <c r="X72" s="1" t="n">
        <v>6.14</v>
      </c>
      <c r="Y72" s="30" t="n">
        <f aca="false">W72*X72</f>
        <v>1.1052</v>
      </c>
    </row>
    <row r="73" customFormat="false" ht="15" hidden="false" customHeight="false" outlineLevel="0" collapsed="false">
      <c r="Q73" s="1" t="s">
        <v>663</v>
      </c>
      <c r="U73" s="57" t="s">
        <v>437</v>
      </c>
      <c r="W73" s="59" t="n">
        <v>0.2</v>
      </c>
      <c r="X73" s="1" t="n">
        <v>13.93</v>
      </c>
      <c r="Y73" s="30" t="n">
        <f aca="false">W73*X73</f>
        <v>2.786</v>
      </c>
    </row>
    <row r="74" customFormat="false" ht="15" hidden="false" customHeight="false" outlineLevel="0" collapsed="false">
      <c r="U74" s="57"/>
      <c r="W74" s="59"/>
      <c r="X74" s="30"/>
      <c r="Y74" s="89" t="n">
        <f aca="false">SUM(Y69:Y73)</f>
        <v>278.8692</v>
      </c>
    </row>
    <row r="75" customFormat="false" ht="15" hidden="false" customHeight="false" outlineLevel="0" collapsed="false">
      <c r="Q75" s="90" t="s">
        <v>308</v>
      </c>
    </row>
    <row r="76" customFormat="false" ht="15" hidden="false" customHeight="false" outlineLevel="0" collapsed="false">
      <c r="Q76" s="1" t="s">
        <v>309</v>
      </c>
      <c r="U76" s="57" t="s">
        <v>310</v>
      </c>
      <c r="W76" s="59" t="n">
        <v>3</v>
      </c>
      <c r="X76" s="30" t="n">
        <f aca="false">Y67</f>
        <v>53.4144</v>
      </c>
      <c r="Y76" s="30" t="n">
        <f aca="false">W76%*X76</f>
        <v>1.602432</v>
      </c>
    </row>
    <row r="77" customFormat="false" ht="15" hidden="false" customHeight="false" outlineLevel="0" collapsed="false">
      <c r="Q77" s="1" t="s">
        <v>665</v>
      </c>
      <c r="U77" s="57" t="s">
        <v>337</v>
      </c>
      <c r="V77" s="58" t="n">
        <v>1</v>
      </c>
      <c r="W77" s="59" t="n">
        <f aca="false">V77*8/$S$61</f>
        <v>0.32</v>
      </c>
      <c r="X77" s="30" t="n">
        <v>25.63</v>
      </c>
      <c r="Y77" s="30" t="n">
        <f aca="false">W77*X77</f>
        <v>8.2016</v>
      </c>
    </row>
    <row r="78" customFormat="false" ht="15" hidden="false" customHeight="false" outlineLevel="0" collapsed="false">
      <c r="Q78" s="1" t="s">
        <v>687</v>
      </c>
      <c r="U78" s="57" t="s">
        <v>337</v>
      </c>
      <c r="V78" s="58" t="n">
        <v>1</v>
      </c>
      <c r="W78" s="59" t="n">
        <f aca="false">V78*8/$S$61</f>
        <v>0.32</v>
      </c>
      <c r="X78" s="65" t="n">
        <v>20</v>
      </c>
      <c r="Y78" s="30" t="n">
        <f aca="false">W78*X78</f>
        <v>6.4</v>
      </c>
    </row>
    <row r="79" customFormat="false" ht="15" hidden="false" customHeight="false" outlineLevel="0" collapsed="false">
      <c r="Q79" s="1" t="s">
        <v>673</v>
      </c>
      <c r="U79" s="57" t="s">
        <v>337</v>
      </c>
      <c r="V79" s="58" t="n">
        <v>0.5</v>
      </c>
      <c r="W79" s="59" t="n">
        <f aca="false">V79*8/$S$61</f>
        <v>0.16</v>
      </c>
      <c r="X79" s="1" t="n">
        <v>7.07</v>
      </c>
      <c r="Y79" s="30" t="n">
        <f aca="false">W79*X79</f>
        <v>1.1312</v>
      </c>
    </row>
    <row r="80" customFormat="false" ht="15" hidden="false" customHeight="false" outlineLevel="0" collapsed="false">
      <c r="P80" s="62"/>
      <c r="Q80" s="62"/>
      <c r="R80" s="62"/>
      <c r="S80" s="62"/>
      <c r="T80" s="62"/>
      <c r="U80" s="62"/>
      <c r="V80" s="62"/>
      <c r="W80" s="62"/>
      <c r="X80" s="62"/>
      <c r="Y80" s="91" t="n">
        <f aca="false">SUM(Y76:Y79)</f>
        <v>17.335232</v>
      </c>
    </row>
    <row r="82" customFormat="false" ht="15" hidden="false" customHeight="false" outlineLevel="0" collapsed="false">
      <c r="P82" s="85" t="s">
        <v>276</v>
      </c>
      <c r="Q82" s="85"/>
      <c r="R82" s="85" t="s">
        <v>551</v>
      </c>
      <c r="S82" s="85"/>
    </row>
    <row r="83" customFormat="false" ht="15" hidden="false" customHeight="false" outlineLevel="0" collapsed="false">
      <c r="P83" s="85" t="s">
        <v>277</v>
      </c>
      <c r="Q83" s="85" t="s">
        <v>278</v>
      </c>
      <c r="R83" s="87" t="s">
        <v>279</v>
      </c>
      <c r="S83" s="88" t="n">
        <v>35</v>
      </c>
      <c r="T83" s="87" t="s">
        <v>280</v>
      </c>
      <c r="U83" s="88" t="n">
        <f aca="false">S83</f>
        <v>35</v>
      </c>
      <c r="V83" s="85" t="s">
        <v>281</v>
      </c>
      <c r="X83" s="87" t="s">
        <v>132</v>
      </c>
      <c r="Y83" s="89" t="n">
        <f aca="false">Y88+Y93+Y96</f>
        <v>50.7905142857143</v>
      </c>
    </row>
    <row r="84" customFormat="false" ht="15" hidden="false" customHeight="false" outlineLevel="0" collapsed="false">
      <c r="P84" s="85" t="s">
        <v>282</v>
      </c>
      <c r="Q84" s="85" t="s">
        <v>283</v>
      </c>
      <c r="U84" s="87" t="s">
        <v>121</v>
      </c>
      <c r="V84" s="87" t="s">
        <v>284</v>
      </c>
      <c r="W84" s="87" t="s">
        <v>285</v>
      </c>
      <c r="X84" s="87" t="s">
        <v>286</v>
      </c>
      <c r="Y84" s="87" t="s">
        <v>287</v>
      </c>
    </row>
    <row r="85" customFormat="false" ht="15" hidden="false" customHeight="false" outlineLevel="0" collapsed="false">
      <c r="Q85" s="90" t="s">
        <v>288</v>
      </c>
    </row>
    <row r="86" customFormat="false" ht="15" hidden="false" customHeight="false" outlineLevel="0" collapsed="false">
      <c r="Q86" s="1" t="s">
        <v>289</v>
      </c>
      <c r="U86" s="57" t="s">
        <v>290</v>
      </c>
      <c r="V86" s="58" t="n">
        <v>2</v>
      </c>
      <c r="W86" s="59" t="n">
        <f aca="false">V86*8/$S$83</f>
        <v>0.457142857142857</v>
      </c>
      <c r="X86" s="30" t="n">
        <v>28.94</v>
      </c>
      <c r="Y86" s="30" t="n">
        <f aca="false">W86*X86</f>
        <v>13.2297142857143</v>
      </c>
    </row>
    <row r="87" customFormat="false" ht="15" hidden="false" customHeight="false" outlineLevel="0" collapsed="false">
      <c r="Q87" s="1" t="s">
        <v>292</v>
      </c>
      <c r="U87" s="57" t="s">
        <v>290</v>
      </c>
      <c r="V87" s="58" t="n">
        <v>2</v>
      </c>
      <c r="W87" s="59" t="n">
        <f aca="false">V87*8/$S$83</f>
        <v>0.457142857142857</v>
      </c>
      <c r="X87" s="30" t="n">
        <v>21.36</v>
      </c>
      <c r="Y87" s="30" t="n">
        <f aca="false">W87*X87</f>
        <v>9.76457142857143</v>
      </c>
    </row>
    <row r="88" customFormat="false" ht="15" hidden="false" customHeight="false" outlineLevel="0" collapsed="false">
      <c r="U88" s="57"/>
      <c r="V88" s="58"/>
      <c r="W88" s="59"/>
      <c r="X88" s="30"/>
      <c r="Y88" s="89" t="n">
        <f aca="false">SUM(Y86:Y87)</f>
        <v>22.9942857142857</v>
      </c>
    </row>
    <row r="89" customFormat="false" ht="15" hidden="false" customHeight="false" outlineLevel="0" collapsed="false">
      <c r="Q89" s="90" t="s">
        <v>652</v>
      </c>
      <c r="U89" s="57"/>
      <c r="V89" s="58"/>
      <c r="W89" s="59"/>
      <c r="Y89" s="30"/>
    </row>
    <row r="90" customFormat="false" ht="15" hidden="false" customHeight="false" outlineLevel="0" collapsed="false">
      <c r="Q90" s="1" t="s">
        <v>685</v>
      </c>
      <c r="U90" s="57" t="s">
        <v>295</v>
      </c>
      <c r="W90" s="59" t="n">
        <v>0.1</v>
      </c>
      <c r="X90" s="30" t="n">
        <v>2.64</v>
      </c>
      <c r="Y90" s="30" t="n">
        <f aca="false">W90*X90</f>
        <v>0.264</v>
      </c>
    </row>
    <row r="91" customFormat="false" ht="15" hidden="false" customHeight="false" outlineLevel="0" collapsed="false">
      <c r="Q91" s="1" t="s">
        <v>300</v>
      </c>
      <c r="U91" s="57" t="s">
        <v>295</v>
      </c>
      <c r="W91" s="59" t="n">
        <v>0.24</v>
      </c>
      <c r="X91" s="30" t="n">
        <v>5.51</v>
      </c>
      <c r="Y91" s="30" t="n">
        <f aca="false">W91*X91</f>
        <v>1.3224</v>
      </c>
    </row>
    <row r="92" customFormat="false" ht="15" hidden="false" customHeight="false" outlineLevel="0" collapsed="false">
      <c r="Q92" s="1" t="s">
        <v>667</v>
      </c>
      <c r="U92" s="57" t="s">
        <v>304</v>
      </c>
      <c r="W92" s="59" t="n">
        <v>4.4</v>
      </c>
      <c r="X92" s="30" t="n">
        <v>5.8</v>
      </c>
      <c r="Y92" s="30" t="n">
        <f aca="false">W92*X92</f>
        <v>25.52</v>
      </c>
    </row>
    <row r="93" customFormat="false" ht="15" hidden="false" customHeight="false" outlineLevel="0" collapsed="false">
      <c r="U93" s="57"/>
      <c r="W93" s="59"/>
      <c r="X93" s="30"/>
      <c r="Y93" s="89" t="n">
        <f aca="false">SUM(Y90:Y92)</f>
        <v>27.1064</v>
      </c>
    </row>
    <row r="94" customFormat="false" ht="15" hidden="false" customHeight="false" outlineLevel="0" collapsed="false">
      <c r="Q94" s="90" t="s">
        <v>308</v>
      </c>
    </row>
    <row r="95" customFormat="false" ht="15" hidden="false" customHeight="false" outlineLevel="0" collapsed="false">
      <c r="Q95" s="1" t="s">
        <v>309</v>
      </c>
      <c r="U95" s="57" t="s">
        <v>310</v>
      </c>
      <c r="W95" s="59" t="n">
        <v>3</v>
      </c>
      <c r="X95" s="30" t="n">
        <f aca="false">Y88</f>
        <v>22.9942857142857</v>
      </c>
      <c r="Y95" s="30" t="n">
        <f aca="false">W95%*X95</f>
        <v>0.689828571428571</v>
      </c>
    </row>
    <row r="96" customFormat="false" ht="15" hidden="false" customHeight="false" outlineLevel="0" collapsed="false">
      <c r="P96" s="62"/>
      <c r="Q96" s="62"/>
      <c r="R96" s="62"/>
      <c r="S96" s="62"/>
      <c r="T96" s="62"/>
      <c r="U96" s="62"/>
      <c r="V96" s="62"/>
      <c r="W96" s="62"/>
      <c r="X96" s="62"/>
      <c r="Y96" s="91" t="n">
        <f aca="false">SUM(Y95)</f>
        <v>0.689828571428571</v>
      </c>
    </row>
    <row r="98" customFormat="false" ht="15" hidden="false" customHeight="false" outlineLevel="0" collapsed="false">
      <c r="P98" s="85" t="s">
        <v>276</v>
      </c>
      <c r="Q98" s="85"/>
      <c r="R98" s="85" t="s">
        <v>690</v>
      </c>
      <c r="S98" s="85"/>
    </row>
    <row r="99" customFormat="false" ht="15" hidden="false" customHeight="false" outlineLevel="0" collapsed="false">
      <c r="P99" s="85" t="s">
        <v>277</v>
      </c>
      <c r="Q99" s="85" t="s">
        <v>674</v>
      </c>
      <c r="R99" s="87" t="s">
        <v>279</v>
      </c>
      <c r="S99" s="88" t="n">
        <v>250</v>
      </c>
      <c r="T99" s="87" t="s">
        <v>280</v>
      </c>
      <c r="U99" s="88" t="n">
        <f aca="false">S99</f>
        <v>250</v>
      </c>
      <c r="V99" s="85" t="s">
        <v>281</v>
      </c>
      <c r="X99" s="87" t="s">
        <v>295</v>
      </c>
      <c r="Y99" s="89" t="n">
        <f aca="false">Y104+Y108+Y112</f>
        <v>5.5639628445</v>
      </c>
    </row>
    <row r="100" customFormat="false" ht="15" hidden="false" customHeight="false" outlineLevel="0" collapsed="false">
      <c r="P100" s="85" t="s">
        <v>282</v>
      </c>
      <c r="Q100" s="85" t="s">
        <v>283</v>
      </c>
      <c r="U100" s="87" t="s">
        <v>121</v>
      </c>
      <c r="V100" s="87" t="s">
        <v>284</v>
      </c>
      <c r="W100" s="87" t="s">
        <v>285</v>
      </c>
      <c r="X100" s="87" t="s">
        <v>286</v>
      </c>
      <c r="Y100" s="87" t="s">
        <v>287</v>
      </c>
    </row>
    <row r="101" customFormat="false" ht="15" hidden="false" customHeight="false" outlineLevel="0" collapsed="false">
      <c r="Q101" s="90" t="s">
        <v>288</v>
      </c>
      <c r="AE101" s="57"/>
      <c r="AG101" s="59"/>
      <c r="AH101" s="30"/>
    </row>
    <row r="102" customFormat="false" ht="15" hidden="false" customHeight="false" outlineLevel="0" collapsed="false">
      <c r="Q102" s="1" t="s">
        <v>289</v>
      </c>
      <c r="U102" s="57" t="s">
        <v>290</v>
      </c>
      <c r="V102" s="58" t="n">
        <v>1</v>
      </c>
      <c r="W102" s="101" t="n">
        <f aca="false">V102*8/$S$99</f>
        <v>0.032</v>
      </c>
      <c r="X102" s="30" t="n">
        <v>28.94</v>
      </c>
      <c r="Y102" s="30" t="n">
        <f aca="false">W102*X102</f>
        <v>0.92608</v>
      </c>
      <c r="AE102" s="57"/>
      <c r="AG102" s="59"/>
      <c r="AH102" s="30"/>
    </row>
    <row r="103" customFormat="false" ht="15" hidden="false" customHeight="false" outlineLevel="0" collapsed="false">
      <c r="Q103" s="1" t="s">
        <v>675</v>
      </c>
      <c r="U103" s="57" t="s">
        <v>290</v>
      </c>
      <c r="V103" s="58" t="n">
        <v>1</v>
      </c>
      <c r="W103" s="101" t="n">
        <f aca="false">V103*8/$S$99</f>
        <v>0.032</v>
      </c>
      <c r="X103" s="30" t="n">
        <v>23.6</v>
      </c>
      <c r="Y103" s="30" t="n">
        <f aca="false">W103*X103</f>
        <v>0.7552</v>
      </c>
      <c r="AE103" s="57"/>
      <c r="AG103" s="59"/>
      <c r="AH103" s="30"/>
    </row>
    <row r="104" customFormat="false" ht="15" hidden="false" customHeight="false" outlineLevel="0" collapsed="false">
      <c r="U104" s="57"/>
      <c r="V104" s="58"/>
      <c r="Y104" s="126" t="n">
        <f aca="false">SUM(Y102:Y103)</f>
        <v>1.68128</v>
      </c>
      <c r="AE104" s="57"/>
      <c r="AG104" s="59"/>
    </row>
    <row r="105" customFormat="false" ht="15" hidden="false" customHeight="false" outlineLevel="0" collapsed="false">
      <c r="Q105" s="127" t="s">
        <v>293</v>
      </c>
      <c r="U105" s="57"/>
      <c r="V105" s="58"/>
      <c r="W105" s="101"/>
      <c r="AE105" s="57"/>
      <c r="AG105" s="59"/>
    </row>
    <row r="106" customFormat="false" ht="15" hidden="false" customHeight="false" outlineLevel="0" collapsed="false">
      <c r="Q106" s="1" t="s">
        <v>294</v>
      </c>
      <c r="U106" s="57" t="s">
        <v>295</v>
      </c>
      <c r="V106" s="58"/>
      <c r="W106" s="101" t="n">
        <v>0.03</v>
      </c>
      <c r="X106" s="30" t="n">
        <v>2.64</v>
      </c>
      <c r="Y106" s="30" t="n">
        <f aca="false">W106*X106</f>
        <v>0.0792</v>
      </c>
      <c r="AE106" s="57"/>
      <c r="AG106" s="59"/>
    </row>
    <row r="107" customFormat="false" ht="15" hidden="false" customHeight="false" outlineLevel="0" collapsed="false">
      <c r="Q107" s="1" t="s">
        <v>676</v>
      </c>
      <c r="U107" s="57" t="s">
        <v>295</v>
      </c>
      <c r="V107" s="58"/>
      <c r="W107" s="101" t="n">
        <v>1.05</v>
      </c>
      <c r="X107" s="30" t="n">
        <f aca="false">1012.71*3.379/1000</f>
        <v>3.42194709</v>
      </c>
      <c r="Y107" s="30" t="n">
        <f aca="false">W107*X107</f>
        <v>3.5930444445</v>
      </c>
    </row>
    <row r="108" customFormat="false" ht="15" hidden="false" customHeight="false" outlineLevel="0" collapsed="false">
      <c r="U108" s="57"/>
      <c r="V108" s="58"/>
      <c r="Y108" s="126" t="n">
        <f aca="false">SUM(Y106:Y107)</f>
        <v>3.6722444445</v>
      </c>
    </row>
    <row r="109" customFormat="false" ht="15" hidden="false" customHeight="false" outlineLevel="0" collapsed="false">
      <c r="Q109" s="127" t="s">
        <v>317</v>
      </c>
      <c r="U109" s="57"/>
      <c r="V109" s="58"/>
    </row>
    <row r="110" customFormat="false" ht="15" hidden="false" customHeight="false" outlineLevel="0" collapsed="false">
      <c r="Q110" s="1" t="s">
        <v>309</v>
      </c>
      <c r="U110" s="57" t="s">
        <v>310</v>
      </c>
      <c r="W110" s="59" t="n">
        <v>3</v>
      </c>
      <c r="X110" s="30" t="n">
        <f aca="false">Y104</f>
        <v>1.68128</v>
      </c>
      <c r="Y110" s="30" t="n">
        <f aca="false">W110%*X110</f>
        <v>0.0504384</v>
      </c>
    </row>
    <row r="111" customFormat="false" ht="15" hidden="false" customHeight="false" outlineLevel="0" collapsed="false">
      <c r="Q111" s="1" t="s">
        <v>677</v>
      </c>
      <c r="U111" s="57" t="s">
        <v>290</v>
      </c>
      <c r="V111" s="58" t="n">
        <v>1</v>
      </c>
      <c r="W111" s="101" t="n">
        <f aca="false">V111*8/$S$99</f>
        <v>0.032</v>
      </c>
      <c r="X111" s="65" t="n">
        <v>5</v>
      </c>
      <c r="Y111" s="30" t="n">
        <f aca="false">W111*X111</f>
        <v>0.16</v>
      </c>
    </row>
    <row r="112" customFormat="false" ht="15" hidden="false" customHeight="false" outlineLevel="0" collapsed="false">
      <c r="P112" s="62"/>
      <c r="Q112" s="62"/>
      <c r="R112" s="62"/>
      <c r="S112" s="62"/>
      <c r="T112" s="62"/>
      <c r="U112" s="62"/>
      <c r="V112" s="62"/>
      <c r="W112" s="62"/>
      <c r="X112" s="62"/>
      <c r="Y112" s="128" t="n">
        <f aca="false">SUM(Y110:Y111)</f>
        <v>0.2104384</v>
      </c>
    </row>
    <row r="114" customFormat="false" ht="15" hidden="false" customHeight="false" outlineLevel="0" collapsed="false">
      <c r="P114" s="14" t="s">
        <v>276</v>
      </c>
      <c r="Q114" s="14"/>
      <c r="R114" s="214" t="s">
        <v>691</v>
      </c>
      <c r="S114" s="14"/>
    </row>
    <row r="115" customFormat="false" ht="15" hidden="false" customHeight="false" outlineLevel="0" collapsed="false">
      <c r="P115" s="14" t="s">
        <v>277</v>
      </c>
      <c r="Q115" s="14" t="s">
        <v>415</v>
      </c>
      <c r="R115" s="38" t="s">
        <v>279</v>
      </c>
      <c r="S115" s="54" t="n">
        <v>25</v>
      </c>
      <c r="T115" s="38" t="s">
        <v>280</v>
      </c>
      <c r="U115" s="54" t="n">
        <f aca="false">S115</f>
        <v>25</v>
      </c>
      <c r="V115" s="14" t="s">
        <v>281</v>
      </c>
      <c r="X115" s="38" t="s">
        <v>202</v>
      </c>
      <c r="Y115" s="55" t="n">
        <f aca="false">Y123+Y132+Y137</f>
        <v>396.881736</v>
      </c>
    </row>
    <row r="116" customFormat="false" ht="15" hidden="false" customHeight="false" outlineLevel="0" collapsed="false">
      <c r="P116" s="14" t="s">
        <v>282</v>
      </c>
      <c r="Q116" s="14" t="s">
        <v>283</v>
      </c>
      <c r="U116" s="38" t="s">
        <v>121</v>
      </c>
      <c r="V116" s="38" t="s">
        <v>284</v>
      </c>
      <c r="W116" s="38" t="s">
        <v>285</v>
      </c>
      <c r="X116" s="38" t="s">
        <v>286</v>
      </c>
      <c r="Y116" s="38" t="s">
        <v>287</v>
      </c>
    </row>
    <row r="117" customFormat="false" ht="15" hidden="false" customHeight="false" outlineLevel="0" collapsed="false">
      <c r="Q117" s="56" t="s">
        <v>288</v>
      </c>
    </row>
    <row r="118" customFormat="false" ht="15" hidden="false" customHeight="false" outlineLevel="0" collapsed="false">
      <c r="Q118" s="1" t="s">
        <v>649</v>
      </c>
      <c r="U118" s="57" t="s">
        <v>290</v>
      </c>
      <c r="V118" s="58" t="n">
        <v>0.2</v>
      </c>
      <c r="W118" s="59" t="n">
        <f aca="false">V118*8/$S$115</f>
        <v>0.064</v>
      </c>
      <c r="X118" s="215" t="n">
        <v>34.73</v>
      </c>
      <c r="Y118" s="30" t="n">
        <f aca="false">W118*X118</f>
        <v>2.22272</v>
      </c>
    </row>
    <row r="119" customFormat="false" ht="15" hidden="false" customHeight="false" outlineLevel="0" collapsed="false">
      <c r="Q119" s="1" t="s">
        <v>289</v>
      </c>
      <c r="U119" s="57" t="s">
        <v>290</v>
      </c>
      <c r="V119" s="58" t="n">
        <v>2</v>
      </c>
      <c r="W119" s="59" t="n">
        <f aca="false">V119*8/$S$115</f>
        <v>0.64</v>
      </c>
      <c r="X119" s="215" t="n">
        <v>28.94</v>
      </c>
      <c r="Y119" s="30" t="n">
        <f aca="false">W119*X119</f>
        <v>18.5216</v>
      </c>
    </row>
    <row r="120" customFormat="false" ht="15" hidden="false" customHeight="false" outlineLevel="0" collapsed="false">
      <c r="Q120" s="1" t="s">
        <v>675</v>
      </c>
      <c r="U120" s="57" t="s">
        <v>290</v>
      </c>
      <c r="V120" s="58" t="n">
        <v>1</v>
      </c>
      <c r="W120" s="59" t="n">
        <f aca="false">V120*8/$S$115</f>
        <v>0.32</v>
      </c>
      <c r="X120" s="1" t="n">
        <v>23.6</v>
      </c>
      <c r="Y120" s="30" t="n">
        <f aca="false">W120*X120</f>
        <v>7.552</v>
      </c>
    </row>
    <row r="121" customFormat="false" ht="15" hidden="false" customHeight="false" outlineLevel="0" collapsed="false">
      <c r="Q121" s="1" t="s">
        <v>292</v>
      </c>
      <c r="U121" s="57" t="s">
        <v>290</v>
      </c>
      <c r="V121" s="58" t="n">
        <v>7</v>
      </c>
      <c r="W121" s="59" t="n">
        <f aca="false">V121*8/$S$115</f>
        <v>2.24</v>
      </c>
      <c r="X121" s="1" t="n">
        <v>21.36</v>
      </c>
      <c r="Y121" s="30" t="n">
        <f aca="false">W121*X121</f>
        <v>47.8464</v>
      </c>
    </row>
    <row r="122" customFormat="false" ht="15" hidden="false" customHeight="false" outlineLevel="0" collapsed="false">
      <c r="Q122" s="1" t="s">
        <v>1358</v>
      </c>
      <c r="U122" s="57" t="s">
        <v>290</v>
      </c>
      <c r="V122" s="58" t="n">
        <v>1</v>
      </c>
      <c r="W122" s="59" t="n">
        <f aca="false">V122*8/$S$115</f>
        <v>0.32</v>
      </c>
      <c r="X122" s="1" t="n">
        <v>29.94</v>
      </c>
      <c r="Y122" s="30" t="n">
        <f aca="false">W122*X122</f>
        <v>9.5808</v>
      </c>
    </row>
    <row r="123" customFormat="false" ht="15" hidden="false" customHeight="false" outlineLevel="0" collapsed="false">
      <c r="U123" s="57"/>
      <c r="Y123" s="55" t="n">
        <f aca="false">SUM(Y118:Y122)</f>
        <v>85.72352</v>
      </c>
    </row>
    <row r="124" customFormat="false" ht="15" hidden="false" customHeight="false" outlineLevel="0" collapsed="false">
      <c r="Q124" s="56" t="s">
        <v>652</v>
      </c>
    </row>
    <row r="125" customFormat="false" ht="15" hidden="false" customHeight="false" outlineLevel="0" collapsed="false">
      <c r="Q125" s="1" t="s">
        <v>692</v>
      </c>
      <c r="U125" s="57" t="s">
        <v>437</v>
      </c>
      <c r="W125" s="59" t="n">
        <v>0.01</v>
      </c>
      <c r="X125" s="30" t="n">
        <v>38.22</v>
      </c>
      <c r="Y125" s="30" t="n">
        <f aca="false">W125*X125</f>
        <v>0.3822</v>
      </c>
    </row>
    <row r="126" customFormat="false" ht="15" hidden="false" customHeight="false" outlineLevel="0" collapsed="false">
      <c r="Q126" s="1" t="s">
        <v>693</v>
      </c>
      <c r="U126" s="57" t="s">
        <v>694</v>
      </c>
      <c r="W126" s="59" t="n">
        <v>0.008</v>
      </c>
      <c r="X126" s="30" t="n">
        <v>12.63</v>
      </c>
      <c r="Y126" s="30" t="n">
        <f aca="false">W126*X126</f>
        <v>0.10104</v>
      </c>
    </row>
    <row r="127" customFormat="false" ht="15" hidden="false" customHeight="false" outlineLevel="0" collapsed="false">
      <c r="Q127" s="1" t="s">
        <v>695</v>
      </c>
      <c r="U127" s="57" t="s">
        <v>437</v>
      </c>
      <c r="W127" s="59" t="n">
        <v>0.12</v>
      </c>
      <c r="X127" s="30" t="n">
        <v>13.93</v>
      </c>
      <c r="Y127" s="30" t="n">
        <f aca="false">W127*X127</f>
        <v>1.6716</v>
      </c>
    </row>
    <row r="128" customFormat="false" ht="15" hidden="false" customHeight="false" outlineLevel="0" collapsed="false">
      <c r="Q128" s="1" t="s">
        <v>696</v>
      </c>
      <c r="U128" s="57" t="s">
        <v>202</v>
      </c>
      <c r="W128" s="59" t="n">
        <v>0.8</v>
      </c>
      <c r="X128" s="30" t="n">
        <v>55.08</v>
      </c>
      <c r="Y128" s="30" t="n">
        <f aca="false">W128*X128</f>
        <v>44.064</v>
      </c>
    </row>
    <row r="129" customFormat="false" ht="15" hidden="false" customHeight="false" outlineLevel="0" collapsed="false">
      <c r="Q129" s="1" t="s">
        <v>697</v>
      </c>
      <c r="U129" s="57" t="s">
        <v>202</v>
      </c>
      <c r="W129" s="59" t="n">
        <v>0.5</v>
      </c>
      <c r="X129" s="30" t="n">
        <v>47</v>
      </c>
      <c r="Y129" s="30" t="n">
        <f aca="false">W129*X129</f>
        <v>23.5</v>
      </c>
    </row>
    <row r="130" customFormat="false" ht="15" hidden="false" customHeight="false" outlineLevel="0" collapsed="false">
      <c r="Q130" s="1" t="s">
        <v>662</v>
      </c>
      <c r="U130" s="57" t="s">
        <v>202</v>
      </c>
      <c r="W130" s="59" t="n">
        <v>0.18</v>
      </c>
      <c r="X130" s="30" t="n">
        <v>6.14</v>
      </c>
      <c r="Y130" s="30" t="n">
        <f aca="false">W130*X130</f>
        <v>1.1052</v>
      </c>
    </row>
    <row r="131" customFormat="false" ht="15" hidden="false" customHeight="false" outlineLevel="0" collapsed="false">
      <c r="Q131" s="1" t="s">
        <v>698</v>
      </c>
      <c r="U131" s="57" t="s">
        <v>306</v>
      </c>
      <c r="W131" s="59" t="n">
        <v>9.2</v>
      </c>
      <c r="X131" s="30" t="n">
        <v>24.52</v>
      </c>
      <c r="Y131" s="30" t="n">
        <f aca="false">W131*X131</f>
        <v>225.584</v>
      </c>
    </row>
    <row r="132" customFormat="false" ht="15" hidden="false" customHeight="false" outlineLevel="0" collapsed="false">
      <c r="U132" s="57"/>
      <c r="W132" s="59"/>
      <c r="X132" s="30"/>
      <c r="Y132" s="55" t="n">
        <f aca="false">SUM(Y125:Y131)</f>
        <v>296.40804</v>
      </c>
    </row>
    <row r="133" customFormat="false" ht="15" hidden="false" customHeight="false" outlineLevel="0" collapsed="false">
      <c r="Q133" s="56" t="s">
        <v>308</v>
      </c>
    </row>
    <row r="134" customFormat="false" ht="15" hidden="false" customHeight="false" outlineLevel="0" collapsed="false">
      <c r="Q134" s="1" t="s">
        <v>699</v>
      </c>
      <c r="U134" s="57" t="s">
        <v>337</v>
      </c>
      <c r="V134" s="58" t="n">
        <v>1</v>
      </c>
      <c r="W134" s="59" t="n">
        <f aca="false">V134*8/$S$115</f>
        <v>0.32</v>
      </c>
      <c r="X134" s="30" t="n">
        <v>25.63</v>
      </c>
      <c r="Y134" s="30" t="n">
        <f aca="false">W134*X134</f>
        <v>8.2016</v>
      </c>
    </row>
    <row r="135" customFormat="false" ht="15" hidden="false" customHeight="false" outlineLevel="0" collapsed="false">
      <c r="Q135" s="1" t="s">
        <v>700</v>
      </c>
      <c r="U135" s="57" t="s">
        <v>337</v>
      </c>
      <c r="V135" s="58" t="n">
        <v>1</v>
      </c>
      <c r="W135" s="59" t="n">
        <f aca="false">V135*8/$S$115</f>
        <v>0.32</v>
      </c>
      <c r="X135" s="30" t="n">
        <v>7.07</v>
      </c>
      <c r="Y135" s="30" t="n">
        <f aca="false">W135*X135</f>
        <v>2.2624</v>
      </c>
    </row>
    <row r="136" customFormat="false" ht="15" hidden="false" customHeight="false" outlineLevel="0" collapsed="false">
      <c r="Q136" s="1" t="s">
        <v>309</v>
      </c>
      <c r="U136" s="57" t="s">
        <v>310</v>
      </c>
      <c r="W136" s="59" t="n">
        <v>5</v>
      </c>
      <c r="X136" s="30" t="n">
        <f aca="false">Y123</f>
        <v>85.72352</v>
      </c>
      <c r="Y136" s="30" t="n">
        <f aca="false">W136%*X136</f>
        <v>4.286176</v>
      </c>
    </row>
    <row r="137" customFormat="false" ht="15" hidden="false" customHeight="false" outlineLevel="0" collapsed="false">
      <c r="P137" s="62"/>
      <c r="Q137" s="62"/>
      <c r="R137" s="62"/>
      <c r="S137" s="62"/>
      <c r="T137" s="62"/>
      <c r="U137" s="62"/>
      <c r="V137" s="62"/>
      <c r="W137" s="62"/>
      <c r="X137" s="83"/>
      <c r="Y137" s="63" t="n">
        <f aca="false">SUM(Y134:Y136)</f>
        <v>14.750176</v>
      </c>
    </row>
    <row r="139" customFormat="false" ht="15" hidden="false" customHeight="false" outlineLevel="0" collapsed="false">
      <c r="P139" s="14" t="s">
        <v>276</v>
      </c>
      <c r="Q139" s="14"/>
      <c r="R139" s="14" t="s">
        <v>701</v>
      </c>
      <c r="S139" s="14"/>
      <c r="AE139" s="57"/>
      <c r="AF139" s="58"/>
      <c r="AG139" s="101"/>
    </row>
    <row r="140" customFormat="false" ht="15" hidden="false" customHeight="false" outlineLevel="0" collapsed="false">
      <c r="P140" s="14" t="s">
        <v>277</v>
      </c>
      <c r="Q140" s="14" t="s">
        <v>278</v>
      </c>
      <c r="R140" s="38" t="s">
        <v>279</v>
      </c>
      <c r="S140" s="54" t="n">
        <v>35</v>
      </c>
      <c r="T140" s="38" t="s">
        <v>280</v>
      </c>
      <c r="U140" s="54" t="n">
        <f aca="false">S140</f>
        <v>35</v>
      </c>
      <c r="V140" s="14" t="s">
        <v>281</v>
      </c>
      <c r="X140" s="38" t="s">
        <v>132</v>
      </c>
      <c r="Y140" s="55" t="n">
        <f aca="false">Y146+Y151+Y154</f>
        <v>43.4766</v>
      </c>
      <c r="AB140" s="30"/>
      <c r="AE140" s="57"/>
      <c r="AF140" s="58"/>
      <c r="AG140" s="101"/>
    </row>
    <row r="141" customFormat="false" ht="15" hidden="false" customHeight="false" outlineLevel="0" collapsed="false">
      <c r="P141" s="14" t="s">
        <v>282</v>
      </c>
      <c r="Q141" s="14" t="s">
        <v>283</v>
      </c>
      <c r="U141" s="38" t="s">
        <v>121</v>
      </c>
      <c r="V141" s="38" t="s">
        <v>284</v>
      </c>
      <c r="W141" s="38" t="s">
        <v>285</v>
      </c>
      <c r="X141" s="38" t="s">
        <v>286</v>
      </c>
      <c r="Y141" s="38" t="s">
        <v>287</v>
      </c>
      <c r="AB141" s="30"/>
    </row>
    <row r="142" customFormat="false" ht="15" hidden="false" customHeight="false" outlineLevel="0" collapsed="false">
      <c r="Q142" s="56" t="s">
        <v>288</v>
      </c>
    </row>
    <row r="143" customFormat="false" ht="15" hidden="false" customHeight="false" outlineLevel="0" collapsed="false">
      <c r="Q143" s="1" t="s">
        <v>289</v>
      </c>
      <c r="U143" s="57" t="s">
        <v>290</v>
      </c>
      <c r="V143" s="58" t="n">
        <v>2</v>
      </c>
      <c r="W143" s="59" t="n">
        <f aca="false">V143*8/$S$140</f>
        <v>0.457142857142857</v>
      </c>
      <c r="X143" s="30" t="n">
        <v>28.94</v>
      </c>
      <c r="Y143" s="30" t="n">
        <f aca="false">W143*X143</f>
        <v>13.2297142857143</v>
      </c>
    </row>
    <row r="144" customFormat="false" ht="15" hidden="false" customHeight="false" outlineLevel="0" collapsed="false">
      <c r="Q144" s="1" t="s">
        <v>675</v>
      </c>
      <c r="U144" s="57" t="s">
        <v>290</v>
      </c>
      <c r="V144" s="58" t="n">
        <v>1</v>
      </c>
      <c r="W144" s="59" t="n">
        <f aca="false">V144*8/$S$140</f>
        <v>0.228571428571429</v>
      </c>
      <c r="X144" s="1" t="n">
        <v>23.6</v>
      </c>
      <c r="Y144" s="30" t="n">
        <f aca="false">W144*X144</f>
        <v>5.39428571428571</v>
      </c>
    </row>
    <row r="145" customFormat="false" ht="15" hidden="false" customHeight="false" outlineLevel="0" collapsed="false">
      <c r="Q145" s="1" t="s">
        <v>292</v>
      </c>
      <c r="U145" s="57" t="s">
        <v>290</v>
      </c>
      <c r="V145" s="58" t="n">
        <v>1</v>
      </c>
      <c r="W145" s="59" t="n">
        <f aca="false">V145*8/$S$140</f>
        <v>0.228571428571429</v>
      </c>
      <c r="X145" s="1" t="n">
        <v>21.36</v>
      </c>
      <c r="Y145" s="30" t="n">
        <f aca="false">W145*X145</f>
        <v>4.88228571428571</v>
      </c>
    </row>
    <row r="146" customFormat="false" ht="15" hidden="false" customHeight="false" outlineLevel="0" collapsed="false">
      <c r="U146" s="57"/>
      <c r="Y146" s="55" t="n">
        <f aca="false">SUM(Y143:Y145)</f>
        <v>23.5062857142857</v>
      </c>
    </row>
    <row r="147" customFormat="false" ht="15" hidden="false" customHeight="false" outlineLevel="0" collapsed="false">
      <c r="Q147" s="56" t="s">
        <v>652</v>
      </c>
    </row>
    <row r="148" customFormat="false" ht="15" hidden="false" customHeight="false" outlineLevel="0" collapsed="false">
      <c r="Q148" s="1" t="s">
        <v>685</v>
      </c>
      <c r="U148" s="57" t="s">
        <v>295</v>
      </c>
      <c r="W148" s="59" t="n">
        <v>0.1</v>
      </c>
      <c r="X148" s="30" t="n">
        <v>2.64</v>
      </c>
      <c r="Y148" s="30" t="n">
        <f aca="false">W148*X148</f>
        <v>0.264</v>
      </c>
    </row>
    <row r="149" customFormat="false" ht="15" hidden="false" customHeight="false" outlineLevel="0" collapsed="false">
      <c r="Q149" s="1" t="s">
        <v>300</v>
      </c>
      <c r="U149" s="57" t="s">
        <v>295</v>
      </c>
      <c r="W149" s="59" t="n">
        <v>0.1</v>
      </c>
      <c r="X149" s="30" t="n">
        <v>5.51</v>
      </c>
      <c r="Y149" s="30" t="n">
        <f aca="false">W149*X149</f>
        <v>0.551</v>
      </c>
    </row>
    <row r="150" customFormat="false" ht="15" hidden="false" customHeight="false" outlineLevel="0" collapsed="false">
      <c r="Q150" s="1" t="s">
        <v>667</v>
      </c>
      <c r="U150" s="57" t="s">
        <v>295</v>
      </c>
      <c r="W150" s="59" t="n">
        <v>3.1</v>
      </c>
      <c r="X150" s="30" t="n">
        <v>5.8</v>
      </c>
      <c r="Y150" s="30" t="n">
        <f aca="false">W150*X150</f>
        <v>17.98</v>
      </c>
    </row>
    <row r="151" customFormat="false" ht="15" hidden="false" customHeight="false" outlineLevel="0" collapsed="false">
      <c r="Y151" s="55" t="n">
        <f aca="false">SUM(Y148:Y150)</f>
        <v>18.795</v>
      </c>
    </row>
    <row r="152" customFormat="false" ht="15" hidden="false" customHeight="false" outlineLevel="0" collapsed="false">
      <c r="Q152" s="56" t="s">
        <v>308</v>
      </c>
    </row>
    <row r="153" customFormat="false" ht="15" hidden="false" customHeight="false" outlineLevel="0" collapsed="false">
      <c r="Q153" s="1" t="s">
        <v>309</v>
      </c>
      <c r="U153" s="57" t="s">
        <v>310</v>
      </c>
      <c r="W153" s="59" t="n">
        <v>5</v>
      </c>
      <c r="X153" s="30" t="n">
        <f aca="false">Y146</f>
        <v>23.5062857142857</v>
      </c>
      <c r="Y153" s="30" t="n">
        <f aca="false">W153%*X153</f>
        <v>1.17531428571429</v>
      </c>
    </row>
    <row r="154" customFormat="false" ht="15" hidden="false" customHeight="false" outlineLevel="0" collapsed="false">
      <c r="P154" s="62"/>
      <c r="Q154" s="62"/>
      <c r="R154" s="62"/>
      <c r="S154" s="62"/>
      <c r="T154" s="62"/>
      <c r="U154" s="62"/>
      <c r="V154" s="62"/>
      <c r="W154" s="62"/>
      <c r="X154" s="62"/>
      <c r="Y154" s="63" t="n">
        <f aca="false">SUM(Y153)</f>
        <v>1.17531428571429</v>
      </c>
    </row>
    <row r="156" customFormat="false" ht="15" hidden="false" customHeight="false" outlineLevel="0" collapsed="false">
      <c r="P156" s="216" t="s">
        <v>276</v>
      </c>
      <c r="Q156" s="216"/>
      <c r="R156" s="85" t="s">
        <v>561</v>
      </c>
    </row>
    <row r="157" customFormat="false" ht="15" hidden="false" customHeight="false" outlineLevel="0" collapsed="false">
      <c r="P157" s="216" t="s">
        <v>277</v>
      </c>
      <c r="Q157" s="216" t="s">
        <v>702</v>
      </c>
      <c r="R157" s="217" t="s">
        <v>279</v>
      </c>
      <c r="S157" s="218" t="n">
        <v>250</v>
      </c>
      <c r="T157" s="217" t="s">
        <v>280</v>
      </c>
      <c r="U157" s="218" t="n">
        <f aca="false">S157</f>
        <v>250</v>
      </c>
      <c r="V157" s="216" t="s">
        <v>281</v>
      </c>
      <c r="X157" s="217" t="s">
        <v>703</v>
      </c>
      <c r="Y157" s="126" t="n">
        <f aca="false">Y163+Y167+Y170</f>
        <v>5.4833634845</v>
      </c>
    </row>
    <row r="158" customFormat="false" ht="15" hidden="false" customHeight="false" outlineLevel="0" collapsed="false">
      <c r="P158" s="216" t="s">
        <v>282</v>
      </c>
      <c r="Q158" s="216" t="s">
        <v>283</v>
      </c>
      <c r="U158" s="217" t="s">
        <v>121</v>
      </c>
      <c r="V158" s="217" t="s">
        <v>284</v>
      </c>
      <c r="W158" s="217" t="s">
        <v>285</v>
      </c>
      <c r="X158" s="217" t="s">
        <v>286</v>
      </c>
      <c r="Y158" s="217" t="s">
        <v>287</v>
      </c>
    </row>
    <row r="159" customFormat="false" ht="15" hidden="false" customHeight="false" outlineLevel="0" collapsed="false">
      <c r="Q159" s="127" t="s">
        <v>288</v>
      </c>
      <c r="V159" s="58"/>
    </row>
    <row r="160" customFormat="false" ht="15" hidden="false" customHeight="false" outlineLevel="0" collapsed="false">
      <c r="Q160" s="1" t="s">
        <v>289</v>
      </c>
      <c r="U160" s="57" t="s">
        <v>290</v>
      </c>
      <c r="V160" s="58" t="n">
        <v>1</v>
      </c>
      <c r="W160" s="101" t="n">
        <f aca="false">V160*8/$S$157</f>
        <v>0.032</v>
      </c>
      <c r="X160" s="215" t="n">
        <v>29.99</v>
      </c>
      <c r="Y160" s="30" t="n">
        <f aca="false">W160*X160</f>
        <v>0.95968</v>
      </c>
    </row>
    <row r="161" customFormat="false" ht="15" hidden="false" customHeight="false" outlineLevel="0" collapsed="false">
      <c r="Q161" s="1" t="s">
        <v>675</v>
      </c>
      <c r="U161" s="57" t="s">
        <v>290</v>
      </c>
      <c r="V161" s="58" t="n">
        <v>1</v>
      </c>
      <c r="W161" s="101" t="n">
        <f aca="false">V161*8/$S$157</f>
        <v>0.032</v>
      </c>
      <c r="X161" s="1" t="n">
        <v>21.36</v>
      </c>
      <c r="Y161" s="30" t="n">
        <f aca="false">W161*X161</f>
        <v>0.68352</v>
      </c>
    </row>
    <row r="162" customFormat="false" ht="15" hidden="false" customHeight="false" outlineLevel="0" collapsed="false">
      <c r="Q162" s="1" t="s">
        <v>649</v>
      </c>
      <c r="U162" s="57" t="s">
        <v>290</v>
      </c>
      <c r="V162" s="58" t="n">
        <v>0.1</v>
      </c>
      <c r="W162" s="101" t="n">
        <f aca="false">V162*8/$S$157</f>
        <v>0.0032</v>
      </c>
      <c r="X162" s="215" t="n">
        <v>35.99</v>
      </c>
      <c r="Y162" s="30" t="n">
        <f aca="false">W162*X162</f>
        <v>0.115168</v>
      </c>
    </row>
    <row r="163" customFormat="false" ht="15" hidden="false" customHeight="false" outlineLevel="0" collapsed="false">
      <c r="U163" s="57"/>
      <c r="V163" s="58"/>
      <c r="Y163" s="126" t="n">
        <f aca="false">SUM(Y160:Y162)</f>
        <v>1.758368</v>
      </c>
    </row>
    <row r="164" customFormat="false" ht="15" hidden="false" customHeight="false" outlineLevel="0" collapsed="false">
      <c r="Q164" s="127" t="s">
        <v>293</v>
      </c>
      <c r="U164" s="57"/>
      <c r="V164" s="58"/>
      <c r="W164" s="101"/>
    </row>
    <row r="165" customFormat="false" ht="15" hidden="false" customHeight="false" outlineLevel="0" collapsed="false">
      <c r="Q165" s="1" t="s">
        <v>294</v>
      </c>
      <c r="U165" s="57" t="s">
        <v>295</v>
      </c>
      <c r="V165" s="58"/>
      <c r="W165" s="101" t="n">
        <v>0.03</v>
      </c>
      <c r="X165" s="30" t="n">
        <v>2.64</v>
      </c>
      <c r="Y165" s="30" t="n">
        <f aca="false">W165*X165</f>
        <v>0.0792</v>
      </c>
    </row>
    <row r="166" customFormat="false" ht="15" hidden="false" customHeight="false" outlineLevel="0" collapsed="false">
      <c r="Q166" s="1" t="s">
        <v>676</v>
      </c>
      <c r="U166" s="57" t="s">
        <v>295</v>
      </c>
      <c r="V166" s="58"/>
      <c r="W166" s="101" t="n">
        <v>1.05</v>
      </c>
      <c r="X166" s="30" t="n">
        <f aca="false">1012.71*3.379/1000</f>
        <v>3.42194709</v>
      </c>
      <c r="Y166" s="30" t="n">
        <f aca="false">W166*X166</f>
        <v>3.5930444445</v>
      </c>
    </row>
    <row r="167" customFormat="false" ht="15" hidden="false" customHeight="false" outlineLevel="0" collapsed="false">
      <c r="U167" s="57"/>
      <c r="V167" s="58"/>
      <c r="Y167" s="126" t="n">
        <f aca="false">SUM(Y165:Y166)</f>
        <v>3.6722444445</v>
      </c>
    </row>
    <row r="168" customFormat="false" ht="15" hidden="false" customHeight="false" outlineLevel="0" collapsed="false">
      <c r="Q168" s="127" t="s">
        <v>317</v>
      </c>
      <c r="U168" s="57"/>
      <c r="V168" s="58"/>
    </row>
    <row r="169" customFormat="false" ht="15" hidden="false" customHeight="false" outlineLevel="0" collapsed="false">
      <c r="Q169" s="1" t="s">
        <v>309</v>
      </c>
      <c r="U169" s="57" t="s">
        <v>310</v>
      </c>
      <c r="W169" s="59" t="n">
        <v>3</v>
      </c>
      <c r="X169" s="30" t="n">
        <f aca="false">Y163</f>
        <v>1.758368</v>
      </c>
      <c r="Y169" s="30" t="n">
        <f aca="false">W169%*X169</f>
        <v>0.05275104</v>
      </c>
    </row>
    <row r="170" customFormat="false" ht="15" hidden="false" customHeight="false" outlineLevel="0" collapsed="false">
      <c r="P170" s="62"/>
      <c r="Q170" s="62"/>
      <c r="R170" s="62"/>
      <c r="S170" s="62"/>
      <c r="T170" s="62"/>
      <c r="U170" s="62"/>
      <c r="V170" s="62"/>
      <c r="W170" s="62"/>
      <c r="X170" s="62"/>
      <c r="Y170" s="128" t="n">
        <f aca="false">SUM(Y169:Y169)</f>
        <v>0.05275104</v>
      </c>
    </row>
    <row r="172" customFormat="false" ht="15" hidden="false" customHeight="false" outlineLevel="0" collapsed="false">
      <c r="P172" s="216" t="s">
        <v>276</v>
      </c>
      <c r="Q172" s="216"/>
      <c r="R172" s="85" t="s">
        <v>563</v>
      </c>
    </row>
    <row r="173" customFormat="false" ht="15" hidden="false" customHeight="false" outlineLevel="0" collapsed="false">
      <c r="P173" s="216" t="s">
        <v>277</v>
      </c>
      <c r="Q173" s="216" t="s">
        <v>704</v>
      </c>
      <c r="R173" s="217" t="s">
        <v>279</v>
      </c>
      <c r="S173" s="218" t="n">
        <v>1600</v>
      </c>
      <c r="T173" s="217" t="s">
        <v>280</v>
      </c>
      <c r="U173" s="218" t="n">
        <f aca="false">S173</f>
        <v>1600</v>
      </c>
      <c r="V173" s="216" t="s">
        <v>281</v>
      </c>
      <c r="X173" s="217" t="s">
        <v>148</v>
      </c>
      <c r="Y173" s="126" t="n">
        <f aca="false">Y179+Y183+Y186</f>
        <v>2.715605</v>
      </c>
    </row>
    <row r="174" customFormat="false" ht="15" hidden="false" customHeight="false" outlineLevel="0" collapsed="false">
      <c r="P174" s="216" t="s">
        <v>282</v>
      </c>
      <c r="Q174" s="216" t="s">
        <v>283</v>
      </c>
      <c r="U174" s="217" t="s">
        <v>121</v>
      </c>
      <c r="V174" s="217" t="s">
        <v>284</v>
      </c>
      <c r="W174" s="217" t="s">
        <v>285</v>
      </c>
      <c r="X174" s="217" t="s">
        <v>286</v>
      </c>
      <c r="Y174" s="217" t="s">
        <v>287</v>
      </c>
    </row>
    <row r="175" customFormat="false" ht="15" hidden="false" customHeight="false" outlineLevel="0" collapsed="false">
      <c r="Q175" s="127" t="s">
        <v>288</v>
      </c>
      <c r="V175" s="58"/>
    </row>
    <row r="176" customFormat="false" ht="15" hidden="false" customHeight="false" outlineLevel="0" collapsed="false">
      <c r="Q176" s="1" t="s">
        <v>289</v>
      </c>
      <c r="U176" s="57" t="s">
        <v>290</v>
      </c>
      <c r="V176" s="58" t="n">
        <v>1</v>
      </c>
      <c r="W176" s="59" t="n">
        <f aca="false">V176*8/$S$173</f>
        <v>0.005</v>
      </c>
      <c r="X176" s="1" t="n">
        <v>28.94</v>
      </c>
      <c r="Y176" s="30" t="n">
        <f aca="false">W176*X176</f>
        <v>0.1447</v>
      </c>
    </row>
    <row r="177" customFormat="false" ht="15" hidden="false" customHeight="false" outlineLevel="0" collapsed="false">
      <c r="Q177" s="1" t="s">
        <v>675</v>
      </c>
      <c r="U177" s="57" t="s">
        <v>290</v>
      </c>
      <c r="V177" s="58" t="n">
        <v>1</v>
      </c>
      <c r="W177" s="59" t="n">
        <f aca="false">V177*8/$S$173</f>
        <v>0.005</v>
      </c>
      <c r="X177" s="1" t="n">
        <v>23.6</v>
      </c>
      <c r="Y177" s="30" t="n">
        <f aca="false">W177*X177</f>
        <v>0.118</v>
      </c>
    </row>
    <row r="178" customFormat="false" ht="15" hidden="false" customHeight="false" outlineLevel="0" collapsed="false">
      <c r="Q178" s="1" t="s">
        <v>292</v>
      </c>
      <c r="U178" s="57" t="s">
        <v>290</v>
      </c>
      <c r="V178" s="58" t="n">
        <v>6</v>
      </c>
      <c r="W178" s="59" t="n">
        <f aca="false">V178*8/$S$173</f>
        <v>0.03</v>
      </c>
      <c r="X178" s="1" t="n">
        <v>21.36</v>
      </c>
      <c r="Y178" s="30" t="n">
        <f aca="false">W178*X178</f>
        <v>0.6408</v>
      </c>
    </row>
    <row r="179" customFormat="false" ht="15" hidden="false" customHeight="false" outlineLevel="0" collapsed="false">
      <c r="U179" s="57"/>
      <c r="V179" s="58"/>
      <c r="Y179" s="126" t="n">
        <f aca="false">SUM(Y176:Y178)</f>
        <v>0.9035</v>
      </c>
    </row>
    <row r="180" customFormat="false" ht="15" hidden="false" customHeight="false" outlineLevel="0" collapsed="false">
      <c r="Q180" s="127" t="s">
        <v>293</v>
      </c>
      <c r="U180" s="57"/>
      <c r="V180" s="58"/>
      <c r="W180" s="101"/>
    </row>
    <row r="181" customFormat="false" ht="15" hidden="false" customHeight="false" outlineLevel="0" collapsed="false">
      <c r="Q181" s="1" t="s">
        <v>705</v>
      </c>
      <c r="U181" s="57" t="s">
        <v>148</v>
      </c>
      <c r="V181" s="58"/>
      <c r="W181" s="101" t="n">
        <v>1.05</v>
      </c>
      <c r="X181" s="30" t="n">
        <v>1.7</v>
      </c>
      <c r="Y181" s="30" t="n">
        <f aca="false">W181*X181</f>
        <v>1.785</v>
      </c>
    </row>
    <row r="182" customFormat="false" ht="15" hidden="false" customHeight="false" outlineLevel="0" collapsed="false">
      <c r="U182" s="57"/>
      <c r="V182" s="58"/>
      <c r="W182" s="101"/>
      <c r="X182" s="30"/>
      <c r="Y182" s="30"/>
    </row>
    <row r="183" customFormat="false" ht="15" hidden="false" customHeight="false" outlineLevel="0" collapsed="false">
      <c r="U183" s="57"/>
      <c r="V183" s="58"/>
      <c r="Y183" s="126" t="n">
        <f aca="false">SUM(Y181:Y182)</f>
        <v>1.785</v>
      </c>
    </row>
    <row r="184" customFormat="false" ht="15" hidden="false" customHeight="false" outlineLevel="0" collapsed="false">
      <c r="Q184" s="127" t="s">
        <v>317</v>
      </c>
      <c r="U184" s="57"/>
      <c r="V184" s="58"/>
    </row>
    <row r="185" customFormat="false" ht="15" hidden="false" customHeight="false" outlineLevel="0" collapsed="false">
      <c r="Q185" s="1" t="s">
        <v>309</v>
      </c>
      <c r="U185" s="57" t="s">
        <v>310</v>
      </c>
      <c r="W185" s="59" t="n">
        <v>3</v>
      </c>
      <c r="X185" s="30" t="n">
        <f aca="false">Y179</f>
        <v>0.9035</v>
      </c>
      <c r="Y185" s="30" t="n">
        <f aca="false">W185%*X185</f>
        <v>0.027105</v>
      </c>
    </row>
    <row r="186" customFormat="false" ht="15" hidden="false" customHeight="false" outlineLevel="0" collapsed="false">
      <c r="P186" s="62"/>
      <c r="Q186" s="62"/>
      <c r="R186" s="62"/>
      <c r="S186" s="62"/>
      <c r="T186" s="62"/>
      <c r="U186" s="62"/>
      <c r="V186" s="62"/>
      <c r="W186" s="62"/>
      <c r="X186" s="62"/>
      <c r="Y186" s="128" t="n">
        <f aca="false">SUM(Y185:Y185)</f>
        <v>0.027105</v>
      </c>
    </row>
    <row r="188" customFormat="false" ht="15" hidden="false" customHeight="false" outlineLevel="0" collapsed="false">
      <c r="P188" s="85" t="s">
        <v>276</v>
      </c>
      <c r="Q188" s="85"/>
      <c r="R188" s="85" t="s">
        <v>576</v>
      </c>
      <c r="S188" s="85"/>
    </row>
    <row r="189" customFormat="false" ht="15" hidden="false" customHeight="false" outlineLevel="0" collapsed="false">
      <c r="P189" s="85" t="s">
        <v>277</v>
      </c>
      <c r="Q189" s="85" t="s">
        <v>415</v>
      </c>
      <c r="R189" s="87" t="s">
        <v>279</v>
      </c>
      <c r="S189" s="88" t="n">
        <v>15</v>
      </c>
      <c r="T189" s="87" t="s">
        <v>280</v>
      </c>
      <c r="U189" s="88" t="n">
        <f aca="false">S189</f>
        <v>15</v>
      </c>
      <c r="V189" s="85" t="s">
        <v>281</v>
      </c>
      <c r="X189" s="87" t="s">
        <v>202</v>
      </c>
      <c r="Y189" s="89" t="n">
        <f aca="false">Y195+Y202+Y207</f>
        <v>402.684786666667</v>
      </c>
    </row>
    <row r="190" customFormat="false" ht="15" hidden="false" customHeight="false" outlineLevel="0" collapsed="false">
      <c r="P190" s="85" t="s">
        <v>282</v>
      </c>
      <c r="Q190" s="85" t="s">
        <v>283</v>
      </c>
      <c r="U190" s="87" t="s">
        <v>121</v>
      </c>
      <c r="V190" s="87" t="s">
        <v>284</v>
      </c>
      <c r="W190" s="87" t="s">
        <v>285</v>
      </c>
      <c r="X190" s="87" t="s">
        <v>286</v>
      </c>
      <c r="Y190" s="87" t="s">
        <v>287</v>
      </c>
    </row>
    <row r="191" customFormat="false" ht="15" hidden="false" customHeight="false" outlineLevel="0" collapsed="false">
      <c r="Q191" s="90" t="s">
        <v>288</v>
      </c>
    </row>
    <row r="192" customFormat="false" ht="15" hidden="false" customHeight="false" outlineLevel="0" collapsed="false">
      <c r="Q192" s="1" t="s">
        <v>289</v>
      </c>
      <c r="U192" s="57" t="s">
        <v>290</v>
      </c>
      <c r="V192" s="58" t="n">
        <v>1</v>
      </c>
      <c r="W192" s="59" t="n">
        <f aca="false">V192*8/$S$5</f>
        <v>0.533333333333333</v>
      </c>
      <c r="X192" s="30" t="n">
        <v>28.94</v>
      </c>
      <c r="Y192" s="30" t="n">
        <f aca="false">W192*X192</f>
        <v>15.4346666666667</v>
      </c>
    </row>
    <row r="193" customFormat="false" ht="15" hidden="false" customHeight="false" outlineLevel="0" collapsed="false">
      <c r="Q193" s="1" t="s">
        <v>291</v>
      </c>
      <c r="U193" s="57" t="s">
        <v>290</v>
      </c>
      <c r="V193" s="58" t="n">
        <v>2</v>
      </c>
      <c r="W193" s="59" t="n">
        <f aca="false">V193*8/$S$5</f>
        <v>1.06666666666667</v>
      </c>
      <c r="X193" s="30" t="n">
        <v>23.6</v>
      </c>
      <c r="Y193" s="30" t="n">
        <f aca="false">W193*X193</f>
        <v>25.1733333333333</v>
      </c>
    </row>
    <row r="194" customFormat="false" ht="15" hidden="false" customHeight="false" outlineLevel="0" collapsed="false">
      <c r="Q194" s="1" t="s">
        <v>292</v>
      </c>
      <c r="U194" s="57" t="s">
        <v>290</v>
      </c>
      <c r="V194" s="58" t="n">
        <v>4</v>
      </c>
      <c r="W194" s="59" t="n">
        <f aca="false">V194*8/$S$5</f>
        <v>2.13333333333333</v>
      </c>
      <c r="X194" s="30" t="n">
        <v>21.36</v>
      </c>
      <c r="Y194" s="30" t="n">
        <f aca="false">W194*X194</f>
        <v>45.568</v>
      </c>
    </row>
    <row r="195" customFormat="false" ht="15" hidden="false" customHeight="false" outlineLevel="0" collapsed="false">
      <c r="U195" s="57"/>
      <c r="V195" s="58"/>
      <c r="W195" s="59"/>
      <c r="Y195" s="89" t="n">
        <f aca="false">SUM(Y192:Y194)</f>
        <v>86.176</v>
      </c>
    </row>
    <row r="196" customFormat="false" ht="15" hidden="false" customHeight="false" outlineLevel="0" collapsed="false">
      <c r="Q196" s="90" t="s">
        <v>652</v>
      </c>
      <c r="U196" s="57"/>
      <c r="V196" s="58"/>
      <c r="W196" s="59"/>
      <c r="Y196" s="30"/>
    </row>
    <row r="197" customFormat="false" ht="15" hidden="false" customHeight="false" outlineLevel="0" collapsed="false">
      <c r="Q197" s="1" t="s">
        <v>670</v>
      </c>
      <c r="U197" s="57" t="s">
        <v>202</v>
      </c>
      <c r="W197" s="59" t="n">
        <v>0.53</v>
      </c>
      <c r="X197" s="30" t="n">
        <v>55.08</v>
      </c>
      <c r="Y197" s="30" t="n">
        <f aca="false">W197*X197</f>
        <v>29.1924</v>
      </c>
    </row>
    <row r="198" customFormat="false" ht="15" hidden="false" customHeight="false" outlineLevel="0" collapsed="false">
      <c r="Q198" s="1" t="s">
        <v>671</v>
      </c>
      <c r="U198" s="57" t="s">
        <v>202</v>
      </c>
      <c r="W198" s="59" t="n">
        <v>0.52</v>
      </c>
      <c r="X198" s="30" t="n">
        <v>47</v>
      </c>
      <c r="Y198" s="30" t="n">
        <f aca="false">W198*X198</f>
        <v>24.44</v>
      </c>
    </row>
    <row r="199" customFormat="false" ht="15" hidden="false" customHeight="false" outlineLevel="0" collapsed="false">
      <c r="Q199" s="1" t="s">
        <v>305</v>
      </c>
      <c r="U199" s="57" t="s">
        <v>306</v>
      </c>
      <c r="W199" s="59" t="n">
        <v>9.73</v>
      </c>
      <c r="X199" s="30" t="n">
        <v>24.52</v>
      </c>
      <c r="Y199" s="30" t="n">
        <f aca="false">W199*X199</f>
        <v>238.5796</v>
      </c>
    </row>
    <row r="200" customFormat="false" ht="15" hidden="false" customHeight="false" outlineLevel="0" collapsed="false">
      <c r="Q200" s="1" t="s">
        <v>654</v>
      </c>
      <c r="U200" s="57" t="s">
        <v>202</v>
      </c>
      <c r="W200" s="59" t="n">
        <v>0.186</v>
      </c>
      <c r="X200" s="1" t="n">
        <v>6.14</v>
      </c>
      <c r="Y200" s="30" t="n">
        <f aca="false">W200*X200</f>
        <v>1.14204</v>
      </c>
    </row>
    <row r="201" customFormat="false" ht="15" hidden="false" customHeight="false" outlineLevel="0" collapsed="false">
      <c r="Q201" s="1" t="s">
        <v>663</v>
      </c>
      <c r="U201" s="57" t="s">
        <v>437</v>
      </c>
      <c r="W201" s="59" t="n">
        <v>0.36</v>
      </c>
      <c r="X201" s="1" t="n">
        <v>13.93</v>
      </c>
      <c r="Y201" s="30" t="n">
        <f aca="false">W201*X201</f>
        <v>5.0148</v>
      </c>
    </row>
    <row r="202" customFormat="false" ht="15" hidden="false" customHeight="false" outlineLevel="0" collapsed="false">
      <c r="U202" s="57"/>
      <c r="W202" s="59"/>
      <c r="X202" s="30"/>
      <c r="Y202" s="89" t="n">
        <f aca="false">SUM(Y197:Y201)</f>
        <v>298.36884</v>
      </c>
    </row>
    <row r="203" customFormat="false" ht="15" hidden="false" customHeight="false" outlineLevel="0" collapsed="false">
      <c r="Q203" s="90" t="s">
        <v>308</v>
      </c>
    </row>
    <row r="204" customFormat="false" ht="15" hidden="false" customHeight="false" outlineLevel="0" collapsed="false">
      <c r="Q204" s="1" t="s">
        <v>309</v>
      </c>
      <c r="U204" s="57" t="s">
        <v>310</v>
      </c>
      <c r="W204" s="59" t="n">
        <v>3</v>
      </c>
      <c r="X204" s="30" t="n">
        <f aca="false">Y195</f>
        <v>86.176</v>
      </c>
      <c r="Y204" s="30" t="n">
        <f aca="false">W204%*X204</f>
        <v>2.58528</v>
      </c>
    </row>
    <row r="205" customFormat="false" ht="15" hidden="false" customHeight="false" outlineLevel="0" collapsed="false">
      <c r="Q205" s="1" t="s">
        <v>665</v>
      </c>
      <c r="U205" s="57" t="s">
        <v>337</v>
      </c>
      <c r="V205" s="58" t="n">
        <v>1</v>
      </c>
      <c r="W205" s="59" t="n">
        <f aca="false">V205*8/$S$5</f>
        <v>0.533333333333333</v>
      </c>
      <c r="X205" s="30" t="n">
        <v>25.63</v>
      </c>
      <c r="Y205" s="30" t="n">
        <f aca="false">W205*X205</f>
        <v>13.6693333333333</v>
      </c>
    </row>
    <row r="206" customFormat="false" ht="15" hidden="false" customHeight="false" outlineLevel="0" collapsed="false">
      <c r="Q206" s="1" t="s">
        <v>673</v>
      </c>
      <c r="U206" s="57" t="s">
        <v>337</v>
      </c>
      <c r="V206" s="58" t="n">
        <v>0.5</v>
      </c>
      <c r="W206" s="59" t="n">
        <f aca="false">V206*8/$S$5</f>
        <v>0.266666666666667</v>
      </c>
      <c r="X206" s="30" t="n">
        <v>7.07</v>
      </c>
      <c r="Y206" s="30" t="n">
        <f aca="false">W206*X206</f>
        <v>1.88533333333333</v>
      </c>
    </row>
    <row r="207" customFormat="false" ht="15" hidden="false" customHeight="false" outlineLevel="0" collapsed="false">
      <c r="P207" s="62"/>
      <c r="Q207" s="62"/>
      <c r="R207" s="62"/>
      <c r="S207" s="62"/>
      <c r="T207" s="62"/>
      <c r="U207" s="62"/>
      <c r="V207" s="62"/>
      <c r="W207" s="62"/>
      <c r="X207" s="62"/>
      <c r="Y207" s="91" t="n">
        <f aca="false">SUM(Y204:Y206)</f>
        <v>18.1399466666667</v>
      </c>
    </row>
    <row r="209" customFormat="false" ht="15" hidden="false" customHeight="false" outlineLevel="0" collapsed="false">
      <c r="P209" s="85" t="s">
        <v>276</v>
      </c>
      <c r="Q209" s="85"/>
      <c r="R209" s="85" t="s">
        <v>578</v>
      </c>
      <c r="S209" s="85"/>
    </row>
    <row r="210" customFormat="false" ht="15" hidden="false" customHeight="false" outlineLevel="0" collapsed="false">
      <c r="P210" s="85" t="s">
        <v>277</v>
      </c>
      <c r="Q210" s="85" t="s">
        <v>278</v>
      </c>
      <c r="R210" s="87" t="s">
        <v>279</v>
      </c>
      <c r="S210" s="88" t="n">
        <v>35</v>
      </c>
      <c r="T210" s="87" t="s">
        <v>280</v>
      </c>
      <c r="U210" s="88" t="n">
        <f aca="false">S210</f>
        <v>35</v>
      </c>
      <c r="V210" s="85" t="s">
        <v>281</v>
      </c>
      <c r="X210" s="87" t="s">
        <v>132</v>
      </c>
      <c r="Y210" s="89" t="n">
        <f aca="false">Y216+Y221+Y224</f>
        <v>47.5915742857143</v>
      </c>
    </row>
    <row r="211" customFormat="false" ht="15" hidden="false" customHeight="false" outlineLevel="0" collapsed="false">
      <c r="P211" s="85" t="s">
        <v>282</v>
      </c>
      <c r="Q211" s="85" t="s">
        <v>283</v>
      </c>
      <c r="U211" s="87" t="s">
        <v>121</v>
      </c>
      <c r="V211" s="87" t="s">
        <v>284</v>
      </c>
      <c r="W211" s="87" t="s">
        <v>285</v>
      </c>
      <c r="X211" s="87" t="s">
        <v>286</v>
      </c>
      <c r="Y211" s="87" t="s">
        <v>287</v>
      </c>
    </row>
    <row r="212" customFormat="false" ht="15" hidden="false" customHeight="false" outlineLevel="0" collapsed="false">
      <c r="Q212" s="90" t="s">
        <v>288</v>
      </c>
    </row>
    <row r="213" customFormat="false" ht="15" hidden="false" customHeight="false" outlineLevel="0" collapsed="false">
      <c r="Q213" s="1" t="s">
        <v>289</v>
      </c>
      <c r="U213" s="57" t="s">
        <v>290</v>
      </c>
      <c r="V213" s="58" t="n">
        <v>2</v>
      </c>
      <c r="W213" s="59" t="n">
        <f aca="false">V213*8/$S$210</f>
        <v>0.457142857142857</v>
      </c>
      <c r="X213" s="30" t="n">
        <v>28.94</v>
      </c>
      <c r="Y213" s="30" t="n">
        <f aca="false">W213*X213</f>
        <v>13.2297142857143</v>
      </c>
    </row>
    <row r="214" customFormat="false" ht="15" hidden="false" customHeight="false" outlineLevel="0" collapsed="false">
      <c r="Q214" s="1" t="s">
        <v>291</v>
      </c>
      <c r="U214" s="57" t="s">
        <v>290</v>
      </c>
      <c r="V214" s="58" t="n">
        <v>1</v>
      </c>
      <c r="W214" s="59" t="n">
        <f aca="false">V214*8/$S$210</f>
        <v>0.228571428571429</v>
      </c>
      <c r="X214" s="30" t="n">
        <v>23.6</v>
      </c>
      <c r="Y214" s="30" t="n">
        <f aca="false">W214*X214</f>
        <v>5.39428571428571</v>
      </c>
    </row>
    <row r="215" customFormat="false" ht="15" hidden="false" customHeight="false" outlineLevel="0" collapsed="false">
      <c r="Q215" s="1" t="s">
        <v>292</v>
      </c>
      <c r="U215" s="57" t="s">
        <v>290</v>
      </c>
      <c r="V215" s="58" t="n">
        <v>1</v>
      </c>
      <c r="W215" s="59" t="n">
        <f aca="false">V215*8/$S$210</f>
        <v>0.228571428571429</v>
      </c>
      <c r="X215" s="30" t="n">
        <v>21.36</v>
      </c>
      <c r="Y215" s="30" t="n">
        <f aca="false">W215*X215</f>
        <v>4.88228571428571</v>
      </c>
    </row>
    <row r="216" customFormat="false" ht="15" hidden="false" customHeight="false" outlineLevel="0" collapsed="false">
      <c r="U216" s="57"/>
      <c r="V216" s="58"/>
      <c r="W216" s="59"/>
      <c r="Y216" s="89" t="n">
        <f aca="false">SUM(Y213:Y215)</f>
        <v>23.5062857142857</v>
      </c>
    </row>
    <row r="217" customFormat="false" ht="15" hidden="false" customHeight="false" outlineLevel="0" collapsed="false">
      <c r="Q217" s="90" t="s">
        <v>652</v>
      </c>
      <c r="U217" s="57"/>
      <c r="V217" s="58"/>
      <c r="W217" s="59"/>
      <c r="Y217" s="30"/>
    </row>
    <row r="218" customFormat="false" ht="15" hidden="false" customHeight="false" outlineLevel="0" collapsed="false">
      <c r="Q218" s="1" t="s">
        <v>685</v>
      </c>
      <c r="U218" s="57" t="s">
        <v>295</v>
      </c>
      <c r="W218" s="59" t="n">
        <v>0.3</v>
      </c>
      <c r="X218" s="30" t="n">
        <v>2.64</v>
      </c>
      <c r="Y218" s="30" t="n">
        <f aca="false">W218*X218</f>
        <v>0.792</v>
      </c>
    </row>
    <row r="219" customFormat="false" ht="15" hidden="false" customHeight="false" outlineLevel="0" collapsed="false">
      <c r="Q219" s="1" t="s">
        <v>300</v>
      </c>
      <c r="U219" s="57" t="s">
        <v>295</v>
      </c>
      <c r="W219" s="59" t="n">
        <v>0.31</v>
      </c>
      <c r="X219" s="30" t="n">
        <v>5.51</v>
      </c>
      <c r="Y219" s="30" t="n">
        <f aca="false">W219*X219</f>
        <v>1.7081</v>
      </c>
    </row>
    <row r="220" customFormat="false" ht="15" hidden="false" customHeight="false" outlineLevel="0" collapsed="false">
      <c r="Q220" s="1" t="s">
        <v>667</v>
      </c>
      <c r="U220" s="57" t="s">
        <v>304</v>
      </c>
      <c r="W220" s="59" t="n">
        <v>3.6</v>
      </c>
      <c r="X220" s="30" t="n">
        <v>5.8</v>
      </c>
      <c r="Y220" s="30" t="n">
        <f aca="false">W220*X220</f>
        <v>20.88</v>
      </c>
    </row>
    <row r="221" customFormat="false" ht="15" hidden="false" customHeight="false" outlineLevel="0" collapsed="false">
      <c r="U221" s="57"/>
      <c r="W221" s="59"/>
      <c r="X221" s="30"/>
      <c r="Y221" s="89" t="n">
        <f aca="false">SUM(Y218:Y220)</f>
        <v>23.3801</v>
      </c>
    </row>
    <row r="222" customFormat="false" ht="15" hidden="false" customHeight="false" outlineLevel="0" collapsed="false">
      <c r="Q222" s="90" t="s">
        <v>308</v>
      </c>
    </row>
    <row r="223" customFormat="false" ht="15" hidden="false" customHeight="false" outlineLevel="0" collapsed="false">
      <c r="Q223" s="1" t="s">
        <v>309</v>
      </c>
      <c r="U223" s="57" t="s">
        <v>310</v>
      </c>
      <c r="W223" s="59" t="n">
        <v>3</v>
      </c>
      <c r="X223" s="30" t="n">
        <f aca="false">Y216</f>
        <v>23.5062857142857</v>
      </c>
      <c r="Y223" s="30" t="n">
        <f aca="false">W223%*X223</f>
        <v>0.705188571428571</v>
      </c>
    </row>
    <row r="224" customFormat="false" ht="15" hidden="false" customHeight="false" outlineLevel="0" collapsed="false">
      <c r="P224" s="62"/>
      <c r="Q224" s="62"/>
      <c r="R224" s="62"/>
      <c r="S224" s="62"/>
      <c r="T224" s="62"/>
      <c r="U224" s="62"/>
      <c r="V224" s="62"/>
      <c r="W224" s="62"/>
      <c r="X224" s="62"/>
      <c r="Y224" s="91" t="n">
        <f aca="false">SUM(Y223)</f>
        <v>0.705188571428571</v>
      </c>
    </row>
    <row r="226" customFormat="false" ht="15" hidden="false" customHeight="false" outlineLevel="0" collapsed="false">
      <c r="P226" s="85" t="s">
        <v>276</v>
      </c>
      <c r="Q226" s="85"/>
      <c r="R226" s="85" t="s">
        <v>580</v>
      </c>
      <c r="S226" s="85"/>
    </row>
    <row r="227" customFormat="false" ht="15" hidden="false" customHeight="false" outlineLevel="0" collapsed="false">
      <c r="P227" s="85" t="s">
        <v>277</v>
      </c>
      <c r="Q227" s="85" t="s">
        <v>278</v>
      </c>
      <c r="R227" s="87" t="s">
        <v>279</v>
      </c>
      <c r="S227" s="88" t="n">
        <v>250</v>
      </c>
      <c r="T227" s="87" t="s">
        <v>280</v>
      </c>
      <c r="U227" s="88" t="n">
        <f aca="false">S227</f>
        <v>250</v>
      </c>
      <c r="V227" s="85" t="s">
        <v>281</v>
      </c>
      <c r="X227" s="87" t="s">
        <v>132</v>
      </c>
      <c r="Y227" s="89" t="n">
        <f aca="false">Y232+Y236+Y240</f>
        <v>5.5639628445</v>
      </c>
    </row>
    <row r="228" customFormat="false" ht="15" hidden="false" customHeight="false" outlineLevel="0" collapsed="false">
      <c r="P228" s="85" t="s">
        <v>282</v>
      </c>
      <c r="Q228" s="85" t="s">
        <v>283</v>
      </c>
      <c r="U228" s="87" t="s">
        <v>121</v>
      </c>
      <c r="V228" s="87" t="s">
        <v>284</v>
      </c>
      <c r="W228" s="87" t="s">
        <v>285</v>
      </c>
      <c r="X228" s="87" t="s">
        <v>286</v>
      </c>
      <c r="Y228" s="87" t="s">
        <v>287</v>
      </c>
    </row>
    <row r="229" customFormat="false" ht="15" hidden="false" customHeight="false" outlineLevel="0" collapsed="false">
      <c r="Q229" s="90" t="s">
        <v>288</v>
      </c>
    </row>
    <row r="230" customFormat="false" ht="15" hidden="false" customHeight="false" outlineLevel="0" collapsed="false">
      <c r="Q230" s="1" t="s">
        <v>289</v>
      </c>
      <c r="U230" s="57" t="s">
        <v>290</v>
      </c>
      <c r="V230" s="58" t="n">
        <v>1</v>
      </c>
      <c r="W230" s="101" t="n">
        <f aca="false">V230*8/$S$43</f>
        <v>0.032</v>
      </c>
      <c r="X230" s="30" t="n">
        <v>28.94</v>
      </c>
      <c r="Y230" s="30" t="n">
        <f aca="false">W230*X230</f>
        <v>0.92608</v>
      </c>
    </row>
    <row r="231" customFormat="false" ht="15" hidden="false" customHeight="false" outlineLevel="0" collapsed="false">
      <c r="Q231" s="1" t="s">
        <v>675</v>
      </c>
      <c r="U231" s="57" t="s">
        <v>290</v>
      </c>
      <c r="V231" s="58" t="n">
        <v>1</v>
      </c>
      <c r="W231" s="101" t="n">
        <f aca="false">V231*8/$S$43</f>
        <v>0.032</v>
      </c>
      <c r="X231" s="30" t="n">
        <v>23.6</v>
      </c>
      <c r="Y231" s="30" t="n">
        <f aca="false">W231*X231</f>
        <v>0.7552</v>
      </c>
    </row>
    <row r="232" customFormat="false" ht="15" hidden="false" customHeight="false" outlineLevel="0" collapsed="false">
      <c r="U232" s="57"/>
      <c r="V232" s="58"/>
      <c r="Y232" s="89" t="n">
        <f aca="false">SUM(Y230:Y231)</f>
        <v>1.68128</v>
      </c>
    </row>
    <row r="233" customFormat="false" ht="15" hidden="false" customHeight="false" outlineLevel="0" collapsed="false">
      <c r="Q233" s="90" t="s">
        <v>293</v>
      </c>
      <c r="U233" s="57"/>
      <c r="V233" s="58"/>
      <c r="W233" s="101"/>
    </row>
    <row r="234" customFormat="false" ht="15" hidden="false" customHeight="false" outlineLevel="0" collapsed="false">
      <c r="Q234" s="1" t="s">
        <v>294</v>
      </c>
      <c r="U234" s="57" t="s">
        <v>295</v>
      </c>
      <c r="V234" s="58"/>
      <c r="W234" s="101" t="n">
        <v>0.03</v>
      </c>
      <c r="X234" s="30" t="n">
        <v>2.64</v>
      </c>
      <c r="Y234" s="30" t="n">
        <f aca="false">W234*X234</f>
        <v>0.0792</v>
      </c>
    </row>
    <row r="235" customFormat="false" ht="15" hidden="false" customHeight="false" outlineLevel="0" collapsed="false">
      <c r="Q235" s="1" t="s">
        <v>676</v>
      </c>
      <c r="U235" s="57" t="s">
        <v>295</v>
      </c>
      <c r="V235" s="58"/>
      <c r="W235" s="101" t="n">
        <v>1.05</v>
      </c>
      <c r="X235" s="30" t="n">
        <f aca="false">1012.71*3.379/1000</f>
        <v>3.42194709</v>
      </c>
      <c r="Y235" s="30" t="n">
        <f aca="false">W235*X235</f>
        <v>3.5930444445</v>
      </c>
    </row>
    <row r="236" customFormat="false" ht="15" hidden="false" customHeight="false" outlineLevel="0" collapsed="false">
      <c r="U236" s="57"/>
      <c r="V236" s="58"/>
      <c r="Y236" s="89" t="n">
        <f aca="false">SUM(Y234:Y235)</f>
        <v>3.6722444445</v>
      </c>
    </row>
    <row r="237" customFormat="false" ht="15" hidden="false" customHeight="false" outlineLevel="0" collapsed="false">
      <c r="Q237" s="90" t="s">
        <v>317</v>
      </c>
      <c r="U237" s="57"/>
      <c r="V237" s="58"/>
    </row>
    <row r="238" customFormat="false" ht="15" hidden="false" customHeight="false" outlineLevel="0" collapsed="false">
      <c r="Q238" s="1" t="s">
        <v>309</v>
      </c>
      <c r="U238" s="57" t="s">
        <v>310</v>
      </c>
      <c r="W238" s="59" t="n">
        <v>3</v>
      </c>
      <c r="X238" s="30" t="n">
        <f aca="false">Y232</f>
        <v>1.68128</v>
      </c>
      <c r="Y238" s="30" t="n">
        <f aca="false">W238%*X238</f>
        <v>0.0504384</v>
      </c>
    </row>
    <row r="239" customFormat="false" ht="15" hidden="false" customHeight="false" outlineLevel="0" collapsed="false">
      <c r="Q239" s="1" t="s">
        <v>677</v>
      </c>
      <c r="U239" s="57" t="s">
        <v>290</v>
      </c>
      <c r="V239" s="58" t="n">
        <v>1</v>
      </c>
      <c r="W239" s="101" t="n">
        <f aca="false">V239*8/$S$43</f>
        <v>0.032</v>
      </c>
      <c r="X239" s="65" t="n">
        <v>5</v>
      </c>
      <c r="Y239" s="30" t="n">
        <f aca="false">W239*X239</f>
        <v>0.16</v>
      </c>
    </row>
    <row r="240" customFormat="false" ht="15" hidden="false" customHeight="false" outlineLevel="0" collapsed="false">
      <c r="P240" s="62"/>
      <c r="Q240" s="62"/>
      <c r="R240" s="62"/>
      <c r="S240" s="62"/>
      <c r="T240" s="62"/>
      <c r="U240" s="62"/>
      <c r="V240" s="62"/>
      <c r="W240" s="62"/>
      <c r="X240" s="62"/>
      <c r="Y240" s="91" t="n">
        <f aca="false">SUM(Y238:Y239)</f>
        <v>0.2104384</v>
      </c>
    </row>
    <row r="366" customFormat="false" ht="15" hidden="false" customHeight="false" outlineLevel="0" collapsed="false">
      <c r="L366" s="15"/>
    </row>
    <row r="419" customFormat="false" ht="15" hidden="false" customHeight="false" outlineLevel="0" collapsed="false">
      <c r="Q419" s="90"/>
      <c r="U419" s="57"/>
      <c r="V419" s="58"/>
      <c r="W419" s="59"/>
      <c r="Y419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M61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1" activeCellId="0" sqref="D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9.43"/>
    <col collapsed="false" customWidth="true" hidden="false" outlineLevel="0" max="4" min="4" style="1" width="14"/>
    <col collapsed="false" customWidth="true" hidden="false" outlineLevel="0" max="6" min="6" style="1" width="9.86"/>
    <col collapsed="false" customWidth="true" hidden="false" outlineLevel="0" max="7" min="7" style="1" width="10.43"/>
    <col collapsed="false" customWidth="true" hidden="false" outlineLevel="0" max="21" min="21" style="1" width="9.3"/>
    <col collapsed="false" customWidth="true" hidden="false" outlineLevel="0" max="30" min="30" style="1" width="30.43"/>
    <col collapsed="false" customWidth="true" hidden="false" outlineLevel="0" max="33" min="33" style="1" width="9.3"/>
  </cols>
  <sheetData>
    <row r="2" customFormat="false" ht="15" hidden="false" customHeight="false" outlineLevel="0" collapsed="false">
      <c r="M2" s="159" t="s">
        <v>1374</v>
      </c>
      <c r="N2" s="159" t="n">
        <f aca="false">'Datos iniciales '!B13</f>
        <v>0</v>
      </c>
    </row>
    <row r="3" customFormat="false" ht="15" hidden="false" customHeight="false" outlineLevel="0" collapsed="false">
      <c r="B3" s="38" t="s">
        <v>1223</v>
      </c>
      <c r="C3" s="38" t="s">
        <v>121</v>
      </c>
      <c r="D3" s="38" t="s">
        <v>122</v>
      </c>
      <c r="E3" s="38" t="s">
        <v>123</v>
      </c>
      <c r="F3" s="38" t="s">
        <v>452</v>
      </c>
      <c r="G3" s="38" t="s">
        <v>453</v>
      </c>
      <c r="M3" s="159"/>
      <c r="N3" s="159"/>
    </row>
    <row r="4" customFormat="false" ht="15" hidden="false" customHeight="false" outlineLevel="0" collapsed="false">
      <c r="A4" s="27" t="s">
        <v>1375</v>
      </c>
      <c r="B4" s="27"/>
      <c r="M4" s="159" t="s">
        <v>1373</v>
      </c>
      <c r="N4" s="159" t="e">
        <f aca="false">G5/N2</f>
        <v>#DIV/0!</v>
      </c>
    </row>
    <row r="5" customFormat="false" ht="15" hidden="false" customHeight="false" outlineLevel="0" collapsed="false">
      <c r="A5" s="27"/>
      <c r="B5" s="14"/>
      <c r="F5" s="14"/>
      <c r="G5" s="30" t="n">
        <f aca="false">SUM(F6:F22)</f>
        <v>0</v>
      </c>
      <c r="AA5" s="30"/>
    </row>
    <row r="6" customFormat="false" ht="15" hidden="false" customHeight="false" outlineLevel="0" collapsed="false">
      <c r="A6" s="27" t="s">
        <v>474</v>
      </c>
      <c r="D6" s="30"/>
      <c r="F6" s="30"/>
      <c r="R6" s="14" t="s">
        <v>276</v>
      </c>
      <c r="S6" s="14"/>
      <c r="T6" s="14" t="s">
        <v>1376</v>
      </c>
      <c r="U6" s="14"/>
    </row>
    <row r="7" customFormat="false" ht="15" hidden="false" customHeight="false" outlineLevel="0" collapsed="false">
      <c r="A7" s="1" t="s">
        <v>482</v>
      </c>
      <c r="B7" s="1" t="n">
        <v>0.0196928223844282</v>
      </c>
      <c r="C7" s="1" t="s">
        <v>132</v>
      </c>
      <c r="D7" s="30" t="n">
        <f aca="false">B7*$N$2</f>
        <v>0</v>
      </c>
      <c r="E7" s="30" t="n">
        <f aca="false">AA111</f>
        <v>238.3435744</v>
      </c>
      <c r="F7" s="30" t="n">
        <f aca="false">D7*E7</f>
        <v>0</v>
      </c>
      <c r="R7" s="14" t="s">
        <v>277</v>
      </c>
      <c r="S7" s="14" t="s">
        <v>278</v>
      </c>
      <c r="T7" s="38" t="s">
        <v>279</v>
      </c>
      <c r="U7" s="54" t="n">
        <v>500</v>
      </c>
      <c r="V7" s="38" t="s">
        <v>280</v>
      </c>
      <c r="W7" s="54" t="n">
        <f aca="false">U7</f>
        <v>500</v>
      </c>
      <c r="X7" s="14" t="s">
        <v>281</v>
      </c>
      <c r="Z7" s="38" t="s">
        <v>132</v>
      </c>
      <c r="AA7" s="55" t="n">
        <f aca="false">AA13+AA18+AA23</f>
        <v>2.89927064</v>
      </c>
    </row>
    <row r="8" customFormat="false" ht="15" hidden="false" customHeight="false" outlineLevel="0" collapsed="false">
      <c r="A8" s="1" t="s">
        <v>666</v>
      </c>
      <c r="B8" s="1" t="n">
        <v>0.233804744525547</v>
      </c>
      <c r="C8" s="1" t="s">
        <v>132</v>
      </c>
      <c r="D8" s="30" t="n">
        <f aca="false">B8*$N$2</f>
        <v>0</v>
      </c>
      <c r="E8" s="30" t="n">
        <f aca="false">AA133</f>
        <v>39.6208818181818</v>
      </c>
      <c r="F8" s="30" t="n">
        <f aca="false">D8*E8</f>
        <v>0</v>
      </c>
      <c r="R8" s="14" t="s">
        <v>282</v>
      </c>
      <c r="S8" s="14" t="s">
        <v>283</v>
      </c>
      <c r="W8" s="38" t="s">
        <v>121</v>
      </c>
      <c r="X8" s="38" t="s">
        <v>284</v>
      </c>
      <c r="Y8" s="38" t="s">
        <v>285</v>
      </c>
      <c r="Z8" s="38" t="s">
        <v>286</v>
      </c>
      <c r="AA8" s="38" t="s">
        <v>287</v>
      </c>
    </row>
    <row r="9" customFormat="false" ht="15" hidden="false" customHeight="false" outlineLevel="0" collapsed="false">
      <c r="A9" s="27" t="s">
        <v>1377</v>
      </c>
      <c r="D9" s="30"/>
      <c r="F9" s="30"/>
      <c r="S9" s="56" t="s">
        <v>288</v>
      </c>
    </row>
    <row r="10" customFormat="false" ht="15" hidden="false" customHeight="false" outlineLevel="0" collapsed="false">
      <c r="A10" s="27" t="s">
        <v>515</v>
      </c>
      <c r="D10" s="30"/>
      <c r="F10" s="30"/>
      <c r="S10" s="1" t="s">
        <v>1378</v>
      </c>
      <c r="W10" s="57" t="s">
        <v>290</v>
      </c>
      <c r="X10" s="58" t="n">
        <v>1</v>
      </c>
      <c r="Y10" s="59" t="n">
        <f aca="false">X10*8/$U$7</f>
        <v>0.016</v>
      </c>
      <c r="Z10" s="1" t="n">
        <v>28.94</v>
      </c>
      <c r="AA10" s="30" t="n">
        <f aca="false">Y10*Z10</f>
        <v>0.46304</v>
      </c>
    </row>
    <row r="11" customFormat="false" ht="15" hidden="false" customHeight="false" outlineLevel="0" collapsed="false">
      <c r="A11" s="1" t="s">
        <v>517</v>
      </c>
      <c r="B11" s="1" t="n">
        <v>0.00492700729927007</v>
      </c>
      <c r="C11" s="1" t="s">
        <v>202</v>
      </c>
      <c r="D11" s="30" t="n">
        <f aca="false">B11*$N$2</f>
        <v>0</v>
      </c>
      <c r="E11" s="30" t="n">
        <f aca="false">AA207</f>
        <v>424.9218</v>
      </c>
      <c r="F11" s="30" t="n">
        <f aca="false">D11*E11</f>
        <v>0</v>
      </c>
      <c r="S11" s="1" t="s">
        <v>292</v>
      </c>
      <c r="W11" s="57" t="s">
        <v>290</v>
      </c>
      <c r="X11" s="58" t="n">
        <v>3</v>
      </c>
      <c r="Y11" s="59" t="n">
        <f aca="false">X11*8/$U$7</f>
        <v>0.048</v>
      </c>
      <c r="Z11" s="1" t="n">
        <v>20.51</v>
      </c>
      <c r="AA11" s="30" t="n">
        <f aca="false">Y11*Z11</f>
        <v>0.98448</v>
      </c>
    </row>
    <row r="12" customFormat="false" ht="15" hidden="false" customHeight="false" outlineLevel="0" collapsed="false">
      <c r="A12" s="1" t="s">
        <v>519</v>
      </c>
      <c r="B12" s="1" t="n">
        <v>0.030793795620438</v>
      </c>
      <c r="C12" s="1" t="s">
        <v>132</v>
      </c>
      <c r="D12" s="30" t="n">
        <f aca="false">B12*$N$2</f>
        <v>0</v>
      </c>
      <c r="E12" s="30" t="n">
        <f aca="false">AA228</f>
        <v>42.64448</v>
      </c>
      <c r="F12" s="30" t="n">
        <f aca="false">D12*E12</f>
        <v>0</v>
      </c>
      <c r="S12" s="1" t="s">
        <v>649</v>
      </c>
      <c r="W12" s="57" t="s">
        <v>290</v>
      </c>
      <c r="X12" s="58" t="n">
        <v>0.1</v>
      </c>
      <c r="Y12" s="59" t="n">
        <f aca="false">X12*8/$U$7</f>
        <v>0.0016</v>
      </c>
      <c r="Z12" s="1" t="n">
        <v>34.73</v>
      </c>
      <c r="AA12" s="30" t="n">
        <f aca="false">Y12*Z12</f>
        <v>0.055568</v>
      </c>
    </row>
    <row r="13" customFormat="false" ht="15" hidden="false" customHeight="false" outlineLevel="0" collapsed="false">
      <c r="A13" s="1" t="s">
        <v>521</v>
      </c>
      <c r="B13" s="1" t="n">
        <v>1.08394160583942</v>
      </c>
      <c r="C13" s="1" t="s">
        <v>295</v>
      </c>
      <c r="D13" s="30" t="n">
        <f aca="false">B13*$N$2</f>
        <v>0</v>
      </c>
      <c r="E13" s="30" t="n">
        <f aca="false">AA244</f>
        <v>5.5639628445</v>
      </c>
      <c r="F13" s="30" t="n">
        <f aca="false">D13*E13</f>
        <v>0</v>
      </c>
      <c r="AA13" s="55" t="n">
        <f aca="false">SUM(AA10:AA12)</f>
        <v>1.503088</v>
      </c>
    </row>
    <row r="14" customFormat="false" ht="15" hidden="false" customHeight="false" outlineLevel="0" collapsed="false">
      <c r="A14" s="27" t="s">
        <v>566</v>
      </c>
      <c r="B14" s="27"/>
      <c r="D14" s="30"/>
      <c r="F14" s="30"/>
      <c r="S14" s="56" t="s">
        <v>652</v>
      </c>
    </row>
    <row r="15" customFormat="false" ht="15" hidden="false" customHeight="true" outlineLevel="0" collapsed="false">
      <c r="A15" s="76" t="s">
        <v>568</v>
      </c>
      <c r="B15" s="76" t="n">
        <v>0.058470194647202</v>
      </c>
      <c r="C15" s="1" t="s">
        <v>202</v>
      </c>
      <c r="D15" s="30" t="n">
        <f aca="false">B15*$N$2</f>
        <v>0</v>
      </c>
      <c r="E15" s="30" t="n">
        <f aca="false">AA497</f>
        <v>471.73034</v>
      </c>
      <c r="F15" s="30" t="n">
        <f aca="false">D15*E15</f>
        <v>0</v>
      </c>
      <c r="S15" s="1" t="s">
        <v>300</v>
      </c>
      <c r="W15" s="57" t="s">
        <v>295</v>
      </c>
      <c r="Y15" s="59" t="n">
        <v>0.005</v>
      </c>
      <c r="Z15" s="1" t="n">
        <v>5.51</v>
      </c>
      <c r="AA15" s="30" t="n">
        <f aca="false">Y15*Z15</f>
        <v>0.02755</v>
      </c>
    </row>
    <row r="16" customFormat="false" ht="15" hidden="false" customHeight="false" outlineLevel="0" collapsed="false">
      <c r="A16" s="76" t="s">
        <v>570</v>
      </c>
      <c r="B16" s="76" t="n">
        <v>0.233804744525547</v>
      </c>
      <c r="C16" s="1" t="s">
        <v>132</v>
      </c>
      <c r="D16" s="30" t="n">
        <f aca="false">B16*$N$2</f>
        <v>0</v>
      </c>
      <c r="E16" s="30" t="n">
        <f aca="false">AA522</f>
        <v>67.9480666666667</v>
      </c>
      <c r="F16" s="30" t="n">
        <f aca="false">D16*E16</f>
        <v>0</v>
      </c>
      <c r="S16" s="1" t="s">
        <v>1379</v>
      </c>
      <c r="T16" s="219"/>
      <c r="U16" s="219"/>
      <c r="V16" s="219"/>
      <c r="W16" s="57" t="s">
        <v>306</v>
      </c>
      <c r="X16" s="219"/>
      <c r="Y16" s="59" t="n">
        <v>0.025</v>
      </c>
      <c r="Z16" s="30" t="n">
        <v>38.9</v>
      </c>
      <c r="AA16" s="30" t="n">
        <f aca="false">Y16*Z16</f>
        <v>0.9725</v>
      </c>
    </row>
    <row r="17" customFormat="false" ht="15" hidden="false" customHeight="false" outlineLevel="0" collapsed="false">
      <c r="A17" s="76" t="s">
        <v>707</v>
      </c>
      <c r="B17" s="76" t="n">
        <v>8.76771593673966</v>
      </c>
      <c r="C17" s="1" t="s">
        <v>295</v>
      </c>
      <c r="D17" s="30" t="n">
        <f aca="false">B17*$N$2</f>
        <v>0</v>
      </c>
      <c r="E17" s="30" t="n">
        <f aca="false">AA539</f>
        <v>5.4833634845</v>
      </c>
      <c r="F17" s="30" t="n">
        <f aca="false">D17*E17</f>
        <v>0</v>
      </c>
      <c r="S17" s="1" t="s">
        <v>307</v>
      </c>
      <c r="W17" s="57" t="s">
        <v>304</v>
      </c>
      <c r="Y17" s="59" t="n">
        <v>0.02</v>
      </c>
      <c r="Z17" s="71" t="n">
        <v>5.8</v>
      </c>
      <c r="AA17" s="30" t="n">
        <f aca="false">Y17*Z17</f>
        <v>0.116</v>
      </c>
    </row>
    <row r="18" customFormat="false" ht="15" hidden="false" customHeight="false" outlineLevel="0" collapsed="false">
      <c r="A18" s="27" t="s">
        <v>582</v>
      </c>
      <c r="D18" s="30"/>
      <c r="F18" s="30"/>
      <c r="AA18" s="55" t="n">
        <f aca="false">SUM(AA15:AA17)</f>
        <v>1.11605</v>
      </c>
    </row>
    <row r="19" customFormat="false" ht="15" hidden="false" customHeight="false" outlineLevel="0" collapsed="false">
      <c r="A19" s="1" t="s">
        <v>584</v>
      </c>
      <c r="B19" s="1" t="n">
        <v>0.251172445255474</v>
      </c>
      <c r="C19" s="1" t="s">
        <v>202</v>
      </c>
      <c r="D19" s="30" t="n">
        <f aca="false">B19*$N$2</f>
        <v>0</v>
      </c>
      <c r="E19" s="30" t="n">
        <f aca="false">AA555</f>
        <v>554.637093333333</v>
      </c>
      <c r="F19" s="30" t="n">
        <f aca="false">D19*E19</f>
        <v>0</v>
      </c>
      <c r="S19" s="56" t="s">
        <v>308</v>
      </c>
    </row>
    <row r="20" customFormat="false" ht="15" hidden="false" customHeight="false" outlineLevel="0" collapsed="false">
      <c r="A20" s="1" t="s">
        <v>586</v>
      </c>
      <c r="B20" s="1" t="n">
        <v>1.87150243309002</v>
      </c>
      <c r="C20" s="1" t="s">
        <v>132</v>
      </c>
      <c r="D20" s="30" t="n">
        <f aca="false">B20*$N$2</f>
        <v>0</v>
      </c>
      <c r="E20" s="30" t="n">
        <f aca="false">AA579</f>
        <v>111.805364179104</v>
      </c>
      <c r="F20" s="30" t="n">
        <f aca="false">D20*E20</f>
        <v>0</v>
      </c>
      <c r="S20" s="1" t="s">
        <v>309</v>
      </c>
      <c r="W20" s="57" t="s">
        <v>310</v>
      </c>
      <c r="Y20" s="59" t="n">
        <v>3</v>
      </c>
      <c r="Z20" s="30" t="n">
        <f aca="false">AA13</f>
        <v>1.503088</v>
      </c>
      <c r="AA20" s="30" t="n">
        <f aca="false">Y20%*Z20</f>
        <v>0.04509264</v>
      </c>
    </row>
    <row r="21" customFormat="false" ht="15" hidden="false" customHeight="false" outlineLevel="0" collapsed="false">
      <c r="A21" s="1" t="s">
        <v>588</v>
      </c>
      <c r="B21" s="1" t="n">
        <v>25.1172445255474</v>
      </c>
      <c r="C21" s="1" t="s">
        <v>295</v>
      </c>
      <c r="D21" s="30" t="n">
        <f aca="false">B21*$N$2</f>
        <v>0</v>
      </c>
      <c r="E21" s="30" t="n">
        <f aca="false">AA596</f>
        <v>5.4995328445</v>
      </c>
      <c r="F21" s="30" t="n">
        <f aca="false">D21*E21</f>
        <v>0</v>
      </c>
      <c r="S21" s="1" t="s">
        <v>1380</v>
      </c>
      <c r="W21" s="57" t="s">
        <v>337</v>
      </c>
      <c r="X21" s="58" t="n">
        <v>1</v>
      </c>
      <c r="Y21" s="59" t="n">
        <f aca="false">X21*8/$U$7</f>
        <v>0.016</v>
      </c>
      <c r="Z21" s="30" t="n">
        <v>9.69</v>
      </c>
      <c r="AA21" s="30" t="n">
        <f aca="false">Y21*Z21</f>
        <v>0.15504</v>
      </c>
    </row>
    <row r="22" customFormat="false" ht="15" hidden="false" customHeight="false" outlineLevel="0" collapsed="false">
      <c r="A22" s="76"/>
      <c r="B22" s="76"/>
      <c r="D22" s="30"/>
      <c r="E22" s="30"/>
      <c r="F22" s="30"/>
      <c r="S22" s="1" t="s">
        <v>1381</v>
      </c>
      <c r="W22" s="57" t="s">
        <v>143</v>
      </c>
      <c r="Y22" s="1" t="n">
        <v>0.008</v>
      </c>
      <c r="Z22" s="59" t="n">
        <v>10</v>
      </c>
      <c r="AA22" s="30" t="n">
        <f aca="false">Y22*Z22</f>
        <v>0.08</v>
      </c>
    </row>
    <row r="23" customFormat="false" ht="15" hidden="false" customHeight="false" outlineLevel="0" collapsed="false">
      <c r="R23" s="62"/>
      <c r="S23" s="62"/>
      <c r="T23" s="62"/>
      <c r="U23" s="62"/>
      <c r="V23" s="62"/>
      <c r="W23" s="62"/>
      <c r="X23" s="62"/>
      <c r="Y23" s="62"/>
      <c r="Z23" s="83"/>
      <c r="AA23" s="63" t="n">
        <f aca="false">SUM(AA20:AA22)</f>
        <v>0.28013264</v>
      </c>
    </row>
    <row r="24" customFormat="false" ht="15" hidden="false" customHeight="false" outlineLevel="0" collapsed="false">
      <c r="G24" s="30"/>
    </row>
    <row r="25" customFormat="false" ht="15" hidden="false" customHeight="false" outlineLevel="0" collapsed="false">
      <c r="R25" s="14" t="s">
        <v>276</v>
      </c>
      <c r="S25" s="14"/>
      <c r="T25" s="14" t="s">
        <v>457</v>
      </c>
      <c r="U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customFormat="false" ht="15" hidden="false" customHeight="false" outlineLevel="0" collapsed="false">
      <c r="R26" s="14" t="s">
        <v>277</v>
      </c>
      <c r="S26" s="14" t="s">
        <v>415</v>
      </c>
      <c r="T26" s="38" t="s">
        <v>279</v>
      </c>
      <c r="U26" s="54" t="n">
        <v>250</v>
      </c>
      <c r="V26" s="38" t="s">
        <v>280</v>
      </c>
      <c r="W26" s="54" t="n">
        <f aca="false">U26</f>
        <v>250</v>
      </c>
      <c r="X26" s="14" t="s">
        <v>281</v>
      </c>
      <c r="Z26" s="38" t="s">
        <v>202</v>
      </c>
      <c r="AA26" s="55" t="n">
        <f aca="false">AA32+AA36</f>
        <v>8.45820448</v>
      </c>
      <c r="AD26" s="14"/>
      <c r="AE26" s="14"/>
      <c r="AF26" s="38"/>
      <c r="AG26" s="54"/>
      <c r="AH26" s="38"/>
      <c r="AI26" s="54"/>
      <c r="AJ26" s="14"/>
      <c r="AL26" s="38"/>
      <c r="AM26" s="55"/>
    </row>
    <row r="27" customFormat="false" ht="15" hidden="false" customHeight="false" outlineLevel="0" collapsed="false">
      <c r="R27" s="14" t="s">
        <v>282</v>
      </c>
      <c r="S27" s="14" t="s">
        <v>283</v>
      </c>
      <c r="W27" s="38" t="s">
        <v>121</v>
      </c>
      <c r="X27" s="38" t="s">
        <v>284</v>
      </c>
      <c r="Y27" s="38" t="s">
        <v>285</v>
      </c>
      <c r="Z27" s="38" t="s">
        <v>286</v>
      </c>
      <c r="AA27" s="38" t="s">
        <v>287</v>
      </c>
      <c r="AD27" s="14"/>
      <c r="AE27" s="14"/>
      <c r="AI27" s="38"/>
      <c r="AJ27" s="38"/>
      <c r="AK27" s="38"/>
      <c r="AL27" s="38"/>
      <c r="AM27" s="38"/>
    </row>
    <row r="28" customFormat="false" ht="15" hidden="false" customHeight="false" outlineLevel="0" collapsed="false">
      <c r="S28" s="56" t="s">
        <v>288</v>
      </c>
      <c r="AE28" s="56"/>
    </row>
    <row r="29" customFormat="false" ht="15" hidden="false" customHeight="false" outlineLevel="0" collapsed="false">
      <c r="S29" s="1" t="s">
        <v>649</v>
      </c>
      <c r="W29" s="57" t="s">
        <v>290</v>
      </c>
      <c r="X29" s="58" t="n">
        <v>0.1</v>
      </c>
      <c r="Y29" s="59" t="n">
        <f aca="false">X29*8/$W$26</f>
        <v>0.0032</v>
      </c>
      <c r="Z29" s="1" t="n">
        <v>34.73</v>
      </c>
      <c r="AA29" s="30" t="n">
        <f aca="false">Y29*Z29</f>
        <v>0.111136</v>
      </c>
      <c r="AI29" s="57"/>
      <c r="AJ29" s="58"/>
      <c r="AK29" s="59"/>
      <c r="AM29" s="30"/>
    </row>
    <row r="30" customFormat="false" ht="15" hidden="false" customHeight="false" outlineLevel="0" collapsed="false">
      <c r="S30" s="1" t="s">
        <v>289</v>
      </c>
      <c r="W30" s="57" t="s">
        <v>290</v>
      </c>
      <c r="X30" s="58" t="n">
        <v>2</v>
      </c>
      <c r="Y30" s="59" t="n">
        <f aca="false">X30*8/$W$26</f>
        <v>0.064</v>
      </c>
      <c r="Z30" s="30" t="n">
        <v>28.94</v>
      </c>
      <c r="AA30" s="30" t="n">
        <f aca="false">Y30*Z30</f>
        <v>1.85216</v>
      </c>
      <c r="AI30" s="57"/>
      <c r="AJ30" s="58"/>
      <c r="AK30" s="59"/>
      <c r="AM30" s="30"/>
    </row>
    <row r="31" customFormat="false" ht="15" hidden="false" customHeight="false" outlineLevel="0" collapsed="false">
      <c r="S31" s="1" t="s">
        <v>292</v>
      </c>
      <c r="W31" s="57" t="s">
        <v>290</v>
      </c>
      <c r="X31" s="58" t="n">
        <v>1</v>
      </c>
      <c r="Y31" s="59" t="n">
        <f aca="false">X31*8/$W$26</f>
        <v>0.032</v>
      </c>
      <c r="Z31" s="1" t="n">
        <v>20.51</v>
      </c>
      <c r="AA31" s="30" t="n">
        <f aca="false">Y31*Z31</f>
        <v>0.65632</v>
      </c>
      <c r="AM31" s="55"/>
    </row>
    <row r="32" customFormat="false" ht="15" hidden="false" customHeight="false" outlineLevel="0" collapsed="false">
      <c r="AA32" s="55" t="n">
        <f aca="false">SUM(AA29:AA31)</f>
        <v>2.619616</v>
      </c>
      <c r="AE32" s="56"/>
    </row>
    <row r="33" customFormat="false" ht="15" hidden="false" customHeight="false" outlineLevel="0" collapsed="false">
      <c r="S33" s="56" t="s">
        <v>308</v>
      </c>
      <c r="AI33" s="57"/>
      <c r="AK33" s="59"/>
      <c r="AL33" s="30"/>
      <c r="AM33" s="30"/>
    </row>
    <row r="34" customFormat="false" ht="15" hidden="false" customHeight="false" outlineLevel="0" collapsed="false">
      <c r="S34" s="1" t="s">
        <v>309</v>
      </c>
      <c r="W34" s="57" t="s">
        <v>310</v>
      </c>
      <c r="Y34" s="59" t="n">
        <v>3</v>
      </c>
      <c r="Z34" s="30" t="n">
        <f aca="false">AA32</f>
        <v>2.619616</v>
      </c>
      <c r="AA34" s="30" t="n">
        <f aca="false">Y34%*Z34</f>
        <v>0.07858848</v>
      </c>
    </row>
    <row r="35" customFormat="false" ht="15" hidden="false" customHeight="false" outlineLevel="0" collapsed="false">
      <c r="S35" s="1" t="s">
        <v>650</v>
      </c>
      <c r="W35" s="57" t="s">
        <v>337</v>
      </c>
      <c r="X35" s="58" t="n">
        <v>1</v>
      </c>
      <c r="Y35" s="59" t="n">
        <f aca="false">X35*8/$W$26</f>
        <v>0.032</v>
      </c>
      <c r="Z35" s="1" t="n">
        <v>180</v>
      </c>
      <c r="AA35" s="30" t="n">
        <f aca="false">Y35*Z35</f>
        <v>5.76</v>
      </c>
      <c r="AI35" s="57"/>
      <c r="AJ35" s="58"/>
      <c r="AK35" s="59"/>
      <c r="AM35" s="30"/>
    </row>
    <row r="36" customFormat="false" ht="15" hidden="false" customHeight="false" outlineLevel="0" collapsed="false">
      <c r="R36" s="62"/>
      <c r="S36" s="62"/>
      <c r="T36" s="62"/>
      <c r="U36" s="62"/>
      <c r="V36" s="62"/>
      <c r="W36" s="62"/>
      <c r="X36" s="62"/>
      <c r="Y36" s="62"/>
      <c r="Z36" s="62"/>
      <c r="AA36" s="63" t="n">
        <f aca="false">SUM(AA34:AA35)</f>
        <v>5.83858848</v>
      </c>
      <c r="AM36" s="55"/>
    </row>
    <row r="37" customFormat="false" ht="15" hidden="false" customHeight="false" outlineLevel="0" collapsed="false">
      <c r="S37" s="56"/>
      <c r="W37" s="57"/>
      <c r="X37" s="58"/>
      <c r="Y37" s="59"/>
      <c r="AE37" s="56"/>
      <c r="AI37" s="57"/>
      <c r="AJ37" s="58"/>
      <c r="AK37" s="59"/>
    </row>
    <row r="38" customFormat="false" ht="15" hidden="false" customHeight="false" outlineLevel="0" collapsed="false">
      <c r="Z38" s="30"/>
      <c r="AA38" s="30"/>
    </row>
    <row r="39" customFormat="false" ht="15" hidden="false" customHeight="false" outlineLevel="0" collapsed="false">
      <c r="F39" s="30"/>
      <c r="Z39" s="14"/>
      <c r="AA39" s="55"/>
      <c r="AL39" s="14"/>
      <c r="AM39" s="55"/>
    </row>
    <row r="41" customFormat="false" ht="15" hidden="false" customHeight="false" outlineLevel="0" collapsed="false">
      <c r="R41" s="14" t="s">
        <v>276</v>
      </c>
      <c r="S41" s="14"/>
      <c r="T41" s="14" t="s">
        <v>459</v>
      </c>
      <c r="U41" s="14"/>
    </row>
    <row r="42" customFormat="false" ht="15" hidden="false" customHeight="false" outlineLevel="0" collapsed="false">
      <c r="R42" s="14" t="s">
        <v>277</v>
      </c>
      <c r="S42" s="14" t="s">
        <v>415</v>
      </c>
      <c r="T42" s="38" t="s">
        <v>279</v>
      </c>
      <c r="U42" s="54" t="n">
        <v>4</v>
      </c>
      <c r="V42" s="38" t="s">
        <v>280</v>
      </c>
      <c r="W42" s="54" t="n">
        <f aca="false">U42</f>
        <v>4</v>
      </c>
      <c r="X42" s="14" t="s">
        <v>281</v>
      </c>
      <c r="Z42" s="38" t="s">
        <v>202</v>
      </c>
      <c r="AA42" s="55" t="n">
        <f aca="false">AA47+AA50</f>
        <v>49.40498</v>
      </c>
    </row>
    <row r="43" customFormat="false" ht="15" hidden="false" customHeight="false" outlineLevel="0" collapsed="false">
      <c r="R43" s="14" t="s">
        <v>282</v>
      </c>
      <c r="S43" s="14" t="s">
        <v>283</v>
      </c>
      <c r="W43" s="38" t="s">
        <v>121</v>
      </c>
      <c r="X43" s="38" t="s">
        <v>284</v>
      </c>
      <c r="Y43" s="38" t="s">
        <v>285</v>
      </c>
      <c r="Z43" s="38" t="s">
        <v>286</v>
      </c>
      <c r="AA43" s="38" t="s">
        <v>287</v>
      </c>
      <c r="AD43" s="14"/>
    </row>
    <row r="44" customFormat="false" ht="15" hidden="false" customHeight="false" outlineLevel="0" collapsed="false">
      <c r="S44" s="56" t="s">
        <v>288</v>
      </c>
      <c r="AD44" s="14"/>
    </row>
    <row r="45" customFormat="false" ht="15" hidden="false" customHeight="false" outlineLevel="0" collapsed="false">
      <c r="S45" s="1" t="s">
        <v>649</v>
      </c>
      <c r="W45" s="57" t="s">
        <v>290</v>
      </c>
      <c r="X45" s="58" t="n">
        <v>0.1</v>
      </c>
      <c r="Y45" s="59" t="n">
        <f aca="false">X45*8/$W$42</f>
        <v>0.2</v>
      </c>
      <c r="Z45" s="1" t="n">
        <v>34.73</v>
      </c>
      <c r="AA45" s="30" t="n">
        <f aca="false">Y45*Z45</f>
        <v>6.946</v>
      </c>
      <c r="AD45" s="14"/>
    </row>
    <row r="46" customFormat="false" ht="15" hidden="false" customHeight="false" outlineLevel="0" collapsed="false">
      <c r="S46" s="1" t="s">
        <v>292</v>
      </c>
      <c r="W46" s="57" t="s">
        <v>290</v>
      </c>
      <c r="X46" s="58" t="n">
        <v>1</v>
      </c>
      <c r="Y46" s="59" t="n">
        <f aca="false">X46*8/$W$42</f>
        <v>2</v>
      </c>
      <c r="Z46" s="1" t="n">
        <v>20.51</v>
      </c>
      <c r="AA46" s="30" t="n">
        <f aca="false">Y46*Z46</f>
        <v>41.02</v>
      </c>
      <c r="AD46" s="14"/>
    </row>
    <row r="47" customFormat="false" ht="15" hidden="false" customHeight="false" outlineLevel="0" collapsed="false">
      <c r="W47" s="57"/>
      <c r="X47" s="58"/>
      <c r="Y47" s="59"/>
      <c r="AA47" s="55" t="n">
        <f aca="false">SUM(AA45:AA46)</f>
        <v>47.966</v>
      </c>
      <c r="AD47" s="14"/>
    </row>
    <row r="48" customFormat="false" ht="15" hidden="false" customHeight="false" outlineLevel="0" collapsed="false">
      <c r="S48" s="56" t="s">
        <v>308</v>
      </c>
      <c r="AD48" s="14"/>
    </row>
    <row r="49" customFormat="false" ht="15" hidden="false" customHeight="false" outlineLevel="0" collapsed="false">
      <c r="S49" s="1" t="s">
        <v>309</v>
      </c>
      <c r="W49" s="57" t="s">
        <v>310</v>
      </c>
      <c r="Y49" s="59" t="n">
        <v>3</v>
      </c>
      <c r="Z49" s="30" t="n">
        <f aca="false">AA47</f>
        <v>47.966</v>
      </c>
      <c r="AA49" s="30" t="n">
        <f aca="false">Y49%*Z49</f>
        <v>1.43898</v>
      </c>
    </row>
    <row r="50" customFormat="false" ht="15" hidden="false" customHeight="false" outlineLevel="0" collapsed="false">
      <c r="R50" s="62"/>
      <c r="S50" s="62"/>
      <c r="T50" s="62"/>
      <c r="U50" s="62"/>
      <c r="V50" s="62"/>
      <c r="W50" s="62"/>
      <c r="X50" s="62"/>
      <c r="Y50" s="62"/>
      <c r="Z50" s="83"/>
      <c r="AA50" s="63" t="n">
        <f aca="false">SUM(AA49)</f>
        <v>1.43898</v>
      </c>
    </row>
    <row r="52" customFormat="false" ht="15" hidden="false" customHeight="false" outlineLevel="0" collapsed="false">
      <c r="R52" s="14" t="s">
        <v>276</v>
      </c>
      <c r="S52" s="14"/>
      <c r="T52" s="14" t="s">
        <v>461</v>
      </c>
      <c r="U52" s="14"/>
    </row>
    <row r="53" customFormat="false" ht="15" hidden="false" customHeight="false" outlineLevel="0" collapsed="false">
      <c r="R53" s="14" t="s">
        <v>277</v>
      </c>
      <c r="S53" s="14" t="s">
        <v>415</v>
      </c>
      <c r="T53" s="38" t="s">
        <v>279</v>
      </c>
      <c r="U53" s="54" t="n">
        <v>30</v>
      </c>
      <c r="V53" s="38" t="s">
        <v>280</v>
      </c>
      <c r="W53" s="54" t="n">
        <f aca="false">U53</f>
        <v>30</v>
      </c>
      <c r="X53" s="14" t="s">
        <v>281</v>
      </c>
      <c r="Z53" s="38" t="s">
        <v>202</v>
      </c>
      <c r="AA53" s="55" t="n">
        <f aca="false">AA59+AA63+AA67</f>
        <v>66.2342173333333</v>
      </c>
    </row>
    <row r="54" customFormat="false" ht="15" hidden="false" customHeight="false" outlineLevel="0" collapsed="false">
      <c r="R54" s="14" t="s">
        <v>282</v>
      </c>
      <c r="S54" s="14" t="s">
        <v>283</v>
      </c>
      <c r="W54" s="38" t="s">
        <v>121</v>
      </c>
      <c r="X54" s="38" t="s">
        <v>284</v>
      </c>
      <c r="Y54" s="38" t="s">
        <v>285</v>
      </c>
      <c r="Z54" s="38" t="s">
        <v>286</v>
      </c>
      <c r="AA54" s="38" t="s">
        <v>287</v>
      </c>
    </row>
    <row r="55" customFormat="false" ht="15" hidden="false" customHeight="false" outlineLevel="0" collapsed="false">
      <c r="S55" s="56" t="s">
        <v>288</v>
      </c>
    </row>
    <row r="56" customFormat="false" ht="15" hidden="false" customHeight="false" outlineLevel="0" collapsed="false">
      <c r="S56" s="1" t="s">
        <v>649</v>
      </c>
      <c r="W56" s="57" t="s">
        <v>290</v>
      </c>
      <c r="X56" s="58" t="n">
        <v>0.1</v>
      </c>
      <c r="Y56" s="59" t="n">
        <f aca="false">X56*8/$W$53</f>
        <v>0.0266666666666667</v>
      </c>
      <c r="Z56" s="1" t="n">
        <v>34.73</v>
      </c>
      <c r="AA56" s="30" t="n">
        <f aca="false">Y56*Z56</f>
        <v>0.926133333333333</v>
      </c>
    </row>
    <row r="57" customFormat="false" ht="15" hidden="false" customHeight="false" outlineLevel="0" collapsed="false">
      <c r="S57" s="1" t="s">
        <v>292</v>
      </c>
      <c r="W57" s="57" t="s">
        <v>290</v>
      </c>
      <c r="X57" s="58" t="n">
        <v>1</v>
      </c>
      <c r="Y57" s="59" t="n">
        <f aca="false">X57*8/$W$53</f>
        <v>0.266666666666667</v>
      </c>
      <c r="Z57" s="1" t="n">
        <v>20.51</v>
      </c>
      <c r="AA57" s="30" t="n">
        <f aca="false">Y57*Z57</f>
        <v>5.46933333333333</v>
      </c>
    </row>
    <row r="58" customFormat="false" ht="15" hidden="false" customHeight="false" outlineLevel="0" collapsed="false">
      <c r="S58" s="1" t="s">
        <v>651</v>
      </c>
      <c r="W58" s="57" t="s">
        <v>290</v>
      </c>
      <c r="X58" s="58" t="n">
        <v>1</v>
      </c>
      <c r="Y58" s="59" t="n">
        <f aca="false">X58*8/$W$53</f>
        <v>0.266666666666667</v>
      </c>
      <c r="Z58" s="1" t="n">
        <v>29.94</v>
      </c>
      <c r="AA58" s="30" t="n">
        <f aca="false">Y58*Z58</f>
        <v>7.984</v>
      </c>
    </row>
    <row r="59" customFormat="false" ht="15" hidden="false" customHeight="false" outlineLevel="0" collapsed="false">
      <c r="W59" s="57"/>
      <c r="X59" s="58"/>
      <c r="Y59" s="59"/>
      <c r="AA59" s="55" t="n">
        <f aca="false">SUM(AA56:AA58)</f>
        <v>14.3794666666667</v>
      </c>
    </row>
    <row r="60" customFormat="false" ht="15" hidden="false" customHeight="false" outlineLevel="0" collapsed="false">
      <c r="S60" s="56" t="s">
        <v>652</v>
      </c>
      <c r="W60" s="57"/>
      <c r="X60" s="58"/>
      <c r="Y60" s="59"/>
      <c r="AA60" s="30"/>
    </row>
    <row r="61" customFormat="false" ht="15" hidden="false" customHeight="false" outlineLevel="0" collapsed="false">
      <c r="S61" s="1" t="s">
        <v>653</v>
      </c>
      <c r="W61" s="57" t="s">
        <v>202</v>
      </c>
      <c r="X61" s="58"/>
      <c r="Y61" s="59" t="n">
        <v>1.05</v>
      </c>
      <c r="Z61" s="65" t="n">
        <v>44.07</v>
      </c>
      <c r="AA61" s="30" t="n">
        <f aca="false">Y61*Z61</f>
        <v>46.2735</v>
      </c>
    </row>
    <row r="62" customFormat="false" ht="15" hidden="false" customHeight="false" outlineLevel="0" collapsed="false">
      <c r="S62" s="1" t="s">
        <v>654</v>
      </c>
      <c r="W62" s="57" t="s">
        <v>202</v>
      </c>
      <c r="X62" s="58"/>
      <c r="Y62" s="59" t="n">
        <v>0.08</v>
      </c>
      <c r="Z62" s="1" t="n">
        <v>6.14</v>
      </c>
      <c r="AA62" s="30" t="n">
        <f aca="false">Y62*Z62</f>
        <v>0.4912</v>
      </c>
    </row>
    <row r="63" customFormat="false" ht="15" hidden="false" customHeight="false" outlineLevel="0" collapsed="false">
      <c r="W63" s="57"/>
      <c r="Y63" s="59"/>
      <c r="AA63" s="55" t="n">
        <f aca="false">SUM(AA61:AA62)</f>
        <v>46.7647</v>
      </c>
    </row>
    <row r="64" customFormat="false" ht="15" hidden="false" customHeight="false" outlineLevel="0" collapsed="false">
      <c r="S64" s="56" t="s">
        <v>308</v>
      </c>
    </row>
    <row r="65" customFormat="false" ht="15" hidden="false" customHeight="false" outlineLevel="0" collapsed="false">
      <c r="S65" s="1" t="s">
        <v>309</v>
      </c>
      <c r="W65" s="57" t="s">
        <v>310</v>
      </c>
      <c r="Y65" s="59" t="n">
        <v>3</v>
      </c>
      <c r="Z65" s="30" t="n">
        <f aca="false">AA59</f>
        <v>14.3794666666667</v>
      </c>
      <c r="AA65" s="30" t="n">
        <f aca="false">Y65%*Z65</f>
        <v>0.431384</v>
      </c>
    </row>
    <row r="66" customFormat="false" ht="15" hidden="false" customHeight="false" outlineLevel="0" collapsed="false">
      <c r="S66" s="1" t="s">
        <v>655</v>
      </c>
      <c r="W66" s="57" t="s">
        <v>337</v>
      </c>
      <c r="X66" s="58" t="n">
        <v>1</v>
      </c>
      <c r="Y66" s="59" t="n">
        <f aca="false">X66*8/$W$53</f>
        <v>0.266666666666667</v>
      </c>
      <c r="Z66" s="1" t="n">
        <v>17.47</v>
      </c>
      <c r="AA66" s="30" t="n">
        <f aca="false">Y66*Z66</f>
        <v>4.65866666666667</v>
      </c>
    </row>
    <row r="67" customFormat="false" ht="15" hidden="false" customHeight="false" outlineLevel="0" collapsed="false">
      <c r="R67" s="62"/>
      <c r="S67" s="62"/>
      <c r="T67" s="62"/>
      <c r="U67" s="62"/>
      <c r="V67" s="62"/>
      <c r="W67" s="62"/>
      <c r="X67" s="62"/>
      <c r="Y67" s="62"/>
      <c r="Z67" s="83"/>
      <c r="AA67" s="63" t="n">
        <f aca="false">SUM(AA65:AA66)</f>
        <v>5.09005066666667</v>
      </c>
    </row>
    <row r="69" customFormat="false" ht="15" hidden="false" customHeight="false" outlineLevel="0" collapsed="false">
      <c r="R69" s="14" t="s">
        <v>276</v>
      </c>
      <c r="S69" s="14"/>
      <c r="T69" s="14" t="s">
        <v>463</v>
      </c>
      <c r="U69" s="14"/>
    </row>
    <row r="70" customFormat="false" ht="15" hidden="false" customHeight="false" outlineLevel="0" collapsed="false">
      <c r="R70" s="14" t="s">
        <v>277</v>
      </c>
      <c r="S70" s="14" t="s">
        <v>415</v>
      </c>
      <c r="T70" s="38" t="s">
        <v>279</v>
      </c>
      <c r="U70" s="54" t="n">
        <v>40</v>
      </c>
      <c r="V70" s="38" t="s">
        <v>280</v>
      </c>
      <c r="W70" s="54" t="n">
        <f aca="false">U70</f>
        <v>40</v>
      </c>
      <c r="X70" s="14" t="s">
        <v>281</v>
      </c>
      <c r="Z70" s="38" t="s">
        <v>202</v>
      </c>
      <c r="AA70" s="55" t="n">
        <f aca="false">AA76+AA84</f>
        <v>19.29963</v>
      </c>
    </row>
    <row r="71" customFormat="false" ht="15" hidden="false" customHeight="false" outlineLevel="0" collapsed="false">
      <c r="R71" s="14" t="s">
        <v>282</v>
      </c>
      <c r="S71" s="14" t="s">
        <v>283</v>
      </c>
      <c r="W71" s="38" t="s">
        <v>121</v>
      </c>
      <c r="X71" s="38" t="s">
        <v>284</v>
      </c>
      <c r="Y71" s="38" t="s">
        <v>285</v>
      </c>
      <c r="Z71" s="38" t="s">
        <v>286</v>
      </c>
      <c r="AA71" s="38" t="s">
        <v>287</v>
      </c>
    </row>
    <row r="72" customFormat="false" ht="15" hidden="false" customHeight="false" outlineLevel="0" collapsed="false">
      <c r="S72" s="56" t="s">
        <v>288</v>
      </c>
    </row>
    <row r="73" customFormat="false" ht="15" hidden="false" customHeight="false" outlineLevel="0" collapsed="false">
      <c r="S73" s="1" t="s">
        <v>649</v>
      </c>
      <c r="W73" s="57" t="s">
        <v>290</v>
      </c>
      <c r="X73" s="58" t="n">
        <v>0.1</v>
      </c>
      <c r="Y73" s="59" t="n">
        <f aca="false">X73*8/$W$70</f>
        <v>0.02</v>
      </c>
      <c r="Z73" s="1" t="n">
        <v>34.73</v>
      </c>
      <c r="AA73" s="30" t="n">
        <f aca="false">Y73*Z73</f>
        <v>0.6946</v>
      </c>
    </row>
    <row r="74" customFormat="false" ht="15" hidden="false" customHeight="false" outlineLevel="0" collapsed="false">
      <c r="S74" s="1" t="s">
        <v>292</v>
      </c>
      <c r="W74" s="57" t="s">
        <v>290</v>
      </c>
      <c r="X74" s="58" t="n">
        <v>2</v>
      </c>
      <c r="Y74" s="59" t="n">
        <f aca="false">X74*8/$W$70</f>
        <v>0.4</v>
      </c>
      <c r="Z74" s="1" t="n">
        <v>20.51</v>
      </c>
      <c r="AA74" s="30" t="n">
        <f aca="false">Y74*Z74</f>
        <v>8.204</v>
      </c>
    </row>
    <row r="75" customFormat="false" ht="15" hidden="false" customHeight="false" outlineLevel="0" collapsed="false">
      <c r="S75" s="1" t="s">
        <v>651</v>
      </c>
      <c r="W75" s="57" t="s">
        <v>290</v>
      </c>
      <c r="X75" s="58" t="n">
        <v>1</v>
      </c>
      <c r="Y75" s="59" t="n">
        <f aca="false">X75*8/$W$70</f>
        <v>0.2</v>
      </c>
      <c r="Z75" s="1" t="n">
        <v>29.94</v>
      </c>
      <c r="AA75" s="30" t="n">
        <f aca="false">Y75*Z75</f>
        <v>5.988</v>
      </c>
    </row>
    <row r="76" customFormat="false" ht="15" hidden="false" customHeight="false" outlineLevel="0" collapsed="false">
      <c r="AA76" s="55" t="n">
        <f aca="false">SUM(AA73:AA75)</f>
        <v>14.8866</v>
      </c>
    </row>
    <row r="77" customFormat="false" ht="15" hidden="false" customHeight="false" outlineLevel="0" collapsed="false">
      <c r="S77" s="56" t="s">
        <v>652</v>
      </c>
      <c r="W77" s="57"/>
      <c r="X77" s="58"/>
      <c r="Y77" s="59"/>
      <c r="AA77" s="30"/>
    </row>
    <row r="78" customFormat="false" ht="15" hidden="false" customHeight="false" outlineLevel="0" collapsed="false">
      <c r="S78" s="1" t="s">
        <v>654</v>
      </c>
      <c r="W78" s="57" t="s">
        <v>202</v>
      </c>
      <c r="X78" s="58"/>
      <c r="Y78" s="59" t="n">
        <v>0.08</v>
      </c>
      <c r="Z78" s="1" t="n">
        <v>6.14</v>
      </c>
      <c r="AA78" s="30" t="n">
        <f aca="false">Y78*Z78</f>
        <v>0.4912</v>
      </c>
    </row>
    <row r="79" customFormat="false" ht="15" hidden="false" customHeight="false" outlineLevel="0" collapsed="false">
      <c r="W79" s="57"/>
      <c r="Y79" s="59"/>
      <c r="AA79" s="55" t="n">
        <f aca="false">SUM(AA78:AA78)</f>
        <v>0.4912</v>
      </c>
    </row>
    <row r="80" customFormat="false" ht="15" hidden="false" customHeight="false" outlineLevel="0" collapsed="false">
      <c r="S80" s="56" t="s">
        <v>308</v>
      </c>
    </row>
    <row r="81" customFormat="false" ht="15" hidden="false" customHeight="false" outlineLevel="0" collapsed="false">
      <c r="S81" s="1" t="s">
        <v>309</v>
      </c>
      <c r="W81" s="57" t="s">
        <v>310</v>
      </c>
      <c r="Y81" s="59" t="n">
        <v>5</v>
      </c>
      <c r="Z81" s="30" t="n">
        <f aca="false">AA76</f>
        <v>14.8866</v>
      </c>
      <c r="AA81" s="30" t="n">
        <f aca="false">Y81%*Z81</f>
        <v>0.74433</v>
      </c>
    </row>
    <row r="82" customFormat="false" ht="15" hidden="false" customHeight="false" outlineLevel="0" collapsed="false">
      <c r="S82" s="1" t="s">
        <v>655</v>
      </c>
      <c r="W82" s="57" t="s">
        <v>337</v>
      </c>
      <c r="X82" s="58" t="n">
        <v>1</v>
      </c>
      <c r="Y82" s="59" t="n">
        <f aca="false">X82*8/$W$70</f>
        <v>0.2</v>
      </c>
      <c r="Z82" s="1" t="n">
        <v>17.47</v>
      </c>
      <c r="AA82" s="30" t="n">
        <f aca="false">Y82*Z82</f>
        <v>3.494</v>
      </c>
    </row>
    <row r="83" customFormat="false" ht="15" hidden="false" customHeight="false" outlineLevel="0" collapsed="false">
      <c r="S83" s="1" t="s">
        <v>656</v>
      </c>
      <c r="W83" s="57" t="s">
        <v>337</v>
      </c>
      <c r="X83" s="58" t="n">
        <v>0.05</v>
      </c>
      <c r="Y83" s="59" t="n">
        <f aca="false">X83*8/$W$70</f>
        <v>0.01</v>
      </c>
      <c r="Z83" s="1" t="n">
        <v>17.47</v>
      </c>
      <c r="AA83" s="30" t="n">
        <f aca="false">Y83*Z83</f>
        <v>0.1747</v>
      </c>
    </row>
    <row r="84" customFormat="false" ht="15" hidden="false" customHeight="false" outlineLevel="0" collapsed="false">
      <c r="R84" s="62"/>
      <c r="S84" s="62"/>
      <c r="T84" s="62"/>
      <c r="U84" s="62"/>
      <c r="V84" s="62"/>
      <c r="W84" s="62"/>
      <c r="X84" s="62"/>
      <c r="Y84" s="62"/>
      <c r="Z84" s="83"/>
      <c r="AA84" s="63" t="n">
        <f aca="false">SUM(AA81:AA83)</f>
        <v>4.41303</v>
      </c>
    </row>
    <row r="86" customFormat="false" ht="15" hidden="false" customHeight="false" outlineLevel="0" collapsed="false">
      <c r="R86" s="14" t="s">
        <v>276</v>
      </c>
      <c r="S86" s="14"/>
      <c r="T86" s="14" t="s">
        <v>467</v>
      </c>
      <c r="U86" s="14"/>
    </row>
    <row r="87" customFormat="false" ht="15" hidden="false" customHeight="false" outlineLevel="0" collapsed="false">
      <c r="R87" s="14" t="s">
        <v>277</v>
      </c>
      <c r="S87" s="14" t="s">
        <v>313</v>
      </c>
      <c r="T87" s="38" t="s">
        <v>279</v>
      </c>
      <c r="U87" s="54" t="n">
        <v>80</v>
      </c>
      <c r="V87" s="38" t="s">
        <v>280</v>
      </c>
      <c r="W87" s="54" t="n">
        <f aca="false">U87</f>
        <v>80</v>
      </c>
      <c r="X87" s="14" t="s">
        <v>281</v>
      </c>
      <c r="Z87" s="38" t="s">
        <v>143</v>
      </c>
      <c r="AA87" s="55" t="n">
        <f aca="false">AA91+AA95</f>
        <v>12.11253</v>
      </c>
    </row>
    <row r="88" customFormat="false" ht="15" hidden="false" customHeight="false" outlineLevel="0" collapsed="false">
      <c r="R88" s="14" t="s">
        <v>282</v>
      </c>
      <c r="S88" s="14" t="s">
        <v>283</v>
      </c>
      <c r="W88" s="38" t="s">
        <v>121</v>
      </c>
      <c r="X88" s="38" t="s">
        <v>284</v>
      </c>
      <c r="Y88" s="38" t="s">
        <v>285</v>
      </c>
      <c r="Z88" s="38" t="s">
        <v>286</v>
      </c>
      <c r="AA88" s="38" t="s">
        <v>287</v>
      </c>
    </row>
    <row r="89" customFormat="false" ht="15" hidden="false" customHeight="false" outlineLevel="0" collapsed="false">
      <c r="S89" s="56" t="s">
        <v>288</v>
      </c>
    </row>
    <row r="90" customFormat="false" ht="15" hidden="false" customHeight="false" outlineLevel="0" collapsed="false">
      <c r="S90" s="1" t="s">
        <v>292</v>
      </c>
      <c r="W90" s="57" t="s">
        <v>290</v>
      </c>
      <c r="X90" s="58" t="n">
        <v>1</v>
      </c>
      <c r="Y90" s="59" t="n">
        <f aca="false">X90*8/$U$87</f>
        <v>0.1</v>
      </c>
      <c r="Z90" s="1" t="n">
        <v>20.51</v>
      </c>
      <c r="AA90" s="30" t="n">
        <f aca="false">Y90*Z90</f>
        <v>2.051</v>
      </c>
    </row>
    <row r="91" customFormat="false" ht="15" hidden="false" customHeight="false" outlineLevel="0" collapsed="false">
      <c r="W91" s="57"/>
      <c r="X91" s="58"/>
      <c r="Y91" s="59"/>
      <c r="AA91" s="55" t="n">
        <f aca="false">SUM(AA90:AA90)</f>
        <v>2.051</v>
      </c>
    </row>
    <row r="92" customFormat="false" ht="15" hidden="false" customHeight="false" outlineLevel="0" collapsed="false">
      <c r="S92" s="56" t="s">
        <v>308</v>
      </c>
    </row>
    <row r="93" customFormat="false" ht="15" hidden="false" customHeight="false" outlineLevel="0" collapsed="false">
      <c r="S93" s="1" t="s">
        <v>309</v>
      </c>
      <c r="W93" s="57" t="s">
        <v>310</v>
      </c>
      <c r="Y93" s="59" t="n">
        <v>3</v>
      </c>
      <c r="Z93" s="30" t="n">
        <f aca="false">AA91</f>
        <v>2.051</v>
      </c>
      <c r="AA93" s="30" t="n">
        <f aca="false">Y93%*Z93</f>
        <v>0.06153</v>
      </c>
    </row>
    <row r="94" customFormat="false" ht="15" hidden="false" customHeight="false" outlineLevel="0" collapsed="false">
      <c r="S94" s="1" t="s">
        <v>659</v>
      </c>
      <c r="W94" s="57" t="s">
        <v>337</v>
      </c>
      <c r="X94" s="58" t="n">
        <v>1</v>
      </c>
      <c r="Y94" s="59" t="n">
        <f aca="false">X94*8/$U$87</f>
        <v>0.1</v>
      </c>
      <c r="Z94" s="1" t="n">
        <v>100</v>
      </c>
      <c r="AA94" s="30" t="n">
        <f aca="false">Y94*Z94</f>
        <v>10</v>
      </c>
    </row>
    <row r="95" customFormat="false" ht="15" hidden="false" customHeight="false" outlineLevel="0" collapsed="false">
      <c r="R95" s="62"/>
      <c r="S95" s="62"/>
      <c r="T95" s="62"/>
      <c r="U95" s="62"/>
      <c r="V95" s="62"/>
      <c r="W95" s="62"/>
      <c r="X95" s="62"/>
      <c r="Y95" s="62"/>
      <c r="Z95" s="83"/>
      <c r="AA95" s="63" t="n">
        <f aca="false">SUM(AA93:AA94)</f>
        <v>10.06153</v>
      </c>
    </row>
    <row r="97" customFormat="false" ht="15" hidden="false" customHeight="false" outlineLevel="0" collapsed="false">
      <c r="R97" s="14" t="s">
        <v>276</v>
      </c>
      <c r="S97" s="14"/>
      <c r="T97" s="14" t="s">
        <v>469</v>
      </c>
      <c r="U97" s="14"/>
      <c r="AC97" s="14"/>
      <c r="AD97" s="14"/>
      <c r="AE97" s="14"/>
      <c r="AF97" s="14"/>
    </row>
    <row r="98" customFormat="false" ht="15" hidden="false" customHeight="false" outlineLevel="0" collapsed="false">
      <c r="R98" s="14" t="s">
        <v>277</v>
      </c>
      <c r="S98" s="14" t="s">
        <v>415</v>
      </c>
      <c r="T98" s="38" t="s">
        <v>279</v>
      </c>
      <c r="U98" s="54" t="n">
        <v>187.5</v>
      </c>
      <c r="V98" s="38" t="s">
        <v>280</v>
      </c>
      <c r="W98" s="54" t="n">
        <f aca="false">U98</f>
        <v>187.5</v>
      </c>
      <c r="X98" s="14" t="s">
        <v>281</v>
      </c>
      <c r="Z98" s="38" t="s">
        <v>202</v>
      </c>
      <c r="AA98" s="55" t="n">
        <f aca="false">AA103+AA108</f>
        <v>22.9100074666667</v>
      </c>
      <c r="AC98" s="14"/>
      <c r="AD98" s="14"/>
      <c r="AE98" s="38"/>
      <c r="AF98" s="54"/>
      <c r="AG98" s="38"/>
      <c r="AH98" s="54"/>
      <c r="AI98" s="14"/>
      <c r="AK98" s="38"/>
      <c r="AL98" s="55"/>
    </row>
    <row r="99" customFormat="false" ht="15" hidden="false" customHeight="false" outlineLevel="0" collapsed="false">
      <c r="R99" s="14" t="s">
        <v>282</v>
      </c>
      <c r="S99" s="14" t="s">
        <v>283</v>
      </c>
      <c r="W99" s="38" t="s">
        <v>121</v>
      </c>
      <c r="X99" s="38" t="s">
        <v>284</v>
      </c>
      <c r="Y99" s="38" t="s">
        <v>285</v>
      </c>
      <c r="Z99" s="38" t="s">
        <v>286</v>
      </c>
      <c r="AA99" s="38" t="s">
        <v>287</v>
      </c>
      <c r="AC99" s="14"/>
      <c r="AD99" s="14"/>
      <c r="AH99" s="38"/>
      <c r="AI99" s="38"/>
      <c r="AJ99" s="38"/>
      <c r="AK99" s="38"/>
      <c r="AL99" s="38"/>
    </row>
    <row r="100" customFormat="false" ht="15" hidden="false" customHeight="false" outlineLevel="0" collapsed="false">
      <c r="S100" s="56" t="s">
        <v>288</v>
      </c>
      <c r="AD100" s="56"/>
    </row>
    <row r="101" customFormat="false" ht="15" hidden="false" customHeight="false" outlineLevel="0" collapsed="false">
      <c r="S101" s="1" t="s">
        <v>291</v>
      </c>
      <c r="W101" s="57" t="s">
        <v>290</v>
      </c>
      <c r="X101" s="58" t="n">
        <v>1</v>
      </c>
      <c r="Y101" s="59" t="n">
        <f aca="false">X101*8/$U$98</f>
        <v>0.0426666666666667</v>
      </c>
      <c r="Z101" s="1" t="n">
        <v>23.6</v>
      </c>
      <c r="AA101" s="30" t="n">
        <f aca="false">Y101*Z101</f>
        <v>1.00693333333333</v>
      </c>
      <c r="AH101" s="57"/>
      <c r="AI101" s="58"/>
      <c r="AJ101" s="59"/>
      <c r="AK101" s="30"/>
      <c r="AL101" s="30"/>
    </row>
    <row r="102" customFormat="false" ht="15" hidden="false" customHeight="false" outlineLevel="0" collapsed="false">
      <c r="S102" s="1" t="s">
        <v>292</v>
      </c>
      <c r="W102" s="57" t="s">
        <v>290</v>
      </c>
      <c r="X102" s="58" t="n">
        <v>1</v>
      </c>
      <c r="Y102" s="59" t="n">
        <f aca="false">X102*8/$U$98</f>
        <v>0.0426666666666667</v>
      </c>
      <c r="Z102" s="1" t="n">
        <v>20.51</v>
      </c>
      <c r="AA102" s="30" t="n">
        <f aca="false">Y102*Z102</f>
        <v>0.875093333333333</v>
      </c>
      <c r="AH102" s="57"/>
      <c r="AI102" s="58"/>
      <c r="AJ102" s="59"/>
      <c r="AL102" s="30"/>
    </row>
    <row r="103" customFormat="false" ht="15" hidden="false" customHeight="false" outlineLevel="0" collapsed="false">
      <c r="W103" s="57"/>
      <c r="X103" s="58"/>
      <c r="Y103" s="59"/>
      <c r="AA103" s="55" t="n">
        <f aca="false">SUM(AA101:AA102)</f>
        <v>1.88202666666667</v>
      </c>
      <c r="AH103" s="57"/>
      <c r="AI103" s="58"/>
      <c r="AJ103" s="59"/>
      <c r="AL103" s="55"/>
    </row>
    <row r="104" customFormat="false" ht="15" hidden="false" customHeight="false" outlineLevel="0" collapsed="false">
      <c r="S104" s="56" t="s">
        <v>308</v>
      </c>
      <c r="AD104" s="56"/>
    </row>
    <row r="105" customFormat="false" ht="15" hidden="false" customHeight="false" outlineLevel="0" collapsed="false">
      <c r="S105" s="1" t="s">
        <v>309</v>
      </c>
      <c r="W105" s="57" t="s">
        <v>310</v>
      </c>
      <c r="Y105" s="59" t="n">
        <v>3</v>
      </c>
      <c r="Z105" s="30" t="n">
        <f aca="false">AA103</f>
        <v>1.88202666666667</v>
      </c>
      <c r="AA105" s="30" t="n">
        <f aca="false">Y105%*Z105</f>
        <v>0.0564608</v>
      </c>
      <c r="AH105" s="57"/>
      <c r="AJ105" s="59"/>
      <c r="AK105" s="30"/>
      <c r="AL105" s="30"/>
    </row>
    <row r="106" customFormat="false" ht="15" hidden="false" customHeight="false" outlineLevel="0" collapsed="false">
      <c r="S106" s="1" t="s">
        <v>660</v>
      </c>
      <c r="W106" s="57" t="s">
        <v>337</v>
      </c>
      <c r="X106" s="58" t="n">
        <v>1</v>
      </c>
      <c r="Y106" s="59" t="n">
        <f aca="false">X106*8/$U$98</f>
        <v>0.0426666666666667</v>
      </c>
      <c r="Z106" s="65" t="n">
        <v>118.64</v>
      </c>
      <c r="AA106" s="30" t="n">
        <f aca="false">Y106*Z106</f>
        <v>5.06197333333333</v>
      </c>
      <c r="AH106" s="57"/>
      <c r="AI106" s="58"/>
      <c r="AJ106" s="59"/>
      <c r="AK106" s="30"/>
      <c r="AL106" s="30"/>
    </row>
    <row r="107" customFormat="false" ht="15" hidden="false" customHeight="false" outlineLevel="0" collapsed="false">
      <c r="S107" s="1" t="s">
        <v>661</v>
      </c>
      <c r="W107" s="57" t="s">
        <v>337</v>
      </c>
      <c r="X107" s="58" t="n">
        <v>2</v>
      </c>
      <c r="Y107" s="59" t="n">
        <f aca="false">X107*8/$U$98</f>
        <v>0.0853333333333333</v>
      </c>
      <c r="Z107" s="65" t="n">
        <v>186.44</v>
      </c>
      <c r="AA107" s="30" t="n">
        <f aca="false">Y107*Z107</f>
        <v>15.9095466666667</v>
      </c>
      <c r="AH107" s="57"/>
      <c r="AI107" s="58"/>
      <c r="AJ107" s="59"/>
      <c r="AK107" s="30"/>
      <c r="AL107" s="30"/>
    </row>
    <row r="108" customFormat="false" ht="15" hidden="false" customHeight="false" outlineLevel="0" collapsed="false">
      <c r="R108" s="62"/>
      <c r="S108" s="62"/>
      <c r="T108" s="62"/>
      <c r="U108" s="62"/>
      <c r="V108" s="62"/>
      <c r="W108" s="62"/>
      <c r="X108" s="62"/>
      <c r="Y108" s="62"/>
      <c r="Z108" s="83"/>
      <c r="AA108" s="63" t="n">
        <f aca="false">SUM(AA105:AA107)</f>
        <v>21.0279808</v>
      </c>
      <c r="AD108" s="59"/>
      <c r="AK108" s="14"/>
      <c r="AL108" s="55"/>
    </row>
    <row r="110" customFormat="false" ht="15" hidden="false" customHeight="false" outlineLevel="0" collapsed="false">
      <c r="R110" s="85" t="s">
        <v>276</v>
      </c>
      <c r="S110" s="85"/>
      <c r="T110" s="85" t="s">
        <v>482</v>
      </c>
      <c r="U110" s="85"/>
    </row>
    <row r="111" customFormat="false" ht="15" hidden="false" customHeight="false" outlineLevel="0" collapsed="false">
      <c r="R111" s="85" t="s">
        <v>277</v>
      </c>
      <c r="S111" s="85" t="s">
        <v>278</v>
      </c>
      <c r="T111" s="87" t="s">
        <v>279</v>
      </c>
      <c r="U111" s="88" t="n">
        <v>50</v>
      </c>
      <c r="V111" s="87" t="s">
        <v>280</v>
      </c>
      <c r="W111" s="88" t="n">
        <f aca="false">U111</f>
        <v>50</v>
      </c>
      <c r="X111" s="85" t="s">
        <v>281</v>
      </c>
      <c r="Z111" s="87" t="s">
        <v>132</v>
      </c>
      <c r="AA111" s="89" t="n">
        <f aca="false">AA119+AA126+AA130</f>
        <v>238.3435744</v>
      </c>
    </row>
    <row r="112" customFormat="false" ht="15" hidden="false" customHeight="false" outlineLevel="0" collapsed="false">
      <c r="R112" s="85" t="s">
        <v>282</v>
      </c>
      <c r="S112" s="85" t="s">
        <v>283</v>
      </c>
      <c r="W112" s="87" t="s">
        <v>121</v>
      </c>
      <c r="X112" s="87" t="s">
        <v>284</v>
      </c>
      <c r="Y112" s="87" t="s">
        <v>285</v>
      </c>
      <c r="Z112" s="87" t="s">
        <v>286</v>
      </c>
      <c r="AA112" s="87" t="s">
        <v>287</v>
      </c>
    </row>
    <row r="113" customFormat="false" ht="15" hidden="false" customHeight="false" outlineLevel="0" collapsed="false">
      <c r="S113" s="90" t="s">
        <v>288</v>
      </c>
    </row>
    <row r="114" customFormat="false" ht="15" hidden="false" customHeight="false" outlineLevel="0" collapsed="false">
      <c r="S114" s="1" t="s">
        <v>649</v>
      </c>
      <c r="W114" s="57" t="s">
        <v>290</v>
      </c>
      <c r="X114" s="58" t="n">
        <v>0.1</v>
      </c>
      <c r="Y114" s="59" t="n">
        <f aca="false">X114*8/$U$111</f>
        <v>0.016</v>
      </c>
      <c r="Z114" s="1" t="n">
        <v>34.73</v>
      </c>
      <c r="AA114" s="30" t="n">
        <f aca="false">Y114*Z114</f>
        <v>0.55568</v>
      </c>
    </row>
    <row r="115" customFormat="false" ht="15" hidden="false" customHeight="false" outlineLevel="0" collapsed="false">
      <c r="S115" s="1" t="s">
        <v>289</v>
      </c>
      <c r="W115" s="57" t="s">
        <v>290</v>
      </c>
      <c r="X115" s="58" t="n">
        <v>1</v>
      </c>
      <c r="Y115" s="59" t="n">
        <f aca="false">X115*8/$U$111</f>
        <v>0.16</v>
      </c>
      <c r="Z115" s="30" t="n">
        <v>28.94</v>
      </c>
      <c r="AA115" s="30" t="n">
        <f aca="false">Y115*Z115</f>
        <v>4.6304</v>
      </c>
    </row>
    <row r="116" customFormat="false" ht="15" hidden="false" customHeight="false" outlineLevel="0" collapsed="false">
      <c r="S116" s="1" t="s">
        <v>291</v>
      </c>
      <c r="W116" s="57" t="s">
        <v>290</v>
      </c>
      <c r="X116" s="58" t="n">
        <v>2</v>
      </c>
      <c r="Y116" s="59" t="n">
        <f aca="false">X116*8/$U$111</f>
        <v>0.32</v>
      </c>
      <c r="Z116" s="30" t="n">
        <v>23.6</v>
      </c>
      <c r="AA116" s="30" t="n">
        <f aca="false">Y116*Z116</f>
        <v>7.552</v>
      </c>
    </row>
    <row r="117" customFormat="false" ht="15" hidden="false" customHeight="false" outlineLevel="0" collapsed="false">
      <c r="S117" s="1" t="s">
        <v>292</v>
      </c>
      <c r="W117" s="57" t="s">
        <v>290</v>
      </c>
      <c r="X117" s="58" t="n">
        <v>5</v>
      </c>
      <c r="Y117" s="59" t="n">
        <f aca="false">X117*8/$U$111</f>
        <v>0.8</v>
      </c>
      <c r="Z117" s="30" t="n">
        <v>21.36</v>
      </c>
      <c r="AA117" s="30" t="n">
        <f aca="false">Y117*Z117</f>
        <v>17.088</v>
      </c>
    </row>
    <row r="118" customFormat="false" ht="15" hidden="false" customHeight="false" outlineLevel="0" collapsed="false">
      <c r="S118" s="1" t="s">
        <v>651</v>
      </c>
      <c r="W118" s="57" t="s">
        <v>290</v>
      </c>
      <c r="X118" s="58" t="n">
        <v>1</v>
      </c>
      <c r="Y118" s="59" t="n">
        <f aca="false">X118*8/$U$111</f>
        <v>0.16</v>
      </c>
      <c r="Z118" s="1" t="n">
        <v>29.94</v>
      </c>
      <c r="AA118" s="30" t="n">
        <f aca="false">Y118*Z118</f>
        <v>4.7904</v>
      </c>
    </row>
    <row r="119" customFormat="false" ht="15" hidden="false" customHeight="false" outlineLevel="0" collapsed="false">
      <c r="W119" s="57"/>
      <c r="X119" s="58"/>
      <c r="Y119" s="59"/>
      <c r="AA119" s="89" t="n">
        <f aca="false">SUM(AA114:AA118)</f>
        <v>34.61648</v>
      </c>
    </row>
    <row r="120" customFormat="false" ht="15" hidden="false" customHeight="false" outlineLevel="0" collapsed="false">
      <c r="S120" s="90" t="s">
        <v>652</v>
      </c>
      <c r="W120" s="57"/>
      <c r="X120" s="58"/>
      <c r="Y120" s="59"/>
      <c r="AA120" s="30"/>
    </row>
    <row r="121" customFormat="false" ht="15" hidden="false" customHeight="false" outlineLevel="0" collapsed="false">
      <c r="S121" s="1" t="s">
        <v>305</v>
      </c>
      <c r="W121" s="57" t="s">
        <v>306</v>
      </c>
      <c r="Y121" s="59" t="n">
        <v>3.8</v>
      </c>
      <c r="Z121" s="30" t="n">
        <v>24.52</v>
      </c>
      <c r="AA121" s="30" t="n">
        <f aca="false">Y121*Z121</f>
        <v>93.176</v>
      </c>
    </row>
    <row r="122" customFormat="false" ht="15" hidden="false" customHeight="false" outlineLevel="0" collapsed="false">
      <c r="S122" s="1" t="s">
        <v>654</v>
      </c>
      <c r="W122" s="57" t="s">
        <v>202</v>
      </c>
      <c r="Y122" s="59" t="n">
        <v>0.08</v>
      </c>
      <c r="Z122" s="1" t="n">
        <v>6.14</v>
      </c>
      <c r="AA122" s="30" t="n">
        <f aca="false">Y122*Z122</f>
        <v>0.4912</v>
      </c>
    </row>
    <row r="123" customFormat="false" ht="15" hidden="false" customHeight="false" outlineLevel="0" collapsed="false">
      <c r="S123" s="1" t="s">
        <v>663</v>
      </c>
      <c r="W123" s="57" t="s">
        <v>437</v>
      </c>
      <c r="Y123" s="59" t="n">
        <v>0.5</v>
      </c>
      <c r="Z123" s="1" t="n">
        <v>13.93</v>
      </c>
      <c r="AA123" s="30" t="n">
        <f aca="false">Y123*Z123</f>
        <v>6.965</v>
      </c>
    </row>
    <row r="124" customFormat="false" ht="15" hidden="false" customHeight="false" outlineLevel="0" collapsed="false">
      <c r="S124" s="1" t="s">
        <v>311</v>
      </c>
      <c r="W124" s="57" t="s">
        <v>202</v>
      </c>
      <c r="Y124" s="59" t="n">
        <v>0.93</v>
      </c>
      <c r="Z124" s="71" t="n">
        <v>70.92</v>
      </c>
      <c r="AA124" s="30" t="n">
        <f aca="false">Y124*Z124</f>
        <v>65.9556</v>
      </c>
    </row>
    <row r="125" customFormat="false" ht="15" hidden="false" customHeight="false" outlineLevel="0" collapsed="false">
      <c r="S125" s="1" t="s">
        <v>664</v>
      </c>
      <c r="W125" s="57" t="s">
        <v>202</v>
      </c>
      <c r="Y125" s="59" t="n">
        <v>0.4</v>
      </c>
      <c r="Z125" s="71" t="n">
        <v>80</v>
      </c>
      <c r="AA125" s="30" t="n">
        <f aca="false">Y125*Z125</f>
        <v>32</v>
      </c>
    </row>
    <row r="126" customFormat="false" ht="15" hidden="false" customHeight="false" outlineLevel="0" collapsed="false">
      <c r="W126" s="57"/>
      <c r="Y126" s="59"/>
      <c r="Z126" s="30"/>
      <c r="AA126" s="89" t="n">
        <f aca="false">SUM(AA121:AA125)</f>
        <v>198.5878</v>
      </c>
    </row>
    <row r="127" customFormat="false" ht="15" hidden="false" customHeight="false" outlineLevel="0" collapsed="false">
      <c r="S127" s="90" t="s">
        <v>308</v>
      </c>
    </row>
    <row r="128" customFormat="false" ht="15" hidden="false" customHeight="false" outlineLevel="0" collapsed="false">
      <c r="S128" s="1" t="s">
        <v>309</v>
      </c>
      <c r="W128" s="57" t="s">
        <v>310</v>
      </c>
      <c r="Y128" s="59" t="n">
        <v>3</v>
      </c>
      <c r="Z128" s="30" t="n">
        <f aca="false">AA119</f>
        <v>34.61648</v>
      </c>
      <c r="AA128" s="30" t="n">
        <f aca="false">Y128%*Z128</f>
        <v>1.0384944</v>
      </c>
    </row>
    <row r="129" customFormat="false" ht="15" hidden="false" customHeight="false" outlineLevel="0" collapsed="false">
      <c r="S129" s="1" t="s">
        <v>665</v>
      </c>
      <c r="W129" s="57" t="s">
        <v>337</v>
      </c>
      <c r="X129" s="58" t="n">
        <v>1</v>
      </c>
      <c r="Y129" s="59" t="n">
        <f aca="false">X129*8/$U$111</f>
        <v>0.16</v>
      </c>
      <c r="Z129" s="30" t="n">
        <v>25.63</v>
      </c>
      <c r="AA129" s="30" t="n">
        <f aca="false">Y129*Z129</f>
        <v>4.1008</v>
      </c>
    </row>
    <row r="130" customFormat="false" ht="15" hidden="false" customHeight="false" outlineLevel="0" collapsed="false">
      <c r="R130" s="62"/>
      <c r="S130" s="62"/>
      <c r="T130" s="62"/>
      <c r="U130" s="62"/>
      <c r="V130" s="62"/>
      <c r="W130" s="62"/>
      <c r="X130" s="62"/>
      <c r="Y130" s="62"/>
      <c r="Z130" s="62"/>
      <c r="AA130" s="91" t="n">
        <f aca="false">SUM(AA128:AA129)</f>
        <v>5.1392944</v>
      </c>
    </row>
    <row r="132" customFormat="false" ht="15" hidden="false" customHeight="false" outlineLevel="0" collapsed="false">
      <c r="R132" s="85" t="s">
        <v>276</v>
      </c>
      <c r="S132" s="85"/>
      <c r="T132" s="85" t="s">
        <v>666</v>
      </c>
      <c r="U132" s="85"/>
    </row>
    <row r="133" customFormat="false" ht="15" hidden="false" customHeight="false" outlineLevel="0" collapsed="false">
      <c r="R133" s="85" t="s">
        <v>277</v>
      </c>
      <c r="S133" s="85" t="s">
        <v>278</v>
      </c>
      <c r="T133" s="87" t="s">
        <v>279</v>
      </c>
      <c r="U133" s="88" t="n">
        <v>110</v>
      </c>
      <c r="V133" s="87" t="s">
        <v>280</v>
      </c>
      <c r="W133" s="88" t="n">
        <f aca="false">U133</f>
        <v>110</v>
      </c>
      <c r="X133" s="85" t="s">
        <v>281</v>
      </c>
      <c r="Z133" s="87" t="s">
        <v>132</v>
      </c>
      <c r="AA133" s="89" t="n">
        <f aca="false">AA139+AA145+AA149</f>
        <v>39.6208818181818</v>
      </c>
    </row>
    <row r="134" customFormat="false" ht="15" hidden="false" customHeight="false" outlineLevel="0" collapsed="false">
      <c r="R134" s="85" t="s">
        <v>282</v>
      </c>
      <c r="S134" s="85" t="s">
        <v>283</v>
      </c>
      <c r="W134" s="87" t="s">
        <v>121</v>
      </c>
      <c r="X134" s="87" t="s">
        <v>284</v>
      </c>
      <c r="Y134" s="87" t="s">
        <v>285</v>
      </c>
      <c r="Z134" s="87" t="s">
        <v>286</v>
      </c>
      <c r="AA134" s="87" t="s">
        <v>287</v>
      </c>
    </row>
    <row r="135" customFormat="false" ht="15" hidden="false" customHeight="false" outlineLevel="0" collapsed="false">
      <c r="S135" s="90" t="s">
        <v>288</v>
      </c>
    </row>
    <row r="136" customFormat="false" ht="15" hidden="false" customHeight="false" outlineLevel="0" collapsed="false">
      <c r="S136" s="1" t="s">
        <v>289</v>
      </c>
      <c r="W136" s="57" t="s">
        <v>290</v>
      </c>
      <c r="X136" s="58" t="n">
        <v>2</v>
      </c>
      <c r="Y136" s="59" t="n">
        <f aca="false">X136*8/$U$133</f>
        <v>0.145454545454545</v>
      </c>
      <c r="Z136" s="30" t="n">
        <v>28.94</v>
      </c>
      <c r="AA136" s="30" t="n">
        <f aca="false">Y136*Z136</f>
        <v>4.20945454545455</v>
      </c>
    </row>
    <row r="137" customFormat="false" ht="15" hidden="false" customHeight="false" outlineLevel="0" collapsed="false">
      <c r="S137" s="1" t="s">
        <v>291</v>
      </c>
      <c r="W137" s="57" t="s">
        <v>290</v>
      </c>
      <c r="X137" s="58" t="n">
        <v>1</v>
      </c>
      <c r="Y137" s="59" t="n">
        <f aca="false">X137*8/$U$133</f>
        <v>0.0727272727272727</v>
      </c>
      <c r="Z137" s="30" t="n">
        <v>23.6</v>
      </c>
      <c r="AA137" s="30" t="n">
        <f aca="false">Y137*Z137</f>
        <v>1.71636363636364</v>
      </c>
    </row>
    <row r="138" customFormat="false" ht="15" hidden="false" customHeight="false" outlineLevel="0" collapsed="false">
      <c r="S138" s="1" t="s">
        <v>292</v>
      </c>
      <c r="W138" s="57" t="s">
        <v>290</v>
      </c>
      <c r="X138" s="58" t="n">
        <v>6</v>
      </c>
      <c r="Y138" s="59" t="n">
        <f aca="false">X138*8/$U$133</f>
        <v>0.436363636363636</v>
      </c>
      <c r="Z138" s="30" t="n">
        <v>21.36</v>
      </c>
      <c r="AA138" s="30" t="n">
        <f aca="false">Y138*Z138</f>
        <v>9.32072727272727</v>
      </c>
    </row>
    <row r="139" customFormat="false" ht="15" hidden="false" customHeight="false" outlineLevel="0" collapsed="false">
      <c r="W139" s="57"/>
      <c r="X139" s="58"/>
      <c r="Y139" s="59"/>
      <c r="AA139" s="89" t="n">
        <f aca="false">SUM(AA136:AA138)</f>
        <v>15.2465454545455</v>
      </c>
    </row>
    <row r="140" customFormat="false" ht="15" hidden="false" customHeight="false" outlineLevel="0" collapsed="false">
      <c r="S140" s="90" t="s">
        <v>652</v>
      </c>
      <c r="W140" s="57"/>
      <c r="X140" s="58"/>
      <c r="Y140" s="59"/>
      <c r="AA140" s="30"/>
    </row>
    <row r="141" customFormat="false" ht="15" hidden="false" customHeight="false" outlineLevel="0" collapsed="false">
      <c r="S141" s="1" t="s">
        <v>305</v>
      </c>
      <c r="W141" s="57" t="s">
        <v>306</v>
      </c>
      <c r="Y141" s="59" t="n">
        <v>0.42</v>
      </c>
      <c r="Z141" s="30" t="n">
        <v>24.52</v>
      </c>
      <c r="AA141" s="30" t="n">
        <f aca="false">Y141*Z141</f>
        <v>10.2984</v>
      </c>
    </row>
    <row r="142" customFormat="false" ht="15" hidden="false" customHeight="false" outlineLevel="0" collapsed="false">
      <c r="S142" s="1" t="s">
        <v>654</v>
      </c>
      <c r="W142" s="57" t="s">
        <v>202</v>
      </c>
      <c r="Y142" s="59" t="n">
        <v>0.025</v>
      </c>
      <c r="Z142" s="1" t="n">
        <v>6.14</v>
      </c>
      <c r="AA142" s="30" t="n">
        <f aca="false">Y142*Z142</f>
        <v>0.1535</v>
      </c>
    </row>
    <row r="143" customFormat="false" ht="15" hidden="false" customHeight="false" outlineLevel="0" collapsed="false">
      <c r="S143" s="1" t="s">
        <v>311</v>
      </c>
      <c r="W143" s="57" t="s">
        <v>202</v>
      </c>
      <c r="Y143" s="59" t="n">
        <v>0.162</v>
      </c>
      <c r="Z143" s="71" t="n">
        <v>70.92</v>
      </c>
      <c r="AA143" s="30" t="n">
        <f aca="false">Y143*Z143</f>
        <v>11.48904</v>
      </c>
    </row>
    <row r="144" customFormat="false" ht="15" hidden="false" customHeight="false" outlineLevel="0" collapsed="false">
      <c r="S144" s="1" t="s">
        <v>667</v>
      </c>
      <c r="W144" s="57" t="s">
        <v>304</v>
      </c>
      <c r="Y144" s="59" t="n">
        <v>0.18</v>
      </c>
      <c r="Z144" s="30" t="n">
        <v>5.8</v>
      </c>
      <c r="AA144" s="30" t="n">
        <f aca="false">Y144*Z144</f>
        <v>1.044</v>
      </c>
    </row>
    <row r="145" customFormat="false" ht="15" hidden="false" customHeight="false" outlineLevel="0" collapsed="false">
      <c r="W145" s="57"/>
      <c r="Y145" s="59"/>
      <c r="Z145" s="30"/>
      <c r="AA145" s="89" t="n">
        <f aca="false">SUM(AA141:AA144)</f>
        <v>22.98494</v>
      </c>
    </row>
    <row r="146" customFormat="false" ht="15" hidden="false" customHeight="false" outlineLevel="0" collapsed="false">
      <c r="S146" s="90" t="s">
        <v>308</v>
      </c>
    </row>
    <row r="147" customFormat="false" ht="15" hidden="false" customHeight="false" outlineLevel="0" collapsed="false">
      <c r="S147" s="1" t="s">
        <v>309</v>
      </c>
      <c r="W147" s="57" t="s">
        <v>310</v>
      </c>
      <c r="Y147" s="59" t="n">
        <v>3</v>
      </c>
      <c r="Z147" s="30" t="n">
        <f aca="false">AA139</f>
        <v>15.2465454545455</v>
      </c>
      <c r="AA147" s="30" t="n">
        <f aca="false">Y147%*Z147</f>
        <v>0.457396363636364</v>
      </c>
    </row>
    <row r="148" customFormat="false" ht="15" hidden="false" customHeight="false" outlineLevel="0" collapsed="false">
      <c r="S148" s="1" t="s">
        <v>665</v>
      </c>
      <c r="W148" s="57" t="s">
        <v>337</v>
      </c>
      <c r="X148" s="58" t="n">
        <v>0.5</v>
      </c>
      <c r="Y148" s="59" t="n">
        <f aca="false">X148*8/$U$133</f>
        <v>0.0363636363636364</v>
      </c>
      <c r="Z148" s="30" t="n">
        <v>25.63</v>
      </c>
      <c r="AA148" s="30" t="n">
        <f aca="false">Y148*Z148</f>
        <v>0.932</v>
      </c>
    </row>
    <row r="149" customFormat="false" ht="15" hidden="false" customHeight="false" outlineLevel="0" collapsed="false">
      <c r="R149" s="62"/>
      <c r="S149" s="62"/>
      <c r="T149" s="62"/>
      <c r="U149" s="62"/>
      <c r="V149" s="62"/>
      <c r="W149" s="62"/>
      <c r="X149" s="62"/>
      <c r="Y149" s="62"/>
      <c r="Z149" s="62"/>
      <c r="AA149" s="91" t="n">
        <f aca="false">SUM(AA147:AA148)</f>
        <v>1.38939636363636</v>
      </c>
    </row>
    <row r="151" customFormat="false" ht="15" hidden="false" customHeight="false" outlineLevel="0" collapsed="false">
      <c r="R151" s="85" t="s">
        <v>276</v>
      </c>
      <c r="S151" s="85"/>
      <c r="T151" s="85" t="s">
        <v>495</v>
      </c>
      <c r="U151" s="85"/>
    </row>
    <row r="152" customFormat="false" ht="15" hidden="false" customHeight="false" outlineLevel="0" collapsed="false">
      <c r="R152" s="85" t="s">
        <v>277</v>
      </c>
      <c r="S152" s="85" t="s">
        <v>415</v>
      </c>
      <c r="T152" s="87" t="s">
        <v>279</v>
      </c>
      <c r="U152" s="88" t="n">
        <v>25</v>
      </c>
      <c r="V152" s="87" t="s">
        <v>280</v>
      </c>
      <c r="W152" s="88" t="n">
        <f aca="false">U152</f>
        <v>25</v>
      </c>
      <c r="X152" s="85" t="s">
        <v>281</v>
      </c>
      <c r="Z152" s="87" t="s">
        <v>202</v>
      </c>
      <c r="AA152" s="89" t="n">
        <f aca="false">AA158+AA166+AA171</f>
        <v>507.816056</v>
      </c>
    </row>
    <row r="153" customFormat="false" ht="15" hidden="false" customHeight="false" outlineLevel="0" collapsed="false">
      <c r="R153" s="85" t="s">
        <v>282</v>
      </c>
      <c r="S153" s="85" t="s">
        <v>283</v>
      </c>
      <c r="W153" s="87" t="s">
        <v>121</v>
      </c>
      <c r="X153" s="87" t="s">
        <v>284</v>
      </c>
      <c r="Y153" s="87" t="s">
        <v>285</v>
      </c>
      <c r="Z153" s="87" t="s">
        <v>286</v>
      </c>
      <c r="AA153" s="87" t="s">
        <v>287</v>
      </c>
    </row>
    <row r="154" customFormat="false" ht="15" hidden="false" customHeight="false" outlineLevel="0" collapsed="false">
      <c r="S154" s="90" t="s">
        <v>288</v>
      </c>
    </row>
    <row r="155" customFormat="false" ht="15" hidden="false" customHeight="false" outlineLevel="0" collapsed="false">
      <c r="S155" s="1" t="s">
        <v>289</v>
      </c>
      <c r="W155" s="57" t="s">
        <v>290</v>
      </c>
      <c r="X155" s="58" t="n">
        <v>2</v>
      </c>
      <c r="Y155" s="59" t="n">
        <f aca="false">X155*8/$U$152</f>
        <v>0.64</v>
      </c>
      <c r="Z155" s="30" t="n">
        <v>28.94</v>
      </c>
      <c r="AA155" s="30" t="n">
        <f aca="false">Y155*Z155</f>
        <v>18.5216</v>
      </c>
    </row>
    <row r="156" customFormat="false" ht="15" hidden="false" customHeight="false" outlineLevel="0" collapsed="false">
      <c r="S156" s="1" t="s">
        <v>291</v>
      </c>
      <c r="W156" s="57" t="s">
        <v>290</v>
      </c>
      <c r="X156" s="58" t="n">
        <v>2</v>
      </c>
      <c r="Y156" s="59" t="n">
        <f aca="false">X156*8/$U$152</f>
        <v>0.64</v>
      </c>
      <c r="Z156" s="30" t="n">
        <v>23.6</v>
      </c>
      <c r="AA156" s="30" t="n">
        <f aca="false">Y156*Z156</f>
        <v>15.104</v>
      </c>
    </row>
    <row r="157" customFormat="false" ht="15" hidden="false" customHeight="false" outlineLevel="0" collapsed="false">
      <c r="S157" s="1" t="s">
        <v>292</v>
      </c>
      <c r="W157" s="57" t="s">
        <v>290</v>
      </c>
      <c r="X157" s="58" t="n">
        <v>8</v>
      </c>
      <c r="Y157" s="59" t="n">
        <f aca="false">X157*8/$U$152</f>
        <v>2.56</v>
      </c>
      <c r="Z157" s="30" t="n">
        <v>21.36</v>
      </c>
      <c r="AA157" s="30" t="n">
        <f aca="false">Y157*Z157</f>
        <v>54.6816</v>
      </c>
    </row>
    <row r="158" customFormat="false" ht="15" hidden="false" customHeight="false" outlineLevel="0" collapsed="false">
      <c r="W158" s="57"/>
      <c r="X158" s="58"/>
      <c r="Y158" s="59"/>
      <c r="AA158" s="89" t="n">
        <f aca="false">SUM(AA155:AA157)</f>
        <v>88.3072</v>
      </c>
    </row>
    <row r="159" customFormat="false" ht="15" hidden="false" customHeight="false" outlineLevel="0" collapsed="false">
      <c r="S159" s="90" t="s">
        <v>652</v>
      </c>
      <c r="W159" s="57"/>
      <c r="X159" s="58"/>
      <c r="Y159" s="59"/>
      <c r="AA159" s="30"/>
    </row>
    <row r="160" customFormat="false" ht="15" hidden="false" customHeight="false" outlineLevel="0" collapsed="false">
      <c r="S160" s="1" t="s">
        <v>670</v>
      </c>
      <c r="W160" s="57" t="s">
        <v>202</v>
      </c>
      <c r="Y160" s="59" t="n">
        <v>0.53</v>
      </c>
      <c r="Z160" s="30" t="n">
        <v>55.08</v>
      </c>
      <c r="AA160" s="30" t="n">
        <f aca="false">Y160*Z160</f>
        <v>29.1924</v>
      </c>
    </row>
    <row r="161" customFormat="false" ht="15" hidden="false" customHeight="false" outlineLevel="0" collapsed="false">
      <c r="S161" s="1" t="s">
        <v>671</v>
      </c>
      <c r="W161" s="57" t="s">
        <v>202</v>
      </c>
      <c r="Y161" s="59" t="n">
        <v>0.52</v>
      </c>
      <c r="Z161" s="30" t="n">
        <v>47</v>
      </c>
      <c r="AA161" s="30" t="n">
        <f aca="false">Y161*Z161</f>
        <v>24.44</v>
      </c>
    </row>
    <row r="162" customFormat="false" ht="15" hidden="false" customHeight="false" outlineLevel="0" collapsed="false">
      <c r="S162" s="1" t="s">
        <v>305</v>
      </c>
      <c r="W162" s="57" t="s">
        <v>306</v>
      </c>
      <c r="Y162" s="59" t="n">
        <v>9.73</v>
      </c>
      <c r="Z162" s="30" t="n">
        <v>24.52</v>
      </c>
      <c r="AA162" s="30" t="n">
        <f aca="false">Y162*Z162</f>
        <v>238.5796</v>
      </c>
    </row>
    <row r="163" customFormat="false" ht="15" hidden="false" customHeight="false" outlineLevel="0" collapsed="false">
      <c r="S163" s="1" t="s">
        <v>654</v>
      </c>
      <c r="W163" s="57" t="s">
        <v>202</v>
      </c>
      <c r="Y163" s="59" t="n">
        <v>0.186</v>
      </c>
      <c r="Z163" s="1" t="n">
        <v>6.14</v>
      </c>
      <c r="AA163" s="30" t="n">
        <f aca="false">Y163*Z163</f>
        <v>1.14204</v>
      </c>
    </row>
    <row r="164" customFormat="false" ht="15" hidden="false" customHeight="false" outlineLevel="0" collapsed="false">
      <c r="S164" s="1" t="s">
        <v>663</v>
      </c>
      <c r="W164" s="57" t="s">
        <v>437</v>
      </c>
      <c r="Y164" s="59" t="n">
        <v>0.36</v>
      </c>
      <c r="Z164" s="1" t="n">
        <v>13.93</v>
      </c>
      <c r="AA164" s="30" t="n">
        <f aca="false">Y164*Z164</f>
        <v>5.0148</v>
      </c>
    </row>
    <row r="165" customFormat="false" ht="15" hidden="false" customHeight="false" outlineLevel="0" collapsed="false">
      <c r="S165" s="1" t="s">
        <v>672</v>
      </c>
      <c r="W165" s="57" t="s">
        <v>437</v>
      </c>
      <c r="Y165" s="59" t="n">
        <v>4.6</v>
      </c>
      <c r="Z165" s="71" t="n">
        <v>23.73</v>
      </c>
      <c r="AA165" s="30" t="n">
        <f aca="false">Y165*Z165</f>
        <v>109.158</v>
      </c>
    </row>
    <row r="166" customFormat="false" ht="15" hidden="false" customHeight="false" outlineLevel="0" collapsed="false">
      <c r="W166" s="57"/>
      <c r="Y166" s="59"/>
      <c r="Z166" s="30"/>
      <c r="AA166" s="89" t="n">
        <f aca="false">SUM(AA160:AA165)</f>
        <v>407.52684</v>
      </c>
    </row>
    <row r="167" customFormat="false" ht="15" hidden="false" customHeight="false" outlineLevel="0" collapsed="false">
      <c r="S167" s="90" t="s">
        <v>308</v>
      </c>
    </row>
    <row r="168" customFormat="false" ht="15" hidden="false" customHeight="false" outlineLevel="0" collapsed="false">
      <c r="S168" s="1" t="s">
        <v>309</v>
      </c>
      <c r="W168" s="57" t="s">
        <v>310</v>
      </c>
      <c r="Y168" s="59" t="n">
        <v>3</v>
      </c>
      <c r="Z168" s="30" t="n">
        <f aca="false">AA158</f>
        <v>88.3072</v>
      </c>
      <c r="AA168" s="30" t="n">
        <f aca="false">Y168%*Z168</f>
        <v>2.649216</v>
      </c>
    </row>
    <row r="169" customFormat="false" ht="15" hidden="false" customHeight="false" outlineLevel="0" collapsed="false">
      <c r="S169" s="1" t="s">
        <v>665</v>
      </c>
      <c r="W169" s="57" t="s">
        <v>337</v>
      </c>
      <c r="X169" s="58" t="n">
        <v>1</v>
      </c>
      <c r="Y169" s="59" t="n">
        <f aca="false">X169*8/$U$152</f>
        <v>0.32</v>
      </c>
      <c r="Z169" s="30" t="n">
        <v>25.63</v>
      </c>
      <c r="AA169" s="30" t="n">
        <f aca="false">Y169*Z169</f>
        <v>8.2016</v>
      </c>
    </row>
    <row r="170" customFormat="false" ht="15" hidden="false" customHeight="false" outlineLevel="0" collapsed="false">
      <c r="S170" s="1" t="s">
        <v>673</v>
      </c>
      <c r="W170" s="57" t="s">
        <v>337</v>
      </c>
      <c r="X170" s="58" t="n">
        <v>0.5</v>
      </c>
      <c r="Y170" s="59" t="n">
        <f aca="false">X170*8/$U$152</f>
        <v>0.16</v>
      </c>
      <c r="Z170" s="30" t="n">
        <v>7.07</v>
      </c>
      <c r="AA170" s="30" t="n">
        <f aca="false">Y170*Z170</f>
        <v>1.1312</v>
      </c>
    </row>
    <row r="171" customFormat="false" ht="15" hidden="false" customHeight="false" outlineLevel="0" collapsed="false">
      <c r="R171" s="62"/>
      <c r="S171" s="62"/>
      <c r="T171" s="62"/>
      <c r="U171" s="62"/>
      <c r="V171" s="62"/>
      <c r="W171" s="62"/>
      <c r="X171" s="62"/>
      <c r="Y171" s="62"/>
      <c r="Z171" s="62"/>
      <c r="AA171" s="91" t="n">
        <f aca="false">SUM(AA168:AA170)</f>
        <v>11.982016</v>
      </c>
    </row>
    <row r="173" customFormat="false" ht="15" hidden="false" customHeight="false" outlineLevel="0" collapsed="false">
      <c r="R173" s="85" t="s">
        <v>276</v>
      </c>
      <c r="S173" s="85"/>
      <c r="T173" s="85" t="s">
        <v>1382</v>
      </c>
      <c r="U173" s="85"/>
    </row>
    <row r="174" customFormat="false" ht="15" hidden="false" customHeight="false" outlineLevel="0" collapsed="false">
      <c r="R174" s="85" t="s">
        <v>277</v>
      </c>
      <c r="S174" s="85" t="s">
        <v>278</v>
      </c>
      <c r="T174" s="87" t="s">
        <v>279</v>
      </c>
      <c r="U174" s="88" t="n">
        <v>8</v>
      </c>
      <c r="V174" s="87" t="s">
        <v>280</v>
      </c>
      <c r="W174" s="88" t="n">
        <f aca="false">U174</f>
        <v>8</v>
      </c>
      <c r="X174" s="85" t="s">
        <v>281</v>
      </c>
      <c r="Z174" s="87" t="s">
        <v>132</v>
      </c>
      <c r="AA174" s="89" t="n">
        <f aca="false">AA179+AA184+AA187</f>
        <v>75.1142</v>
      </c>
    </row>
    <row r="175" customFormat="false" ht="15" hidden="false" customHeight="false" outlineLevel="0" collapsed="false">
      <c r="R175" s="85" t="s">
        <v>282</v>
      </c>
      <c r="S175" s="85" t="s">
        <v>283</v>
      </c>
      <c r="W175" s="87" t="s">
        <v>121</v>
      </c>
      <c r="X175" s="87" t="s">
        <v>284</v>
      </c>
      <c r="Y175" s="87" t="s">
        <v>285</v>
      </c>
      <c r="Z175" s="87" t="s">
        <v>286</v>
      </c>
      <c r="AA175" s="87" t="s">
        <v>287</v>
      </c>
    </row>
    <row r="176" customFormat="false" ht="15" hidden="false" customHeight="false" outlineLevel="0" collapsed="false">
      <c r="S176" s="90" t="s">
        <v>288</v>
      </c>
    </row>
    <row r="177" customFormat="false" ht="15" hidden="false" customHeight="false" outlineLevel="0" collapsed="false">
      <c r="S177" s="1" t="s">
        <v>289</v>
      </c>
      <c r="W177" s="57" t="s">
        <v>290</v>
      </c>
      <c r="X177" s="58" t="n">
        <v>1</v>
      </c>
      <c r="Y177" s="59" t="n">
        <f aca="false">X177*8/$U$174</f>
        <v>1</v>
      </c>
      <c r="Z177" s="30" t="n">
        <v>28.94</v>
      </c>
      <c r="AA177" s="30" t="n">
        <f aca="false">Y177*Z177</f>
        <v>28.94</v>
      </c>
    </row>
    <row r="178" customFormat="false" ht="15" hidden="false" customHeight="false" outlineLevel="0" collapsed="false">
      <c r="S178" s="1" t="s">
        <v>291</v>
      </c>
      <c r="W178" s="57" t="s">
        <v>290</v>
      </c>
      <c r="X178" s="58" t="n">
        <v>1</v>
      </c>
      <c r="Y178" s="59" t="n">
        <f aca="false">X178*8/$U$174</f>
        <v>1</v>
      </c>
      <c r="Z178" s="30" t="n">
        <v>23.6</v>
      </c>
      <c r="AA178" s="30" t="n">
        <f aca="false">Y178*Z178</f>
        <v>23.6</v>
      </c>
    </row>
    <row r="179" customFormat="false" ht="15" hidden="false" customHeight="false" outlineLevel="0" collapsed="false">
      <c r="W179" s="57"/>
      <c r="X179" s="58"/>
      <c r="Y179" s="59"/>
      <c r="AA179" s="89" t="n">
        <f aca="false">SUM(AA177:AA178)</f>
        <v>52.54</v>
      </c>
    </row>
    <row r="180" customFormat="false" ht="15" hidden="false" customHeight="false" outlineLevel="0" collapsed="false">
      <c r="S180" s="90" t="s">
        <v>652</v>
      </c>
      <c r="W180" s="57"/>
      <c r="X180" s="58"/>
      <c r="Y180" s="59"/>
      <c r="AA180" s="30"/>
    </row>
    <row r="181" customFormat="false" ht="15" hidden="false" customHeight="false" outlineLevel="0" collapsed="false">
      <c r="S181" s="1" t="s">
        <v>680</v>
      </c>
      <c r="W181" s="57" t="s">
        <v>295</v>
      </c>
      <c r="Y181" s="59" t="n">
        <v>0.26</v>
      </c>
      <c r="Z181" s="30" t="n">
        <v>2.64</v>
      </c>
      <c r="AA181" s="30" t="n">
        <f aca="false">Y181*Z181</f>
        <v>0.6864</v>
      </c>
    </row>
    <row r="182" customFormat="false" ht="15" hidden="false" customHeight="false" outlineLevel="0" collapsed="false">
      <c r="S182" s="1" t="s">
        <v>300</v>
      </c>
      <c r="W182" s="57" t="s">
        <v>295</v>
      </c>
      <c r="Y182" s="59" t="n">
        <v>0.16</v>
      </c>
      <c r="Z182" s="30" t="n">
        <v>5.51</v>
      </c>
      <c r="AA182" s="30" t="n">
        <f aca="false">Y182*Z182</f>
        <v>0.8816</v>
      </c>
    </row>
    <row r="183" customFormat="false" ht="15" hidden="false" customHeight="false" outlineLevel="0" collapsed="false">
      <c r="S183" s="1" t="s">
        <v>667</v>
      </c>
      <c r="W183" s="57" t="s">
        <v>304</v>
      </c>
      <c r="Y183" s="59" t="n">
        <v>3.35</v>
      </c>
      <c r="Z183" s="30" t="n">
        <v>5.8</v>
      </c>
      <c r="AA183" s="30" t="n">
        <f aca="false">Y183*Z183</f>
        <v>19.43</v>
      </c>
    </row>
    <row r="184" customFormat="false" ht="15" hidden="false" customHeight="false" outlineLevel="0" collapsed="false">
      <c r="W184" s="57"/>
      <c r="Y184" s="59"/>
      <c r="Z184" s="30"/>
      <c r="AA184" s="89" t="n">
        <f aca="false">SUM(AA181:AA183)</f>
        <v>20.998</v>
      </c>
    </row>
    <row r="185" customFormat="false" ht="15" hidden="false" customHeight="false" outlineLevel="0" collapsed="false">
      <c r="S185" s="90" t="s">
        <v>308</v>
      </c>
    </row>
    <row r="186" customFormat="false" ht="15" hidden="false" customHeight="false" outlineLevel="0" collapsed="false">
      <c r="S186" s="1" t="s">
        <v>309</v>
      </c>
      <c r="W186" s="57" t="s">
        <v>310</v>
      </c>
      <c r="Y186" s="59" t="n">
        <v>3</v>
      </c>
      <c r="Z186" s="30" t="n">
        <f aca="false">AA179</f>
        <v>52.54</v>
      </c>
      <c r="AA186" s="30" t="n">
        <f aca="false">Y186%*Z186</f>
        <v>1.5762</v>
      </c>
    </row>
    <row r="187" customFormat="false" ht="15" hidden="false" customHeight="false" outlineLevel="0" collapsed="false">
      <c r="R187" s="62"/>
      <c r="S187" s="62"/>
      <c r="T187" s="62"/>
      <c r="U187" s="62"/>
      <c r="V187" s="62"/>
      <c r="W187" s="62"/>
      <c r="X187" s="62"/>
      <c r="Y187" s="62"/>
      <c r="Z187" s="62"/>
      <c r="AA187" s="91" t="n">
        <f aca="false">SUM(AA186)</f>
        <v>1.5762</v>
      </c>
    </row>
    <row r="190" customFormat="false" ht="15" hidden="false" customHeight="false" outlineLevel="0" collapsed="false">
      <c r="R190" s="85" t="s">
        <v>276</v>
      </c>
      <c r="S190" s="85"/>
      <c r="T190" s="85" t="s">
        <v>497</v>
      </c>
      <c r="U190" s="85"/>
    </row>
    <row r="191" customFormat="false" ht="15" hidden="false" customHeight="false" outlineLevel="0" collapsed="false">
      <c r="R191" s="85" t="s">
        <v>277</v>
      </c>
      <c r="S191" s="85" t="s">
        <v>674</v>
      </c>
      <c r="T191" s="87" t="s">
        <v>279</v>
      </c>
      <c r="U191" s="88" t="n">
        <v>250</v>
      </c>
      <c r="V191" s="87" t="s">
        <v>280</v>
      </c>
      <c r="W191" s="88" t="n">
        <f aca="false">U191</f>
        <v>250</v>
      </c>
      <c r="X191" s="85" t="s">
        <v>281</v>
      </c>
      <c r="Z191" s="87" t="s">
        <v>295</v>
      </c>
      <c r="AA191" s="89" t="n">
        <f aca="false">AA196+AA200+AA204</f>
        <v>5.5639628445</v>
      </c>
    </row>
    <row r="192" customFormat="false" ht="15" hidden="false" customHeight="false" outlineLevel="0" collapsed="false">
      <c r="R192" s="85" t="s">
        <v>282</v>
      </c>
      <c r="S192" s="85" t="s">
        <v>283</v>
      </c>
      <c r="W192" s="87" t="s">
        <v>121</v>
      </c>
      <c r="X192" s="87" t="s">
        <v>284</v>
      </c>
      <c r="Y192" s="87" t="s">
        <v>285</v>
      </c>
      <c r="Z192" s="87" t="s">
        <v>286</v>
      </c>
      <c r="AA192" s="87" t="s">
        <v>287</v>
      </c>
    </row>
    <row r="193" customFormat="false" ht="15" hidden="false" customHeight="false" outlineLevel="0" collapsed="false">
      <c r="S193" s="127" t="s">
        <v>288</v>
      </c>
      <c r="X193" s="58"/>
    </row>
    <row r="194" customFormat="false" ht="15" hidden="false" customHeight="false" outlineLevel="0" collapsed="false">
      <c r="S194" s="1" t="s">
        <v>289</v>
      </c>
      <c r="W194" s="57" t="s">
        <v>290</v>
      </c>
      <c r="X194" s="58" t="n">
        <v>1</v>
      </c>
      <c r="Y194" s="59" t="n">
        <f aca="false">X194*8/$U$191</f>
        <v>0.032</v>
      </c>
      <c r="Z194" s="30" t="n">
        <v>28.94</v>
      </c>
      <c r="AA194" s="30" t="n">
        <f aca="false">Y194*Z194</f>
        <v>0.92608</v>
      </c>
    </row>
    <row r="195" customFormat="false" ht="15" hidden="false" customHeight="false" outlineLevel="0" collapsed="false">
      <c r="S195" s="1" t="s">
        <v>675</v>
      </c>
      <c r="W195" s="57" t="s">
        <v>290</v>
      </c>
      <c r="X195" s="58" t="n">
        <v>1</v>
      </c>
      <c r="Y195" s="59" t="n">
        <f aca="false">X195*8/$U$191</f>
        <v>0.032</v>
      </c>
      <c r="Z195" s="30" t="n">
        <v>23.6</v>
      </c>
      <c r="AA195" s="30" t="n">
        <f aca="false">Y195*Z195</f>
        <v>0.7552</v>
      </c>
    </row>
    <row r="196" customFormat="false" ht="15" hidden="false" customHeight="false" outlineLevel="0" collapsed="false">
      <c r="W196" s="57"/>
      <c r="X196" s="58"/>
      <c r="AA196" s="126" t="n">
        <f aca="false">SUM(AA194:AA195)</f>
        <v>1.68128</v>
      </c>
    </row>
    <row r="197" customFormat="false" ht="15" hidden="false" customHeight="false" outlineLevel="0" collapsed="false">
      <c r="S197" s="127" t="s">
        <v>293</v>
      </c>
      <c r="W197" s="57"/>
      <c r="X197" s="58"/>
      <c r="Y197" s="101"/>
    </row>
    <row r="198" customFormat="false" ht="15" hidden="false" customHeight="false" outlineLevel="0" collapsed="false">
      <c r="S198" s="1" t="s">
        <v>294</v>
      </c>
      <c r="W198" s="57" t="s">
        <v>295</v>
      </c>
      <c r="X198" s="58"/>
      <c r="Y198" s="101" t="n">
        <v>0.03</v>
      </c>
      <c r="Z198" s="30" t="n">
        <v>2.64</v>
      </c>
      <c r="AA198" s="30" t="n">
        <f aca="false">Y198*Z198</f>
        <v>0.0792</v>
      </c>
    </row>
    <row r="199" customFormat="false" ht="15" hidden="false" customHeight="false" outlineLevel="0" collapsed="false">
      <c r="S199" s="1" t="s">
        <v>676</v>
      </c>
      <c r="W199" s="57" t="s">
        <v>295</v>
      </c>
      <c r="X199" s="58"/>
      <c r="Y199" s="101" t="n">
        <v>1.05</v>
      </c>
      <c r="Z199" s="30" t="n">
        <f aca="false">1012.71*3.379/1000</f>
        <v>3.42194709</v>
      </c>
      <c r="AA199" s="30" t="n">
        <f aca="false">Y199*Z199</f>
        <v>3.5930444445</v>
      </c>
    </row>
    <row r="200" customFormat="false" ht="15" hidden="false" customHeight="false" outlineLevel="0" collapsed="false">
      <c r="W200" s="57"/>
      <c r="X200" s="58"/>
      <c r="AA200" s="126" t="n">
        <f aca="false">SUM(AA198:AA199)</f>
        <v>3.6722444445</v>
      </c>
    </row>
    <row r="201" customFormat="false" ht="15" hidden="false" customHeight="false" outlineLevel="0" collapsed="false">
      <c r="S201" s="127" t="s">
        <v>317</v>
      </c>
      <c r="W201" s="57"/>
      <c r="X201" s="58"/>
    </row>
    <row r="202" customFormat="false" ht="15" hidden="false" customHeight="false" outlineLevel="0" collapsed="false">
      <c r="S202" s="1" t="s">
        <v>309</v>
      </c>
      <c r="W202" s="57" t="s">
        <v>310</v>
      </c>
      <c r="Y202" s="59" t="n">
        <v>3</v>
      </c>
      <c r="Z202" s="30" t="n">
        <f aca="false">AA196</f>
        <v>1.68128</v>
      </c>
      <c r="AA202" s="30" t="n">
        <f aca="false">Y202%*Z202</f>
        <v>0.0504384</v>
      </c>
    </row>
    <row r="203" customFormat="false" ht="15" hidden="false" customHeight="false" outlineLevel="0" collapsed="false">
      <c r="S203" s="1" t="s">
        <v>677</v>
      </c>
      <c r="W203" s="57" t="s">
        <v>290</v>
      </c>
      <c r="X203" s="58" t="n">
        <v>1</v>
      </c>
      <c r="Y203" s="59" t="n">
        <f aca="false">X203*8/$U$191</f>
        <v>0.032</v>
      </c>
      <c r="Z203" s="65" t="n">
        <v>5</v>
      </c>
      <c r="AA203" s="30" t="n">
        <f aca="false">Y203*Z203</f>
        <v>0.16</v>
      </c>
    </row>
    <row r="204" customFormat="false" ht="15" hidden="false" customHeight="false" outlineLevel="0" collapsed="false">
      <c r="R204" s="62"/>
      <c r="S204" s="62"/>
      <c r="T204" s="62"/>
      <c r="U204" s="62"/>
      <c r="V204" s="62"/>
      <c r="W204" s="62"/>
      <c r="X204" s="62"/>
      <c r="Y204" s="62"/>
      <c r="Z204" s="62"/>
      <c r="AA204" s="128" t="n">
        <f aca="false">SUM(AA202:AA203)</f>
        <v>0.2104384</v>
      </c>
    </row>
    <row r="206" customFormat="false" ht="15" hidden="false" customHeight="false" outlineLevel="0" collapsed="false">
      <c r="R206" s="85" t="s">
        <v>276</v>
      </c>
      <c r="S206" s="85"/>
      <c r="T206" s="85" t="s">
        <v>682</v>
      </c>
      <c r="U206" s="85"/>
    </row>
    <row r="207" customFormat="false" ht="15" hidden="false" customHeight="false" outlineLevel="0" collapsed="false">
      <c r="R207" s="85" t="s">
        <v>277</v>
      </c>
      <c r="S207" s="85" t="s">
        <v>415</v>
      </c>
      <c r="T207" s="87" t="s">
        <v>279</v>
      </c>
      <c r="U207" s="88" t="n">
        <v>15</v>
      </c>
      <c r="V207" s="87" t="s">
        <v>280</v>
      </c>
      <c r="W207" s="88" t="n">
        <f aca="false">U207</f>
        <v>15</v>
      </c>
      <c r="X207" s="85" t="s">
        <v>281</v>
      </c>
      <c r="Z207" s="87" t="s">
        <v>202</v>
      </c>
      <c r="AA207" s="89" t="n">
        <f aca="false">AA213+AA220+AA225</f>
        <v>424.9218</v>
      </c>
    </row>
    <row r="208" customFormat="false" ht="15" hidden="false" customHeight="false" outlineLevel="0" collapsed="false">
      <c r="R208" s="85" t="s">
        <v>282</v>
      </c>
      <c r="S208" s="85" t="s">
        <v>283</v>
      </c>
      <c r="W208" s="87" t="s">
        <v>121</v>
      </c>
      <c r="X208" s="87" t="s">
        <v>284</v>
      </c>
      <c r="Y208" s="87" t="s">
        <v>285</v>
      </c>
      <c r="Z208" s="87" t="s">
        <v>286</v>
      </c>
      <c r="AA208" s="87" t="s">
        <v>287</v>
      </c>
    </row>
    <row r="209" customFormat="false" ht="15" hidden="false" customHeight="false" outlineLevel="0" collapsed="false">
      <c r="S209" s="90" t="s">
        <v>288</v>
      </c>
    </row>
    <row r="210" customFormat="false" ht="15" hidden="false" customHeight="false" outlineLevel="0" collapsed="false">
      <c r="S210" s="1" t="s">
        <v>289</v>
      </c>
      <c r="W210" s="57" t="s">
        <v>290</v>
      </c>
      <c r="X210" s="58" t="n">
        <v>1</v>
      </c>
      <c r="Y210" s="59" t="n">
        <f aca="false">X210*8/$U$207</f>
        <v>0.533333333333333</v>
      </c>
      <c r="Z210" s="30" t="n">
        <v>28.94</v>
      </c>
      <c r="AA210" s="30" t="n">
        <f aca="false">Y210*Z210</f>
        <v>15.4346666666667</v>
      </c>
    </row>
    <row r="211" customFormat="false" ht="15" hidden="false" customHeight="false" outlineLevel="0" collapsed="false">
      <c r="S211" s="1" t="s">
        <v>291</v>
      </c>
      <c r="W211" s="57" t="s">
        <v>290</v>
      </c>
      <c r="X211" s="58" t="n">
        <v>1</v>
      </c>
      <c r="Y211" s="59" t="n">
        <f aca="false">X211*8/$U$207</f>
        <v>0.533333333333333</v>
      </c>
      <c r="Z211" s="30" t="n">
        <v>23.6</v>
      </c>
      <c r="AA211" s="30" t="n">
        <f aca="false">Y211*Z211</f>
        <v>12.5866666666667</v>
      </c>
    </row>
    <row r="212" customFormat="false" ht="15" hidden="false" customHeight="false" outlineLevel="0" collapsed="false">
      <c r="S212" s="1" t="s">
        <v>292</v>
      </c>
      <c r="W212" s="57" t="s">
        <v>290</v>
      </c>
      <c r="X212" s="58" t="n">
        <v>7</v>
      </c>
      <c r="Y212" s="59" t="n">
        <f aca="false">X212*8/$U$207</f>
        <v>3.73333333333333</v>
      </c>
      <c r="Z212" s="30" t="n">
        <v>21.36</v>
      </c>
      <c r="AA212" s="30" t="n">
        <f aca="false">Y212*Z212</f>
        <v>79.744</v>
      </c>
    </row>
    <row r="213" customFormat="false" ht="15" hidden="false" customHeight="false" outlineLevel="0" collapsed="false">
      <c r="W213" s="57"/>
      <c r="X213" s="58"/>
      <c r="Y213" s="59"/>
      <c r="AA213" s="89" t="n">
        <f aca="false">SUM(AA210:AA212)</f>
        <v>107.765333333333</v>
      </c>
    </row>
    <row r="214" customFormat="false" ht="15" hidden="false" customHeight="false" outlineLevel="0" collapsed="false">
      <c r="S214" s="90" t="s">
        <v>652</v>
      </c>
      <c r="W214" s="57"/>
      <c r="X214" s="58"/>
      <c r="Y214" s="59"/>
      <c r="AA214" s="30"/>
    </row>
    <row r="215" customFormat="false" ht="15" hidden="false" customHeight="false" outlineLevel="0" collapsed="false">
      <c r="S215" s="1" t="s">
        <v>670</v>
      </c>
      <c r="W215" s="57" t="s">
        <v>202</v>
      </c>
      <c r="Y215" s="59" t="n">
        <v>0.53</v>
      </c>
      <c r="Z215" s="30" t="n">
        <v>55.08</v>
      </c>
      <c r="AA215" s="30" t="n">
        <f aca="false">Y215*Z215</f>
        <v>29.1924</v>
      </c>
    </row>
    <row r="216" customFormat="false" ht="15" hidden="false" customHeight="false" outlineLevel="0" collapsed="false">
      <c r="S216" s="1" t="s">
        <v>671</v>
      </c>
      <c r="W216" s="57" t="s">
        <v>202</v>
      </c>
      <c r="Y216" s="59" t="n">
        <v>0.52</v>
      </c>
      <c r="Z216" s="30" t="n">
        <v>47</v>
      </c>
      <c r="AA216" s="30" t="n">
        <f aca="false">Y216*Z216</f>
        <v>24.44</v>
      </c>
    </row>
    <row r="217" customFormat="false" ht="15" hidden="false" customHeight="false" outlineLevel="0" collapsed="false">
      <c r="S217" s="1" t="s">
        <v>305</v>
      </c>
      <c r="W217" s="57" t="s">
        <v>306</v>
      </c>
      <c r="Y217" s="59" t="n">
        <v>9.73</v>
      </c>
      <c r="Z217" s="30" t="n">
        <v>24.52</v>
      </c>
      <c r="AA217" s="30" t="n">
        <f aca="false">Y217*Z217</f>
        <v>238.5796</v>
      </c>
    </row>
    <row r="218" customFormat="false" ht="15" hidden="false" customHeight="false" outlineLevel="0" collapsed="false">
      <c r="S218" s="1" t="s">
        <v>654</v>
      </c>
      <c r="W218" s="57" t="s">
        <v>202</v>
      </c>
      <c r="Y218" s="59" t="n">
        <v>0.186</v>
      </c>
      <c r="Z218" s="1" t="n">
        <v>6.14</v>
      </c>
      <c r="AA218" s="30" t="n">
        <f aca="false">Y218*Z218</f>
        <v>1.14204</v>
      </c>
    </row>
    <row r="219" customFormat="false" ht="15" hidden="false" customHeight="false" outlineLevel="0" collapsed="false">
      <c r="S219" s="1" t="s">
        <v>663</v>
      </c>
      <c r="W219" s="57" t="s">
        <v>437</v>
      </c>
      <c r="Y219" s="59" t="n">
        <v>0.36</v>
      </c>
      <c r="Z219" s="1" t="n">
        <v>13.93</v>
      </c>
      <c r="AA219" s="30" t="n">
        <f aca="false">Y219*Z219</f>
        <v>5.0148</v>
      </c>
    </row>
    <row r="220" customFormat="false" ht="15" hidden="false" customHeight="false" outlineLevel="0" collapsed="false">
      <c r="W220" s="57"/>
      <c r="Y220" s="59"/>
      <c r="Z220" s="30"/>
      <c r="AA220" s="89" t="n">
        <f aca="false">SUM(AA215:AA219)</f>
        <v>298.36884</v>
      </c>
    </row>
    <row r="221" customFormat="false" ht="15" hidden="false" customHeight="false" outlineLevel="0" collapsed="false">
      <c r="S221" s="90" t="s">
        <v>308</v>
      </c>
    </row>
    <row r="222" customFormat="false" ht="15" hidden="false" customHeight="false" outlineLevel="0" collapsed="false">
      <c r="S222" s="1" t="s">
        <v>309</v>
      </c>
      <c r="W222" s="57" t="s">
        <v>310</v>
      </c>
      <c r="Y222" s="59" t="n">
        <v>3</v>
      </c>
      <c r="Z222" s="30" t="n">
        <f aca="false">AA213</f>
        <v>107.765333333333</v>
      </c>
      <c r="AA222" s="30" t="n">
        <f aca="false">Y222%*Z222</f>
        <v>3.23296</v>
      </c>
    </row>
    <row r="223" customFormat="false" ht="15" hidden="false" customHeight="false" outlineLevel="0" collapsed="false">
      <c r="S223" s="1" t="s">
        <v>665</v>
      </c>
      <c r="W223" s="57" t="s">
        <v>337</v>
      </c>
      <c r="X223" s="58" t="n">
        <v>1</v>
      </c>
      <c r="Y223" s="59" t="n">
        <f aca="false">X223*8/$U$207</f>
        <v>0.533333333333333</v>
      </c>
      <c r="Z223" s="30" t="n">
        <v>25.63</v>
      </c>
      <c r="AA223" s="30" t="n">
        <f aca="false">Y223*Z223</f>
        <v>13.6693333333333</v>
      </c>
    </row>
    <row r="224" customFormat="false" ht="15" hidden="false" customHeight="false" outlineLevel="0" collapsed="false">
      <c r="S224" s="1" t="s">
        <v>673</v>
      </c>
      <c r="W224" s="57" t="s">
        <v>337</v>
      </c>
      <c r="X224" s="58" t="n">
        <v>0.5</v>
      </c>
      <c r="Y224" s="59" t="n">
        <f aca="false">X224*8/$U$207</f>
        <v>0.266666666666667</v>
      </c>
      <c r="Z224" s="30" t="n">
        <v>7.07</v>
      </c>
      <c r="AA224" s="30" t="n">
        <f aca="false">Y224*Z224</f>
        <v>1.88533333333333</v>
      </c>
    </row>
    <row r="225" customFormat="false" ht="15" hidden="false" customHeight="false" outlineLevel="0" collapsed="false">
      <c r="R225" s="62"/>
      <c r="S225" s="62"/>
      <c r="T225" s="62"/>
      <c r="U225" s="62"/>
      <c r="V225" s="62"/>
      <c r="W225" s="62"/>
      <c r="X225" s="62"/>
      <c r="Y225" s="62"/>
      <c r="Z225" s="62"/>
      <c r="AA225" s="91" t="n">
        <f aca="false">SUM(AA222:AA224)</f>
        <v>18.7876266666667</v>
      </c>
    </row>
    <row r="227" customFormat="false" ht="15" hidden="false" customHeight="false" outlineLevel="0" collapsed="false">
      <c r="R227" s="85" t="s">
        <v>276</v>
      </c>
      <c r="S227" s="85"/>
      <c r="T227" s="85" t="s">
        <v>683</v>
      </c>
      <c r="U227" s="85"/>
    </row>
    <row r="228" customFormat="false" ht="15" hidden="false" customHeight="false" outlineLevel="0" collapsed="false">
      <c r="R228" s="85" t="s">
        <v>277</v>
      </c>
      <c r="S228" s="85" t="s">
        <v>278</v>
      </c>
      <c r="T228" s="87" t="s">
        <v>279</v>
      </c>
      <c r="U228" s="88" t="n">
        <v>20</v>
      </c>
      <c r="V228" s="87" t="s">
        <v>280</v>
      </c>
      <c r="W228" s="88" t="n">
        <f aca="false">U228</f>
        <v>20</v>
      </c>
      <c r="X228" s="85" t="s">
        <v>281</v>
      </c>
      <c r="Z228" s="87" t="s">
        <v>132</v>
      </c>
      <c r="AA228" s="89" t="n">
        <f aca="false">AA233+AA238+AA241</f>
        <v>42.64448</v>
      </c>
    </row>
    <row r="229" customFormat="false" ht="15" hidden="false" customHeight="false" outlineLevel="0" collapsed="false">
      <c r="R229" s="85" t="s">
        <v>282</v>
      </c>
      <c r="S229" s="85" t="s">
        <v>283</v>
      </c>
      <c r="W229" s="87" t="s">
        <v>121</v>
      </c>
      <c r="X229" s="87" t="s">
        <v>284</v>
      </c>
      <c r="Y229" s="87" t="s">
        <v>285</v>
      </c>
      <c r="Z229" s="87" t="s">
        <v>286</v>
      </c>
      <c r="AA229" s="87" t="s">
        <v>287</v>
      </c>
    </row>
    <row r="230" customFormat="false" ht="15" hidden="false" customHeight="false" outlineLevel="0" collapsed="false">
      <c r="S230" s="90" t="s">
        <v>288</v>
      </c>
    </row>
    <row r="231" customFormat="false" ht="15" hidden="false" customHeight="false" outlineLevel="0" collapsed="false">
      <c r="S231" s="1" t="s">
        <v>289</v>
      </c>
      <c r="W231" s="57" t="s">
        <v>290</v>
      </c>
      <c r="X231" s="58" t="n">
        <v>1</v>
      </c>
      <c r="Y231" s="59" t="n">
        <f aca="false">X231*8/$U$228</f>
        <v>0.4</v>
      </c>
      <c r="Z231" s="30" t="n">
        <v>28.94</v>
      </c>
      <c r="AA231" s="30" t="n">
        <f aca="false">Y231*Z231</f>
        <v>11.576</v>
      </c>
    </row>
    <row r="232" customFormat="false" ht="15" hidden="false" customHeight="false" outlineLevel="0" collapsed="false">
      <c r="S232" s="1" t="s">
        <v>291</v>
      </c>
      <c r="W232" s="57" t="s">
        <v>290</v>
      </c>
      <c r="X232" s="58" t="n">
        <v>1</v>
      </c>
      <c r="Y232" s="59" t="n">
        <f aca="false">X232*8/$U$228</f>
        <v>0.4</v>
      </c>
      <c r="Z232" s="30" t="n">
        <v>23.6</v>
      </c>
      <c r="AA232" s="30" t="n">
        <f aca="false">Y232*Z232</f>
        <v>9.44</v>
      </c>
    </row>
    <row r="233" customFormat="false" ht="15" hidden="false" customHeight="false" outlineLevel="0" collapsed="false">
      <c r="W233" s="57"/>
      <c r="X233" s="58"/>
      <c r="Y233" s="59"/>
      <c r="AA233" s="89" t="n">
        <f aca="false">SUM(AA231:AA232)</f>
        <v>21.016</v>
      </c>
    </row>
    <row r="234" customFormat="false" ht="15" hidden="false" customHeight="false" outlineLevel="0" collapsed="false">
      <c r="S234" s="90" t="s">
        <v>652</v>
      </c>
      <c r="W234" s="57"/>
      <c r="X234" s="58"/>
      <c r="Y234" s="59"/>
      <c r="AA234" s="30"/>
    </row>
    <row r="235" customFormat="false" ht="15" hidden="false" customHeight="false" outlineLevel="0" collapsed="false">
      <c r="S235" s="1" t="s">
        <v>680</v>
      </c>
      <c r="W235" s="57" t="s">
        <v>295</v>
      </c>
      <c r="Y235" s="59" t="n">
        <v>0.26</v>
      </c>
      <c r="Z235" s="30" t="n">
        <v>2.64</v>
      </c>
      <c r="AA235" s="30" t="n">
        <f aca="false">Y235*Z235</f>
        <v>0.6864</v>
      </c>
    </row>
    <row r="236" customFormat="false" ht="15" hidden="false" customHeight="false" outlineLevel="0" collapsed="false">
      <c r="S236" s="1" t="s">
        <v>300</v>
      </c>
      <c r="W236" s="57" t="s">
        <v>295</v>
      </c>
      <c r="Y236" s="59" t="n">
        <v>0.16</v>
      </c>
      <c r="Z236" s="30" t="n">
        <v>5.51</v>
      </c>
      <c r="AA236" s="30" t="n">
        <f aca="false">Y236*Z236</f>
        <v>0.8816</v>
      </c>
    </row>
    <row r="237" customFormat="false" ht="15" hidden="false" customHeight="false" outlineLevel="0" collapsed="false">
      <c r="S237" s="1" t="s">
        <v>667</v>
      </c>
      <c r="W237" s="57" t="s">
        <v>304</v>
      </c>
      <c r="Y237" s="59" t="n">
        <v>3.35</v>
      </c>
      <c r="Z237" s="30" t="n">
        <v>5.8</v>
      </c>
      <c r="AA237" s="30" t="n">
        <f aca="false">Y237*Z237</f>
        <v>19.43</v>
      </c>
    </row>
    <row r="238" customFormat="false" ht="15" hidden="false" customHeight="false" outlineLevel="0" collapsed="false">
      <c r="W238" s="57"/>
      <c r="Y238" s="59"/>
      <c r="Z238" s="30"/>
      <c r="AA238" s="89" t="n">
        <f aca="false">SUM(AA235:AA237)</f>
        <v>20.998</v>
      </c>
    </row>
    <row r="239" customFormat="false" ht="15" hidden="false" customHeight="false" outlineLevel="0" collapsed="false">
      <c r="S239" s="90" t="s">
        <v>308</v>
      </c>
    </row>
    <row r="240" customFormat="false" ht="15" hidden="false" customHeight="false" outlineLevel="0" collapsed="false">
      <c r="S240" s="1" t="s">
        <v>309</v>
      </c>
      <c r="W240" s="57" t="s">
        <v>310</v>
      </c>
      <c r="Y240" s="59" t="n">
        <v>3</v>
      </c>
      <c r="Z240" s="30" t="n">
        <f aca="false">AA233</f>
        <v>21.016</v>
      </c>
      <c r="AA240" s="30" t="n">
        <f aca="false">Y240%*Z240</f>
        <v>0.63048</v>
      </c>
    </row>
    <row r="241" customFormat="false" ht="15" hidden="false" customHeight="false" outlineLevel="0" collapsed="false">
      <c r="R241" s="62"/>
      <c r="S241" s="62"/>
      <c r="T241" s="62"/>
      <c r="U241" s="62"/>
      <c r="V241" s="62"/>
      <c r="W241" s="62"/>
      <c r="X241" s="62"/>
      <c r="Y241" s="62"/>
      <c r="Z241" s="62"/>
      <c r="AA241" s="91" t="n">
        <f aca="false">SUM(AA240)</f>
        <v>0.63048</v>
      </c>
    </row>
    <row r="243" customFormat="false" ht="15" hidden="false" customHeight="false" outlineLevel="0" collapsed="false">
      <c r="R243" s="85" t="s">
        <v>276</v>
      </c>
      <c r="S243" s="85"/>
      <c r="T243" s="85" t="s">
        <v>684</v>
      </c>
      <c r="U243" s="85"/>
    </row>
    <row r="244" customFormat="false" ht="15" hidden="false" customHeight="false" outlineLevel="0" collapsed="false">
      <c r="R244" s="85" t="s">
        <v>277</v>
      </c>
      <c r="S244" s="85" t="s">
        <v>674</v>
      </c>
      <c r="T244" s="87" t="s">
        <v>279</v>
      </c>
      <c r="U244" s="88" t="n">
        <v>250</v>
      </c>
      <c r="V244" s="87" t="s">
        <v>280</v>
      </c>
      <c r="W244" s="88" t="n">
        <f aca="false">U244</f>
        <v>250</v>
      </c>
      <c r="X244" s="85" t="s">
        <v>281</v>
      </c>
      <c r="Z244" s="87" t="s">
        <v>295</v>
      </c>
      <c r="AA244" s="89" t="n">
        <f aca="false">AA249+AA253+AA257</f>
        <v>5.5639628445</v>
      </c>
    </row>
    <row r="245" customFormat="false" ht="15" hidden="false" customHeight="false" outlineLevel="0" collapsed="false">
      <c r="R245" s="85" t="s">
        <v>282</v>
      </c>
      <c r="S245" s="85" t="s">
        <v>283</v>
      </c>
      <c r="W245" s="87" t="s">
        <v>121</v>
      </c>
      <c r="X245" s="87" t="s">
        <v>284</v>
      </c>
      <c r="Y245" s="87" t="s">
        <v>285</v>
      </c>
      <c r="Z245" s="87" t="s">
        <v>286</v>
      </c>
      <c r="AA245" s="87" t="s">
        <v>287</v>
      </c>
    </row>
    <row r="246" customFormat="false" ht="15" hidden="false" customHeight="false" outlineLevel="0" collapsed="false">
      <c r="S246" s="127" t="s">
        <v>288</v>
      </c>
      <c r="X246" s="58"/>
    </row>
    <row r="247" customFormat="false" ht="15" hidden="false" customHeight="false" outlineLevel="0" collapsed="false">
      <c r="S247" s="1" t="s">
        <v>289</v>
      </c>
      <c r="W247" s="57" t="s">
        <v>290</v>
      </c>
      <c r="X247" s="58" t="n">
        <v>1</v>
      </c>
      <c r="Y247" s="59" t="n">
        <f aca="false">X247*8/$U$244</f>
        <v>0.032</v>
      </c>
      <c r="Z247" s="30" t="n">
        <v>28.94</v>
      </c>
      <c r="AA247" s="30" t="n">
        <f aca="false">Y247*Z247</f>
        <v>0.92608</v>
      </c>
    </row>
    <row r="248" customFormat="false" ht="15" hidden="false" customHeight="false" outlineLevel="0" collapsed="false">
      <c r="S248" s="1" t="s">
        <v>675</v>
      </c>
      <c r="W248" s="57" t="s">
        <v>290</v>
      </c>
      <c r="X248" s="58" t="n">
        <v>1</v>
      </c>
      <c r="Y248" s="59" t="n">
        <f aca="false">X248*8/$U$244</f>
        <v>0.032</v>
      </c>
      <c r="Z248" s="30" t="n">
        <v>23.6</v>
      </c>
      <c r="AA248" s="30" t="n">
        <f aca="false">Y248*Z248</f>
        <v>0.7552</v>
      </c>
    </row>
    <row r="249" customFormat="false" ht="15" hidden="false" customHeight="false" outlineLevel="0" collapsed="false">
      <c r="W249" s="57"/>
      <c r="X249" s="58"/>
      <c r="AA249" s="126" t="n">
        <f aca="false">SUM(AA247:AA248)</f>
        <v>1.68128</v>
      </c>
    </row>
    <row r="250" customFormat="false" ht="15" hidden="false" customHeight="false" outlineLevel="0" collapsed="false">
      <c r="S250" s="127" t="s">
        <v>293</v>
      </c>
      <c r="W250" s="57"/>
      <c r="X250" s="58"/>
      <c r="Y250" s="101"/>
    </row>
    <row r="251" customFormat="false" ht="15" hidden="false" customHeight="false" outlineLevel="0" collapsed="false">
      <c r="S251" s="1" t="s">
        <v>294</v>
      </c>
      <c r="W251" s="57" t="s">
        <v>295</v>
      </c>
      <c r="X251" s="58"/>
      <c r="Y251" s="101" t="n">
        <v>0.03</v>
      </c>
      <c r="Z251" s="30" t="n">
        <v>2.64</v>
      </c>
      <c r="AA251" s="30" t="n">
        <f aca="false">Y251*Z251</f>
        <v>0.0792</v>
      </c>
    </row>
    <row r="252" customFormat="false" ht="15" hidden="false" customHeight="false" outlineLevel="0" collapsed="false">
      <c r="S252" s="1" t="s">
        <v>676</v>
      </c>
      <c r="W252" s="57" t="s">
        <v>295</v>
      </c>
      <c r="X252" s="58"/>
      <c r="Y252" s="101" t="n">
        <v>1.05</v>
      </c>
      <c r="Z252" s="30" t="n">
        <f aca="false">1012.71*3.379/1000</f>
        <v>3.42194709</v>
      </c>
      <c r="AA252" s="30" t="n">
        <f aca="false">Y252*Z252</f>
        <v>3.5930444445</v>
      </c>
    </row>
    <row r="253" customFormat="false" ht="15" hidden="false" customHeight="false" outlineLevel="0" collapsed="false">
      <c r="W253" s="57"/>
      <c r="X253" s="58"/>
      <c r="AA253" s="126" t="n">
        <f aca="false">SUM(AA251:AA252)</f>
        <v>3.6722444445</v>
      </c>
    </row>
    <row r="254" customFormat="false" ht="15" hidden="false" customHeight="false" outlineLevel="0" collapsed="false">
      <c r="S254" s="127" t="s">
        <v>317</v>
      </c>
      <c r="W254" s="57"/>
      <c r="X254" s="58"/>
    </row>
    <row r="255" customFormat="false" ht="15" hidden="false" customHeight="false" outlineLevel="0" collapsed="false">
      <c r="S255" s="1" t="s">
        <v>309</v>
      </c>
      <c r="W255" s="57" t="s">
        <v>310</v>
      </c>
      <c r="Y255" s="59" t="n">
        <v>3</v>
      </c>
      <c r="Z255" s="30" t="n">
        <f aca="false">AA249</f>
        <v>1.68128</v>
      </c>
      <c r="AA255" s="30" t="n">
        <f aca="false">Y255%*Z255</f>
        <v>0.0504384</v>
      </c>
    </row>
    <row r="256" customFormat="false" ht="15" hidden="false" customHeight="false" outlineLevel="0" collapsed="false">
      <c r="S256" s="1" t="s">
        <v>677</v>
      </c>
      <c r="W256" s="57" t="s">
        <v>290</v>
      </c>
      <c r="X256" s="58" t="n">
        <v>1</v>
      </c>
      <c r="Y256" s="59" t="n">
        <f aca="false">X256*8/$U$244</f>
        <v>0.032</v>
      </c>
      <c r="Z256" s="65" t="n">
        <v>5</v>
      </c>
      <c r="AA256" s="30" t="n">
        <f aca="false">Y256*Z256</f>
        <v>0.16</v>
      </c>
    </row>
    <row r="257" customFormat="false" ht="15" hidden="false" customHeight="false" outlineLevel="0" collapsed="false">
      <c r="R257" s="62"/>
      <c r="S257" s="62"/>
      <c r="T257" s="62"/>
      <c r="U257" s="62"/>
      <c r="V257" s="62"/>
      <c r="W257" s="62"/>
      <c r="X257" s="62"/>
      <c r="Y257" s="62"/>
      <c r="Z257" s="62"/>
      <c r="AA257" s="128" t="n">
        <f aca="false">SUM(AA255:AA256)</f>
        <v>0.2104384</v>
      </c>
    </row>
    <row r="259" customFormat="false" ht="15" hidden="false" customHeight="false" outlineLevel="0" collapsed="false">
      <c r="R259" s="85" t="s">
        <v>276</v>
      </c>
      <c r="S259" s="85"/>
      <c r="T259" s="85" t="s">
        <v>509</v>
      </c>
      <c r="U259" s="85"/>
    </row>
    <row r="260" customFormat="false" ht="15" hidden="false" customHeight="false" outlineLevel="0" collapsed="false">
      <c r="R260" s="85" t="s">
        <v>277</v>
      </c>
      <c r="S260" s="85" t="s">
        <v>415</v>
      </c>
      <c r="T260" s="87" t="s">
        <v>279</v>
      </c>
      <c r="U260" s="88" t="n">
        <v>18</v>
      </c>
      <c r="V260" s="87" t="s">
        <v>280</v>
      </c>
      <c r="W260" s="88" t="n">
        <f aca="false">U260</f>
        <v>18</v>
      </c>
      <c r="X260" s="85" t="s">
        <v>281</v>
      </c>
      <c r="Z260" s="87" t="s">
        <v>202</v>
      </c>
      <c r="AA260" s="89" t="n">
        <f aca="false">AA266+AA274+AA279</f>
        <v>536.013862222222</v>
      </c>
    </row>
    <row r="261" customFormat="false" ht="15" hidden="false" customHeight="false" outlineLevel="0" collapsed="false">
      <c r="R261" s="85" t="s">
        <v>282</v>
      </c>
      <c r="S261" s="85" t="s">
        <v>283</v>
      </c>
      <c r="W261" s="87" t="s">
        <v>121</v>
      </c>
      <c r="X261" s="87" t="s">
        <v>284</v>
      </c>
      <c r="Y261" s="87" t="s">
        <v>285</v>
      </c>
      <c r="Z261" s="87" t="s">
        <v>286</v>
      </c>
      <c r="AA261" s="87" t="s">
        <v>287</v>
      </c>
    </row>
    <row r="262" customFormat="false" ht="15" hidden="false" customHeight="false" outlineLevel="0" collapsed="false">
      <c r="S262" s="90" t="s">
        <v>288</v>
      </c>
    </row>
    <row r="263" customFormat="false" ht="15" hidden="false" customHeight="false" outlineLevel="0" collapsed="false">
      <c r="S263" s="1" t="s">
        <v>289</v>
      </c>
      <c r="W263" s="57" t="s">
        <v>290</v>
      </c>
      <c r="X263" s="58" t="n">
        <v>2</v>
      </c>
      <c r="Y263" s="59" t="n">
        <f aca="false">X263*8/$U$260</f>
        <v>0.888888888888889</v>
      </c>
      <c r="Z263" s="30" t="n">
        <v>28.94</v>
      </c>
      <c r="AA263" s="30" t="n">
        <f aca="false">Y263*Z263</f>
        <v>25.7244444444444</v>
      </c>
    </row>
    <row r="264" customFormat="false" ht="15" hidden="false" customHeight="false" outlineLevel="0" collapsed="false">
      <c r="S264" s="1" t="s">
        <v>291</v>
      </c>
      <c r="W264" s="57" t="s">
        <v>290</v>
      </c>
      <c r="X264" s="58" t="n">
        <v>1</v>
      </c>
      <c r="Y264" s="59" t="n">
        <f aca="false">X264*8/$U$260</f>
        <v>0.444444444444444</v>
      </c>
      <c r="Z264" s="30" t="n">
        <v>23.6</v>
      </c>
      <c r="AA264" s="30" t="n">
        <f aca="false">Y264*Z264</f>
        <v>10.4888888888889</v>
      </c>
    </row>
    <row r="265" customFormat="false" ht="15" hidden="false" customHeight="false" outlineLevel="0" collapsed="false">
      <c r="S265" s="1" t="s">
        <v>292</v>
      </c>
      <c r="W265" s="57" t="s">
        <v>290</v>
      </c>
      <c r="X265" s="58" t="n">
        <v>8</v>
      </c>
      <c r="Y265" s="59" t="n">
        <f aca="false">X265*8/$U$260</f>
        <v>3.55555555555556</v>
      </c>
      <c r="Z265" s="30" t="n">
        <v>21.36</v>
      </c>
      <c r="AA265" s="30" t="n">
        <f aca="false">Y265*Z265</f>
        <v>75.9466666666667</v>
      </c>
    </row>
    <row r="266" customFormat="false" ht="15" hidden="false" customHeight="false" outlineLevel="0" collapsed="false">
      <c r="W266" s="57"/>
      <c r="X266" s="58"/>
      <c r="Y266" s="59"/>
      <c r="AA266" s="89" t="n">
        <f aca="false">SUM(AA263:AA265)</f>
        <v>112.16</v>
      </c>
    </row>
    <row r="267" customFormat="false" ht="15" hidden="false" customHeight="false" outlineLevel="0" collapsed="false">
      <c r="S267" s="90" t="s">
        <v>652</v>
      </c>
      <c r="W267" s="57"/>
      <c r="X267" s="58"/>
      <c r="Y267" s="59"/>
      <c r="AA267" s="30"/>
    </row>
    <row r="268" customFormat="false" ht="15" hidden="false" customHeight="false" outlineLevel="0" collapsed="false">
      <c r="S268" s="1" t="s">
        <v>670</v>
      </c>
      <c r="W268" s="57" t="s">
        <v>202</v>
      </c>
      <c r="Y268" s="59" t="n">
        <v>0.53</v>
      </c>
      <c r="Z268" s="30" t="n">
        <v>55.08</v>
      </c>
      <c r="AA268" s="30" t="n">
        <f aca="false">Y268*Z268</f>
        <v>29.1924</v>
      </c>
    </row>
    <row r="269" customFormat="false" ht="15" hidden="false" customHeight="false" outlineLevel="0" collapsed="false">
      <c r="S269" s="1" t="s">
        <v>671</v>
      </c>
      <c r="W269" s="57" t="s">
        <v>202</v>
      </c>
      <c r="Y269" s="59" t="n">
        <v>0.52</v>
      </c>
      <c r="Z269" s="30" t="n">
        <v>47</v>
      </c>
      <c r="AA269" s="30" t="n">
        <f aca="false">Y269*Z269</f>
        <v>24.44</v>
      </c>
    </row>
    <row r="270" customFormat="false" ht="15" hidden="false" customHeight="false" outlineLevel="0" collapsed="false">
      <c r="S270" s="1" t="s">
        <v>305</v>
      </c>
      <c r="W270" s="57" t="s">
        <v>306</v>
      </c>
      <c r="Y270" s="59" t="n">
        <v>9.73</v>
      </c>
      <c r="Z270" s="30" t="n">
        <v>24.52</v>
      </c>
      <c r="AA270" s="30" t="n">
        <f aca="false">Y270*Z270</f>
        <v>238.5796</v>
      </c>
    </row>
    <row r="271" customFormat="false" ht="15" hidden="false" customHeight="false" outlineLevel="0" collapsed="false">
      <c r="S271" s="1" t="s">
        <v>654</v>
      </c>
      <c r="W271" s="57" t="s">
        <v>202</v>
      </c>
      <c r="Y271" s="59" t="n">
        <v>0.186</v>
      </c>
      <c r="Z271" s="1" t="n">
        <v>6.14</v>
      </c>
      <c r="AA271" s="30" t="n">
        <f aca="false">Y271*Z271</f>
        <v>1.14204</v>
      </c>
    </row>
    <row r="272" customFormat="false" ht="15" hidden="false" customHeight="false" outlineLevel="0" collapsed="false">
      <c r="S272" s="1" t="s">
        <v>663</v>
      </c>
      <c r="W272" s="57" t="s">
        <v>437</v>
      </c>
      <c r="Y272" s="59" t="n">
        <v>0.36</v>
      </c>
      <c r="Z272" s="1" t="n">
        <v>13.93</v>
      </c>
      <c r="AA272" s="30" t="n">
        <f aca="false">Y272*Z272</f>
        <v>5.0148</v>
      </c>
    </row>
    <row r="273" customFormat="false" ht="15" hidden="false" customHeight="false" outlineLevel="0" collapsed="false">
      <c r="S273" s="1" t="s">
        <v>672</v>
      </c>
      <c r="W273" s="57" t="s">
        <v>437</v>
      </c>
      <c r="Y273" s="59" t="n">
        <v>4.6</v>
      </c>
      <c r="Z273" s="71" t="n">
        <v>23.73</v>
      </c>
      <c r="AA273" s="30" t="n">
        <f aca="false">Y273*Z273</f>
        <v>109.158</v>
      </c>
    </row>
    <row r="274" customFormat="false" ht="15" hidden="false" customHeight="false" outlineLevel="0" collapsed="false">
      <c r="W274" s="57"/>
      <c r="Y274" s="59"/>
      <c r="Z274" s="30"/>
      <c r="AA274" s="89" t="n">
        <f aca="false">SUM(AA268:AA273)</f>
        <v>407.52684</v>
      </c>
    </row>
    <row r="275" customFormat="false" ht="15" hidden="false" customHeight="false" outlineLevel="0" collapsed="false">
      <c r="S275" s="90" t="s">
        <v>308</v>
      </c>
    </row>
    <row r="276" customFormat="false" ht="15" hidden="false" customHeight="false" outlineLevel="0" collapsed="false">
      <c r="S276" s="1" t="s">
        <v>309</v>
      </c>
      <c r="W276" s="57" t="s">
        <v>310</v>
      </c>
      <c r="Y276" s="59" t="n">
        <v>3</v>
      </c>
      <c r="Z276" s="30" t="n">
        <f aca="false">AA266</f>
        <v>112.16</v>
      </c>
      <c r="AA276" s="30" t="n">
        <f aca="false">Y276%*Z276</f>
        <v>3.3648</v>
      </c>
    </row>
    <row r="277" customFormat="false" ht="15" hidden="false" customHeight="false" outlineLevel="0" collapsed="false">
      <c r="S277" s="1" t="s">
        <v>665</v>
      </c>
      <c r="W277" s="57" t="s">
        <v>337</v>
      </c>
      <c r="X277" s="58" t="n">
        <v>1</v>
      </c>
      <c r="Y277" s="59" t="n">
        <f aca="false">X277*8/$U$260</f>
        <v>0.444444444444444</v>
      </c>
      <c r="Z277" s="30" t="n">
        <v>25.63</v>
      </c>
      <c r="AA277" s="30" t="n">
        <f aca="false">Y277*Z277</f>
        <v>11.3911111111111</v>
      </c>
    </row>
    <row r="278" customFormat="false" ht="15" hidden="false" customHeight="false" outlineLevel="0" collapsed="false">
      <c r="S278" s="1" t="s">
        <v>673</v>
      </c>
      <c r="W278" s="57" t="s">
        <v>337</v>
      </c>
      <c r="X278" s="58" t="n">
        <v>0.5</v>
      </c>
      <c r="Y278" s="59" t="n">
        <f aca="false">X278*8/$U$260</f>
        <v>0.222222222222222</v>
      </c>
      <c r="Z278" s="30" t="n">
        <v>7.07</v>
      </c>
      <c r="AA278" s="30" t="n">
        <f aca="false">Y278*Z278</f>
        <v>1.57111111111111</v>
      </c>
    </row>
    <row r="279" customFormat="false" ht="15" hidden="false" customHeight="false" outlineLevel="0" collapsed="false">
      <c r="R279" s="62"/>
      <c r="S279" s="62"/>
      <c r="T279" s="62"/>
      <c r="U279" s="62"/>
      <c r="V279" s="62"/>
      <c r="W279" s="62"/>
      <c r="X279" s="62"/>
      <c r="Y279" s="62"/>
      <c r="Z279" s="62"/>
      <c r="AA279" s="91" t="n">
        <f aca="false">SUM(AA276:AA278)</f>
        <v>16.3270222222222</v>
      </c>
    </row>
    <row r="280" customFormat="false" ht="15" hidden="false" customHeight="false" outlineLevel="0" collapsed="false">
      <c r="AA280" s="89"/>
    </row>
    <row r="281" customFormat="false" ht="15" hidden="false" customHeight="false" outlineLevel="0" collapsed="false">
      <c r="R281" s="85" t="s">
        <v>276</v>
      </c>
      <c r="S281" s="85"/>
      <c r="T281" s="85" t="s">
        <v>511</v>
      </c>
      <c r="U281" s="85"/>
    </row>
    <row r="282" customFormat="false" ht="15" hidden="false" customHeight="false" outlineLevel="0" collapsed="false">
      <c r="R282" s="85" t="s">
        <v>277</v>
      </c>
      <c r="S282" s="85" t="s">
        <v>278</v>
      </c>
      <c r="T282" s="87" t="s">
        <v>279</v>
      </c>
      <c r="U282" s="88" t="n">
        <v>20</v>
      </c>
      <c r="V282" s="87" t="s">
        <v>280</v>
      </c>
      <c r="W282" s="88" t="n">
        <f aca="false">U282</f>
        <v>20</v>
      </c>
      <c r="X282" s="85" t="s">
        <v>281</v>
      </c>
      <c r="Z282" s="87" t="s">
        <v>132</v>
      </c>
      <c r="AA282" s="89" t="n">
        <f aca="false">AA287+AA292+AA295</f>
        <v>64.02696</v>
      </c>
    </row>
    <row r="283" customFormat="false" ht="15" hidden="false" customHeight="false" outlineLevel="0" collapsed="false">
      <c r="R283" s="85" t="s">
        <v>282</v>
      </c>
      <c r="S283" s="85" t="s">
        <v>283</v>
      </c>
      <c r="W283" s="87" t="s">
        <v>121</v>
      </c>
      <c r="X283" s="87" t="s">
        <v>284</v>
      </c>
      <c r="Y283" s="87" t="s">
        <v>285</v>
      </c>
      <c r="Z283" s="87" t="s">
        <v>286</v>
      </c>
      <c r="AA283" s="87" t="s">
        <v>287</v>
      </c>
    </row>
    <row r="284" customFormat="false" ht="15" hidden="false" customHeight="false" outlineLevel="0" collapsed="false">
      <c r="S284" s="90" t="s">
        <v>288</v>
      </c>
    </row>
    <row r="285" customFormat="false" ht="15" hidden="false" customHeight="false" outlineLevel="0" collapsed="false">
      <c r="S285" s="1" t="s">
        <v>289</v>
      </c>
      <c r="W285" s="57" t="s">
        <v>290</v>
      </c>
      <c r="X285" s="58" t="n">
        <v>2</v>
      </c>
      <c r="Y285" s="59" t="n">
        <f aca="false">X285*8/$U$282</f>
        <v>0.8</v>
      </c>
      <c r="Z285" s="30" t="n">
        <v>28.94</v>
      </c>
      <c r="AA285" s="30" t="n">
        <f aca="false">Y285*Z285</f>
        <v>23.152</v>
      </c>
    </row>
    <row r="286" customFormat="false" ht="15" hidden="false" customHeight="false" outlineLevel="0" collapsed="false">
      <c r="S286" s="1" t="s">
        <v>291</v>
      </c>
      <c r="W286" s="57" t="s">
        <v>290</v>
      </c>
      <c r="X286" s="58" t="n">
        <v>2</v>
      </c>
      <c r="Y286" s="59" t="n">
        <f aca="false">X286*8/$U$282</f>
        <v>0.8</v>
      </c>
      <c r="Z286" s="30" t="n">
        <v>23.6</v>
      </c>
      <c r="AA286" s="30" t="n">
        <f aca="false">Y286*Z286</f>
        <v>18.88</v>
      </c>
      <c r="AC286" s="30"/>
    </row>
    <row r="287" customFormat="false" ht="15" hidden="false" customHeight="false" outlineLevel="0" collapsed="false">
      <c r="W287" s="57"/>
      <c r="X287" s="58"/>
      <c r="Y287" s="59"/>
      <c r="AA287" s="89" t="n">
        <f aca="false">SUM(AA285:AA286)</f>
        <v>42.032</v>
      </c>
    </row>
    <row r="288" customFormat="false" ht="15" hidden="false" customHeight="false" outlineLevel="0" collapsed="false">
      <c r="S288" s="90" t="s">
        <v>652</v>
      </c>
      <c r="W288" s="57"/>
      <c r="X288" s="58"/>
      <c r="Y288" s="59"/>
      <c r="AA288" s="30"/>
    </row>
    <row r="289" customFormat="false" ht="15" hidden="false" customHeight="false" outlineLevel="0" collapsed="false">
      <c r="S289" s="1" t="s">
        <v>680</v>
      </c>
      <c r="W289" s="57" t="s">
        <v>295</v>
      </c>
      <c r="Y289" s="59" t="n">
        <v>0.16</v>
      </c>
      <c r="Z289" s="30" t="n">
        <v>2.64</v>
      </c>
      <c r="AA289" s="30" t="n">
        <f aca="false">Y289*Z289</f>
        <v>0.4224</v>
      </c>
    </row>
    <row r="290" customFormat="false" ht="15" hidden="false" customHeight="false" outlineLevel="0" collapsed="false">
      <c r="S290" s="1" t="s">
        <v>300</v>
      </c>
      <c r="W290" s="57" t="s">
        <v>295</v>
      </c>
      <c r="Y290" s="59" t="n">
        <v>0.16</v>
      </c>
      <c r="Z290" s="30" t="n">
        <v>5.51</v>
      </c>
      <c r="AA290" s="30" t="n">
        <f aca="false">Y290*Z290</f>
        <v>0.8816</v>
      </c>
    </row>
    <row r="291" customFormat="false" ht="15" hidden="false" customHeight="false" outlineLevel="0" collapsed="false">
      <c r="S291" s="1" t="s">
        <v>667</v>
      </c>
      <c r="W291" s="57" t="s">
        <v>304</v>
      </c>
      <c r="Y291" s="59" t="n">
        <v>3.35</v>
      </c>
      <c r="Z291" s="30" t="n">
        <v>5.8</v>
      </c>
      <c r="AA291" s="30" t="n">
        <f aca="false">Y291*Z291</f>
        <v>19.43</v>
      </c>
    </row>
    <row r="292" customFormat="false" ht="15" hidden="false" customHeight="false" outlineLevel="0" collapsed="false">
      <c r="W292" s="57"/>
      <c r="Y292" s="59"/>
      <c r="Z292" s="30"/>
      <c r="AA292" s="89" t="n">
        <f aca="false">SUM(AA289:AA291)</f>
        <v>20.734</v>
      </c>
    </row>
    <row r="293" customFormat="false" ht="15" hidden="false" customHeight="false" outlineLevel="0" collapsed="false">
      <c r="S293" s="90" t="s">
        <v>308</v>
      </c>
    </row>
    <row r="294" customFormat="false" ht="15" hidden="false" customHeight="false" outlineLevel="0" collapsed="false">
      <c r="S294" s="1" t="s">
        <v>309</v>
      </c>
      <c r="W294" s="57" t="s">
        <v>310</v>
      </c>
      <c r="Y294" s="59" t="n">
        <v>3</v>
      </c>
      <c r="Z294" s="30" t="n">
        <f aca="false">AA287</f>
        <v>42.032</v>
      </c>
      <c r="AA294" s="30" t="n">
        <f aca="false">Y294%*Z294</f>
        <v>1.26096</v>
      </c>
    </row>
    <row r="295" customFormat="false" ht="15" hidden="false" customHeight="false" outlineLevel="0" collapsed="false">
      <c r="R295" s="62"/>
      <c r="S295" s="62"/>
      <c r="T295" s="62"/>
      <c r="U295" s="62"/>
      <c r="V295" s="62"/>
      <c r="W295" s="62"/>
      <c r="X295" s="62"/>
      <c r="Y295" s="62"/>
      <c r="Z295" s="62"/>
      <c r="AA295" s="91" t="n">
        <f aca="false">SUM(AA294)</f>
        <v>1.26096</v>
      </c>
    </row>
    <row r="296" customFormat="false" ht="15" hidden="false" customHeight="false" outlineLevel="0" collapsed="false">
      <c r="AA296" s="89"/>
    </row>
    <row r="297" customFormat="false" ht="15" hidden="false" customHeight="false" outlineLevel="0" collapsed="false">
      <c r="R297" s="85" t="s">
        <v>276</v>
      </c>
      <c r="S297" s="85"/>
      <c r="T297" s="85" t="s">
        <v>681</v>
      </c>
      <c r="U297" s="85"/>
    </row>
    <row r="298" customFormat="false" ht="15" hidden="false" customHeight="false" outlineLevel="0" collapsed="false">
      <c r="R298" s="85" t="s">
        <v>277</v>
      </c>
      <c r="S298" s="85" t="s">
        <v>674</v>
      </c>
      <c r="T298" s="87" t="s">
        <v>279</v>
      </c>
      <c r="U298" s="88" t="n">
        <v>250</v>
      </c>
      <c r="V298" s="87" t="s">
        <v>280</v>
      </c>
      <c r="W298" s="88" t="n">
        <f aca="false">U298</f>
        <v>250</v>
      </c>
      <c r="X298" s="85" t="s">
        <v>281</v>
      </c>
      <c r="Z298" s="87" t="s">
        <v>295</v>
      </c>
      <c r="AA298" s="89" t="n">
        <f aca="false">AA304+AA308+AA312</f>
        <v>5.5639628445</v>
      </c>
    </row>
    <row r="299" customFormat="false" ht="15" hidden="false" customHeight="false" outlineLevel="0" collapsed="false">
      <c r="R299" s="85" t="s">
        <v>282</v>
      </c>
      <c r="S299" s="85" t="s">
        <v>283</v>
      </c>
      <c r="W299" s="87" t="s">
        <v>121</v>
      </c>
      <c r="X299" s="87" t="s">
        <v>284</v>
      </c>
      <c r="Y299" s="87" t="s">
        <v>285</v>
      </c>
      <c r="Z299" s="87" t="s">
        <v>286</v>
      </c>
      <c r="AA299" s="87" t="s">
        <v>287</v>
      </c>
    </row>
    <row r="300" customFormat="false" ht="15" hidden="false" customHeight="false" outlineLevel="0" collapsed="false">
      <c r="S300" s="127" t="s">
        <v>288</v>
      </c>
      <c r="X300" s="58"/>
    </row>
    <row r="301" customFormat="false" ht="15" hidden="false" customHeight="false" outlineLevel="0" collapsed="false">
      <c r="S301" s="1" t="s">
        <v>289</v>
      </c>
      <c r="W301" s="57" t="s">
        <v>290</v>
      </c>
      <c r="X301" s="58" t="n">
        <v>1</v>
      </c>
      <c r="Y301" s="59" t="n">
        <f aca="false">X301*8/$U$298</f>
        <v>0.032</v>
      </c>
      <c r="Z301" s="30" t="n">
        <v>28.94</v>
      </c>
      <c r="AA301" s="30" t="n">
        <f aca="false">Y301*Z301</f>
        <v>0.92608</v>
      </c>
    </row>
    <row r="302" customFormat="false" ht="15" hidden="false" customHeight="false" outlineLevel="0" collapsed="false">
      <c r="S302" s="1" t="s">
        <v>675</v>
      </c>
      <c r="W302" s="57" t="s">
        <v>290</v>
      </c>
      <c r="X302" s="58" t="n">
        <v>1</v>
      </c>
      <c r="Y302" s="59" t="n">
        <f aca="false">X302*8/$U$298</f>
        <v>0.032</v>
      </c>
      <c r="Z302" s="30" t="n">
        <v>23.6</v>
      </c>
      <c r="AA302" s="30" t="n">
        <f aca="false">Y302*Z302</f>
        <v>0.7552</v>
      </c>
    </row>
    <row r="303" customFormat="false" ht="15" hidden="false" customHeight="false" outlineLevel="0" collapsed="false">
      <c r="W303" s="57"/>
      <c r="X303" s="58"/>
      <c r="Y303" s="101"/>
      <c r="Z303" s="30"/>
      <c r="AA303" s="30"/>
    </row>
    <row r="304" customFormat="false" ht="15" hidden="false" customHeight="false" outlineLevel="0" collapsed="false">
      <c r="W304" s="57"/>
      <c r="X304" s="58"/>
      <c r="AA304" s="126" t="n">
        <f aca="false">SUM(AA301:AA303)</f>
        <v>1.68128</v>
      </c>
    </row>
    <row r="305" customFormat="false" ht="15" hidden="false" customHeight="false" outlineLevel="0" collapsed="false">
      <c r="S305" s="127" t="s">
        <v>293</v>
      </c>
      <c r="W305" s="57"/>
      <c r="X305" s="58"/>
      <c r="Y305" s="101"/>
    </row>
    <row r="306" customFormat="false" ht="15" hidden="false" customHeight="false" outlineLevel="0" collapsed="false">
      <c r="S306" s="1" t="s">
        <v>294</v>
      </c>
      <c r="W306" s="57" t="s">
        <v>295</v>
      </c>
      <c r="X306" s="58"/>
      <c r="Y306" s="101" t="n">
        <v>0.03</v>
      </c>
      <c r="Z306" s="30" t="n">
        <v>2.64</v>
      </c>
      <c r="AA306" s="30" t="n">
        <f aca="false">Y306*Z306</f>
        <v>0.0792</v>
      </c>
    </row>
    <row r="307" customFormat="false" ht="15" hidden="false" customHeight="false" outlineLevel="0" collapsed="false">
      <c r="S307" s="1" t="s">
        <v>676</v>
      </c>
      <c r="W307" s="57" t="s">
        <v>295</v>
      </c>
      <c r="X307" s="58"/>
      <c r="Y307" s="101" t="n">
        <v>1.05</v>
      </c>
      <c r="Z307" s="30" t="n">
        <f aca="false">1012.71*3.379/1000</f>
        <v>3.42194709</v>
      </c>
      <c r="AA307" s="30" t="n">
        <f aca="false">Y307*Z307</f>
        <v>3.5930444445</v>
      </c>
    </row>
    <row r="308" customFormat="false" ht="15" hidden="false" customHeight="false" outlineLevel="0" collapsed="false">
      <c r="W308" s="57"/>
      <c r="X308" s="58"/>
      <c r="AA308" s="126" t="n">
        <f aca="false">SUM(AA306:AA307)</f>
        <v>3.6722444445</v>
      </c>
    </row>
    <row r="309" customFormat="false" ht="15" hidden="false" customHeight="false" outlineLevel="0" collapsed="false">
      <c r="S309" s="127" t="s">
        <v>317</v>
      </c>
      <c r="W309" s="57"/>
      <c r="X309" s="58"/>
    </row>
    <row r="310" customFormat="false" ht="15" hidden="false" customHeight="false" outlineLevel="0" collapsed="false">
      <c r="S310" s="1" t="s">
        <v>309</v>
      </c>
      <c r="W310" s="57" t="s">
        <v>310</v>
      </c>
      <c r="Y310" s="59" t="n">
        <v>3</v>
      </c>
      <c r="Z310" s="30" t="n">
        <f aca="false">AA304</f>
        <v>1.68128</v>
      </c>
      <c r="AA310" s="30" t="n">
        <f aca="false">Y310%*Z310</f>
        <v>0.0504384</v>
      </c>
    </row>
    <row r="311" customFormat="false" ht="15" hidden="false" customHeight="false" outlineLevel="0" collapsed="false">
      <c r="S311" s="1" t="s">
        <v>677</v>
      </c>
      <c r="W311" s="57" t="s">
        <v>290</v>
      </c>
      <c r="X311" s="58" t="n">
        <v>1</v>
      </c>
      <c r="Y311" s="59" t="n">
        <f aca="false">X311*8/$U$298</f>
        <v>0.032</v>
      </c>
      <c r="Z311" s="65" t="n">
        <v>5</v>
      </c>
      <c r="AA311" s="30" t="n">
        <f aca="false">Y311*Z311</f>
        <v>0.16</v>
      </c>
    </row>
    <row r="312" customFormat="false" ht="15" hidden="false" customHeight="false" outlineLevel="0" collapsed="false">
      <c r="R312" s="62"/>
      <c r="S312" s="62"/>
      <c r="T312" s="62"/>
      <c r="U312" s="62"/>
      <c r="V312" s="62"/>
      <c r="W312" s="62"/>
      <c r="X312" s="62"/>
      <c r="Y312" s="62"/>
      <c r="Z312" s="62"/>
      <c r="AA312" s="128" t="n">
        <f aca="false">SUM(AA310:AA311)</f>
        <v>0.2104384</v>
      </c>
    </row>
    <row r="314" customFormat="false" ht="15" hidden="false" customHeight="false" outlineLevel="0" collapsed="false">
      <c r="R314" s="85" t="s">
        <v>276</v>
      </c>
      <c r="S314" s="85"/>
      <c r="T314" s="85" t="s">
        <v>525</v>
      </c>
      <c r="U314" s="85"/>
    </row>
    <row r="315" customFormat="false" ht="15" hidden="false" customHeight="false" outlineLevel="0" collapsed="false">
      <c r="R315" s="85" t="s">
        <v>277</v>
      </c>
      <c r="S315" s="85" t="s">
        <v>415</v>
      </c>
      <c r="T315" s="87" t="s">
        <v>279</v>
      </c>
      <c r="U315" s="88" t="n">
        <v>10</v>
      </c>
      <c r="V315" s="87" t="s">
        <v>280</v>
      </c>
      <c r="W315" s="88" t="n">
        <f aca="false">U315</f>
        <v>10</v>
      </c>
      <c r="X315" s="85" t="s">
        <v>281</v>
      </c>
      <c r="Z315" s="87" t="s">
        <v>202</v>
      </c>
      <c r="AA315" s="89" t="n">
        <f aca="false">AA321+AA328+AA333</f>
        <v>549.09188</v>
      </c>
    </row>
    <row r="316" customFormat="false" ht="15" hidden="false" customHeight="false" outlineLevel="0" collapsed="false">
      <c r="R316" s="85" t="s">
        <v>282</v>
      </c>
      <c r="S316" s="85" t="s">
        <v>283</v>
      </c>
      <c r="W316" s="87" t="s">
        <v>121</v>
      </c>
      <c r="X316" s="87" t="s">
        <v>284</v>
      </c>
      <c r="Y316" s="87" t="s">
        <v>285</v>
      </c>
      <c r="Z316" s="87" t="s">
        <v>286</v>
      </c>
      <c r="AA316" s="87" t="s">
        <v>287</v>
      </c>
    </row>
    <row r="317" customFormat="false" ht="15" hidden="false" customHeight="false" outlineLevel="0" collapsed="false">
      <c r="S317" s="90" t="s">
        <v>288</v>
      </c>
    </row>
    <row r="318" customFormat="false" ht="15" hidden="false" customHeight="false" outlineLevel="0" collapsed="false">
      <c r="S318" s="1" t="s">
        <v>289</v>
      </c>
      <c r="W318" s="57" t="s">
        <v>290</v>
      </c>
      <c r="X318" s="58" t="n">
        <v>2</v>
      </c>
      <c r="Y318" s="59" t="n">
        <f aca="false">X318*8/$U$315</f>
        <v>1.6</v>
      </c>
      <c r="Z318" s="30" t="n">
        <v>28.94</v>
      </c>
      <c r="AA318" s="30" t="n">
        <f aca="false">Y318*Z318</f>
        <v>46.304</v>
      </c>
    </row>
    <row r="319" customFormat="false" ht="15" hidden="false" customHeight="false" outlineLevel="0" collapsed="false">
      <c r="S319" s="1" t="s">
        <v>291</v>
      </c>
      <c r="W319" s="57" t="s">
        <v>290</v>
      </c>
      <c r="X319" s="58" t="n">
        <v>2</v>
      </c>
      <c r="Y319" s="59" t="n">
        <f aca="false">X319*8/$U$315</f>
        <v>1.6</v>
      </c>
      <c r="Z319" s="30" t="n">
        <v>23.6</v>
      </c>
      <c r="AA319" s="30" t="n">
        <f aca="false">Y319*Z319</f>
        <v>37.76</v>
      </c>
    </row>
    <row r="320" customFormat="false" ht="15" hidden="false" customHeight="false" outlineLevel="0" collapsed="false">
      <c r="S320" s="1" t="s">
        <v>292</v>
      </c>
      <c r="W320" s="57" t="s">
        <v>290</v>
      </c>
      <c r="X320" s="58" t="n">
        <v>8</v>
      </c>
      <c r="Y320" s="59" t="n">
        <f aca="false">X320*8/$U$315</f>
        <v>6.4</v>
      </c>
      <c r="Z320" s="30" t="n">
        <v>21.36</v>
      </c>
      <c r="AA320" s="30" t="n">
        <f aca="false">Y320*Z320</f>
        <v>136.704</v>
      </c>
    </row>
    <row r="321" customFormat="false" ht="15" hidden="false" customHeight="false" outlineLevel="0" collapsed="false">
      <c r="W321" s="57"/>
      <c r="X321" s="58"/>
      <c r="Y321" s="59"/>
      <c r="AA321" s="89" t="n">
        <f aca="false">SUM(AA318:AA320)</f>
        <v>220.768</v>
      </c>
    </row>
    <row r="322" customFormat="false" ht="15" hidden="false" customHeight="false" outlineLevel="0" collapsed="false">
      <c r="S322" s="90" t="s">
        <v>652</v>
      </c>
      <c r="W322" s="57"/>
      <c r="X322" s="58"/>
      <c r="Y322" s="59"/>
      <c r="AA322" s="30"/>
    </row>
    <row r="323" customFormat="false" ht="15" hidden="false" customHeight="false" outlineLevel="0" collapsed="false">
      <c r="S323" s="1" t="s">
        <v>670</v>
      </c>
      <c r="W323" s="57" t="s">
        <v>202</v>
      </c>
      <c r="Y323" s="59" t="n">
        <v>0.53</v>
      </c>
      <c r="Z323" s="30" t="n">
        <v>55.08</v>
      </c>
      <c r="AA323" s="30" t="n">
        <f aca="false">Y323*Z323</f>
        <v>29.1924</v>
      </c>
    </row>
    <row r="324" customFormat="false" ht="15" hidden="false" customHeight="false" outlineLevel="0" collapsed="false">
      <c r="S324" s="1" t="s">
        <v>671</v>
      </c>
      <c r="W324" s="57" t="s">
        <v>202</v>
      </c>
      <c r="Y324" s="59" t="n">
        <v>0.52</v>
      </c>
      <c r="Z324" s="30" t="n">
        <v>47</v>
      </c>
      <c r="AA324" s="30" t="n">
        <f aca="false">Y324*Z324</f>
        <v>24.44</v>
      </c>
    </row>
    <row r="325" customFormat="false" ht="15" hidden="false" customHeight="false" outlineLevel="0" collapsed="false">
      <c r="S325" s="1" t="s">
        <v>305</v>
      </c>
      <c r="W325" s="57" t="s">
        <v>306</v>
      </c>
      <c r="Y325" s="59" t="n">
        <v>9.73</v>
      </c>
      <c r="Z325" s="30" t="n">
        <v>24.52</v>
      </c>
      <c r="AA325" s="30" t="n">
        <f aca="false">Y325*Z325</f>
        <v>238.5796</v>
      </c>
    </row>
    <row r="326" customFormat="false" ht="15" hidden="false" customHeight="false" outlineLevel="0" collapsed="false">
      <c r="S326" s="1" t="s">
        <v>654</v>
      </c>
      <c r="W326" s="57" t="s">
        <v>202</v>
      </c>
      <c r="Y326" s="59" t="n">
        <v>0.186</v>
      </c>
      <c r="Z326" s="1" t="n">
        <v>6.14</v>
      </c>
      <c r="AA326" s="30" t="n">
        <f aca="false">Y326*Z326</f>
        <v>1.14204</v>
      </c>
    </row>
    <row r="327" customFormat="false" ht="15" hidden="false" customHeight="false" outlineLevel="0" collapsed="false">
      <c r="S327" s="1" t="s">
        <v>663</v>
      </c>
      <c r="W327" s="57" t="s">
        <v>437</v>
      </c>
      <c r="Y327" s="59" t="n">
        <v>0.36</v>
      </c>
      <c r="Z327" s="1" t="n">
        <v>13.93</v>
      </c>
      <c r="AA327" s="30" t="n">
        <f aca="false">Y327*Z327</f>
        <v>5.0148</v>
      </c>
    </row>
    <row r="328" customFormat="false" ht="15" hidden="false" customHeight="false" outlineLevel="0" collapsed="false">
      <c r="W328" s="57"/>
      <c r="Y328" s="59"/>
      <c r="Z328" s="30"/>
      <c r="AA328" s="89" t="n">
        <f aca="false">SUM(AA323:AA327)</f>
        <v>298.36884</v>
      </c>
    </row>
    <row r="329" customFormat="false" ht="15" hidden="false" customHeight="false" outlineLevel="0" collapsed="false">
      <c r="S329" s="90" t="s">
        <v>308</v>
      </c>
    </row>
    <row r="330" customFormat="false" ht="15" hidden="false" customHeight="false" outlineLevel="0" collapsed="false">
      <c r="S330" s="1" t="s">
        <v>309</v>
      </c>
      <c r="W330" s="57" t="s">
        <v>310</v>
      </c>
      <c r="Y330" s="59" t="n">
        <v>3</v>
      </c>
      <c r="Z330" s="30" t="n">
        <f aca="false">AA321</f>
        <v>220.768</v>
      </c>
      <c r="AA330" s="30" t="n">
        <f aca="false">Y330%*Z330</f>
        <v>6.62304</v>
      </c>
    </row>
    <row r="331" customFormat="false" ht="15" hidden="false" customHeight="false" outlineLevel="0" collapsed="false">
      <c r="S331" s="1" t="s">
        <v>665</v>
      </c>
      <c r="W331" s="57" t="s">
        <v>337</v>
      </c>
      <c r="X331" s="58" t="n">
        <v>1</v>
      </c>
      <c r="Y331" s="59" t="n">
        <f aca="false">X331*8/$U$315</f>
        <v>0.8</v>
      </c>
      <c r="Z331" s="30" t="n">
        <v>25.63</v>
      </c>
      <c r="AA331" s="30" t="n">
        <f aca="false">Y331*Z331</f>
        <v>20.504</v>
      </c>
    </row>
    <row r="332" customFormat="false" ht="15" hidden="false" customHeight="false" outlineLevel="0" collapsed="false">
      <c r="S332" s="1" t="s">
        <v>673</v>
      </c>
      <c r="W332" s="57" t="s">
        <v>337</v>
      </c>
      <c r="X332" s="58" t="n">
        <v>0.5</v>
      </c>
      <c r="Y332" s="59" t="n">
        <f aca="false">X332*8/$U$315</f>
        <v>0.4</v>
      </c>
      <c r="Z332" s="30" t="n">
        <v>7.07</v>
      </c>
      <c r="AA332" s="30" t="n">
        <f aca="false">Y332*Z332</f>
        <v>2.828</v>
      </c>
    </row>
    <row r="333" customFormat="false" ht="15" hidden="false" customHeight="false" outlineLevel="0" collapsed="false">
      <c r="R333" s="62"/>
      <c r="S333" s="62"/>
      <c r="T333" s="62"/>
      <c r="U333" s="62"/>
      <c r="V333" s="62"/>
      <c r="W333" s="62"/>
      <c r="X333" s="62"/>
      <c r="Y333" s="62"/>
      <c r="Z333" s="62"/>
      <c r="AA333" s="91" t="n">
        <f aca="false">SUM(AA330:AA332)</f>
        <v>29.95504</v>
      </c>
    </row>
    <row r="335" customFormat="false" ht="15" hidden="false" customHeight="false" outlineLevel="0" collapsed="false">
      <c r="R335" s="85" t="s">
        <v>276</v>
      </c>
      <c r="S335" s="85"/>
      <c r="T335" s="85" t="s">
        <v>527</v>
      </c>
      <c r="U335" s="85"/>
    </row>
    <row r="336" customFormat="false" ht="15" hidden="false" customHeight="false" outlineLevel="0" collapsed="false">
      <c r="R336" s="85" t="s">
        <v>277</v>
      </c>
      <c r="S336" s="85" t="s">
        <v>278</v>
      </c>
      <c r="T336" s="87" t="s">
        <v>279</v>
      </c>
      <c r="U336" s="88" t="n">
        <v>30</v>
      </c>
      <c r="V336" s="87" t="s">
        <v>280</v>
      </c>
      <c r="W336" s="88" t="n">
        <f aca="false">U336</f>
        <v>30</v>
      </c>
      <c r="X336" s="85" t="s">
        <v>281</v>
      </c>
      <c r="Z336" s="87" t="s">
        <v>132</v>
      </c>
      <c r="AA336" s="89" t="n">
        <f aca="false">AA342+AA347+AA350</f>
        <v>55.39682</v>
      </c>
    </row>
    <row r="337" customFormat="false" ht="15" hidden="false" customHeight="false" outlineLevel="0" collapsed="false">
      <c r="R337" s="85" t="s">
        <v>282</v>
      </c>
      <c r="S337" s="85" t="s">
        <v>283</v>
      </c>
      <c r="W337" s="87" t="s">
        <v>121</v>
      </c>
      <c r="X337" s="87" t="s">
        <v>284</v>
      </c>
      <c r="Y337" s="87" t="s">
        <v>285</v>
      </c>
      <c r="Z337" s="87" t="s">
        <v>286</v>
      </c>
      <c r="AA337" s="87" t="s">
        <v>287</v>
      </c>
    </row>
    <row r="338" customFormat="false" ht="15" hidden="false" customHeight="false" outlineLevel="0" collapsed="false">
      <c r="S338" s="90" t="s">
        <v>288</v>
      </c>
    </row>
    <row r="339" customFormat="false" ht="15" hidden="false" customHeight="false" outlineLevel="0" collapsed="false">
      <c r="S339" s="1" t="s">
        <v>289</v>
      </c>
      <c r="W339" s="57" t="s">
        <v>290</v>
      </c>
      <c r="X339" s="58" t="n">
        <v>2</v>
      </c>
      <c r="Y339" s="59" t="n">
        <f aca="false">X339*8/$U$336</f>
        <v>0.533333333333333</v>
      </c>
      <c r="Z339" s="30" t="n">
        <v>28.94</v>
      </c>
      <c r="AA339" s="30" t="n">
        <f aca="false">Y339*Z339</f>
        <v>15.4346666666667</v>
      </c>
    </row>
    <row r="340" customFormat="false" ht="15" hidden="false" customHeight="false" outlineLevel="0" collapsed="false">
      <c r="S340" s="1" t="s">
        <v>291</v>
      </c>
      <c r="W340" s="57" t="s">
        <v>290</v>
      </c>
      <c r="X340" s="58" t="n">
        <v>1</v>
      </c>
      <c r="Y340" s="59" t="n">
        <f aca="false">X340*8/$U$336</f>
        <v>0.266666666666667</v>
      </c>
      <c r="Z340" s="30" t="n">
        <v>23.6</v>
      </c>
      <c r="AA340" s="30" t="n">
        <f aca="false">Y340*Z340</f>
        <v>6.29333333333333</v>
      </c>
    </row>
    <row r="341" customFormat="false" ht="15" hidden="false" customHeight="false" outlineLevel="0" collapsed="false">
      <c r="S341" s="1" t="s">
        <v>292</v>
      </c>
      <c r="W341" s="57" t="s">
        <v>290</v>
      </c>
      <c r="X341" s="58" t="n">
        <v>1</v>
      </c>
      <c r="Y341" s="59" t="n">
        <f aca="false">X341*8/$U$336</f>
        <v>0.266666666666667</v>
      </c>
      <c r="Z341" s="30" t="n">
        <v>21.36</v>
      </c>
      <c r="AA341" s="30" t="n">
        <f aca="false">Y341*Z341</f>
        <v>5.696</v>
      </c>
    </row>
    <row r="342" customFormat="false" ht="15" hidden="false" customHeight="false" outlineLevel="0" collapsed="false">
      <c r="W342" s="57"/>
      <c r="X342" s="58"/>
      <c r="Y342" s="59"/>
      <c r="AA342" s="89" t="n">
        <f aca="false">SUM(AA339:AA341)</f>
        <v>27.424</v>
      </c>
    </row>
    <row r="343" customFormat="false" ht="15" hidden="false" customHeight="false" outlineLevel="0" collapsed="false">
      <c r="S343" s="90" t="s">
        <v>652</v>
      </c>
      <c r="W343" s="57"/>
      <c r="X343" s="58"/>
      <c r="Y343" s="59"/>
      <c r="AA343" s="30"/>
    </row>
    <row r="344" customFormat="false" ht="15" hidden="false" customHeight="false" outlineLevel="0" collapsed="false">
      <c r="S344" s="1" t="s">
        <v>685</v>
      </c>
      <c r="W344" s="57" t="s">
        <v>295</v>
      </c>
      <c r="Y344" s="59" t="n">
        <v>0.3</v>
      </c>
      <c r="Z344" s="30" t="n">
        <v>2.64</v>
      </c>
      <c r="AA344" s="30" t="n">
        <f aca="false">Y344*Z344</f>
        <v>0.792</v>
      </c>
    </row>
    <row r="345" customFormat="false" ht="15" hidden="false" customHeight="false" outlineLevel="0" collapsed="false">
      <c r="S345" s="1" t="s">
        <v>300</v>
      </c>
      <c r="W345" s="57" t="s">
        <v>295</v>
      </c>
      <c r="Y345" s="59" t="n">
        <v>0.31</v>
      </c>
      <c r="Z345" s="30" t="n">
        <v>5.51</v>
      </c>
      <c r="AA345" s="30" t="n">
        <f aca="false">Y345*Z345</f>
        <v>1.7081</v>
      </c>
    </row>
    <row r="346" customFormat="false" ht="15" hidden="false" customHeight="false" outlineLevel="0" collapsed="false">
      <c r="S346" s="1" t="s">
        <v>667</v>
      </c>
      <c r="W346" s="57" t="s">
        <v>304</v>
      </c>
      <c r="Y346" s="59" t="n">
        <v>4.25</v>
      </c>
      <c r="Z346" s="30" t="n">
        <v>5.8</v>
      </c>
      <c r="AA346" s="30" t="n">
        <f aca="false">Y346*Z346</f>
        <v>24.65</v>
      </c>
    </row>
    <row r="347" customFormat="false" ht="15" hidden="false" customHeight="false" outlineLevel="0" collapsed="false">
      <c r="W347" s="57"/>
      <c r="Y347" s="59"/>
      <c r="Z347" s="30"/>
      <c r="AA347" s="89" t="n">
        <f aca="false">SUM(AA344:AA346)</f>
        <v>27.1501</v>
      </c>
    </row>
    <row r="348" customFormat="false" ht="15" hidden="false" customHeight="false" outlineLevel="0" collapsed="false">
      <c r="S348" s="90" t="s">
        <v>308</v>
      </c>
    </row>
    <row r="349" customFormat="false" ht="15" hidden="false" customHeight="false" outlineLevel="0" collapsed="false">
      <c r="S349" s="1" t="s">
        <v>309</v>
      </c>
      <c r="W349" s="57" t="s">
        <v>310</v>
      </c>
      <c r="Y349" s="59" t="n">
        <v>3</v>
      </c>
      <c r="Z349" s="30" t="n">
        <f aca="false">AA342</f>
        <v>27.424</v>
      </c>
      <c r="AA349" s="30" t="n">
        <f aca="false">Y349%*Z349</f>
        <v>0.82272</v>
      </c>
    </row>
    <row r="350" customFormat="false" ht="15" hidden="false" customHeight="false" outlineLevel="0" collapsed="false">
      <c r="R350" s="62"/>
      <c r="S350" s="62"/>
      <c r="T350" s="62"/>
      <c r="U350" s="62"/>
      <c r="V350" s="62"/>
      <c r="W350" s="62"/>
      <c r="X350" s="62"/>
      <c r="Y350" s="62"/>
      <c r="Z350" s="62"/>
      <c r="AA350" s="91" t="n">
        <f aca="false">SUM(AA349)</f>
        <v>0.82272</v>
      </c>
    </row>
    <row r="352" customFormat="false" ht="15" hidden="false" customHeight="false" outlineLevel="0" collapsed="false">
      <c r="R352" s="85" t="s">
        <v>276</v>
      </c>
      <c r="S352" s="85"/>
      <c r="T352" s="85" t="s">
        <v>529</v>
      </c>
      <c r="U352" s="85"/>
    </row>
    <row r="353" customFormat="false" ht="15" hidden="false" customHeight="false" outlineLevel="0" collapsed="false">
      <c r="R353" s="85" t="s">
        <v>277</v>
      </c>
      <c r="S353" s="85" t="s">
        <v>278</v>
      </c>
      <c r="T353" s="87" t="s">
        <v>279</v>
      </c>
      <c r="U353" s="88" t="n">
        <v>250</v>
      </c>
      <c r="V353" s="87" t="s">
        <v>280</v>
      </c>
      <c r="W353" s="88" t="n">
        <f aca="false">U353</f>
        <v>250</v>
      </c>
      <c r="X353" s="85" t="s">
        <v>281</v>
      </c>
      <c r="Z353" s="87" t="s">
        <v>132</v>
      </c>
      <c r="AA353" s="89" t="n">
        <f aca="false">AA358+AA362+AA366</f>
        <v>5.5639628445</v>
      </c>
    </row>
    <row r="354" customFormat="false" ht="15" hidden="false" customHeight="false" outlineLevel="0" collapsed="false">
      <c r="R354" s="85" t="s">
        <v>282</v>
      </c>
      <c r="S354" s="85" t="s">
        <v>283</v>
      </c>
      <c r="W354" s="87" t="s">
        <v>121</v>
      </c>
      <c r="X354" s="87" t="s">
        <v>284</v>
      </c>
      <c r="Y354" s="87" t="s">
        <v>285</v>
      </c>
      <c r="Z354" s="87" t="s">
        <v>286</v>
      </c>
      <c r="AA354" s="87" t="s">
        <v>287</v>
      </c>
    </row>
    <row r="355" customFormat="false" ht="15" hidden="false" customHeight="false" outlineLevel="0" collapsed="false">
      <c r="S355" s="90" t="s">
        <v>288</v>
      </c>
    </row>
    <row r="356" customFormat="false" ht="15" hidden="false" customHeight="false" outlineLevel="0" collapsed="false">
      <c r="S356" s="1" t="s">
        <v>289</v>
      </c>
      <c r="W356" s="57" t="s">
        <v>290</v>
      </c>
      <c r="X356" s="58" t="n">
        <v>1</v>
      </c>
      <c r="Y356" s="59" t="n">
        <f aca="false">X356*8/$U$353</f>
        <v>0.032</v>
      </c>
      <c r="Z356" s="30" t="n">
        <v>28.94</v>
      </c>
      <c r="AA356" s="30" t="n">
        <f aca="false">Y356*Z356</f>
        <v>0.92608</v>
      </c>
    </row>
    <row r="357" customFormat="false" ht="15" hidden="false" customHeight="false" outlineLevel="0" collapsed="false">
      <c r="S357" s="1" t="s">
        <v>675</v>
      </c>
      <c r="W357" s="57" t="s">
        <v>290</v>
      </c>
      <c r="X357" s="58" t="n">
        <v>1</v>
      </c>
      <c r="Y357" s="59" t="n">
        <f aca="false">X357*8/$U$353</f>
        <v>0.032</v>
      </c>
      <c r="Z357" s="30" t="n">
        <v>23.6</v>
      </c>
      <c r="AA357" s="30" t="n">
        <f aca="false">Y357*Z357</f>
        <v>0.7552</v>
      </c>
    </row>
    <row r="358" customFormat="false" ht="15" hidden="false" customHeight="false" outlineLevel="0" collapsed="false">
      <c r="W358" s="57"/>
      <c r="X358" s="58"/>
      <c r="AA358" s="126" t="n">
        <f aca="false">SUM(AA356:AA357)</f>
        <v>1.68128</v>
      </c>
    </row>
    <row r="359" customFormat="false" ht="15" hidden="false" customHeight="false" outlineLevel="0" collapsed="false">
      <c r="S359" s="127" t="s">
        <v>293</v>
      </c>
      <c r="W359" s="57"/>
      <c r="X359" s="58"/>
      <c r="Y359" s="101"/>
    </row>
    <row r="360" customFormat="false" ht="15" hidden="false" customHeight="false" outlineLevel="0" collapsed="false">
      <c r="S360" s="1" t="s">
        <v>294</v>
      </c>
      <c r="W360" s="57" t="s">
        <v>295</v>
      </c>
      <c r="X360" s="58"/>
      <c r="Y360" s="101" t="n">
        <v>0.03</v>
      </c>
      <c r="Z360" s="30" t="n">
        <v>2.64</v>
      </c>
      <c r="AA360" s="30" t="n">
        <f aca="false">Y360*Z360</f>
        <v>0.0792</v>
      </c>
    </row>
    <row r="361" customFormat="false" ht="15" hidden="false" customHeight="false" outlineLevel="0" collapsed="false">
      <c r="S361" s="1" t="s">
        <v>676</v>
      </c>
      <c r="W361" s="57" t="s">
        <v>295</v>
      </c>
      <c r="X361" s="58"/>
      <c r="Y361" s="101" t="n">
        <v>1.05</v>
      </c>
      <c r="Z361" s="30" t="n">
        <f aca="false">1012.71*3.379/1000</f>
        <v>3.42194709</v>
      </c>
      <c r="AA361" s="30" t="n">
        <f aca="false">Y361*Z361</f>
        <v>3.5930444445</v>
      </c>
    </row>
    <row r="362" customFormat="false" ht="15" hidden="false" customHeight="false" outlineLevel="0" collapsed="false">
      <c r="W362" s="57"/>
      <c r="X362" s="58"/>
      <c r="AA362" s="126" t="n">
        <f aca="false">SUM(AA360:AA361)</f>
        <v>3.6722444445</v>
      </c>
    </row>
    <row r="363" customFormat="false" ht="15" hidden="false" customHeight="false" outlineLevel="0" collapsed="false">
      <c r="S363" s="127" t="s">
        <v>317</v>
      </c>
      <c r="W363" s="57"/>
      <c r="X363" s="58"/>
    </row>
    <row r="364" customFormat="false" ht="15" hidden="false" customHeight="false" outlineLevel="0" collapsed="false">
      <c r="S364" s="1" t="s">
        <v>309</v>
      </c>
      <c r="W364" s="57" t="s">
        <v>310</v>
      </c>
      <c r="Y364" s="59" t="n">
        <v>3</v>
      </c>
      <c r="Z364" s="30" t="n">
        <f aca="false">AA358</f>
        <v>1.68128</v>
      </c>
      <c r="AA364" s="30" t="n">
        <f aca="false">Y364%*Z364</f>
        <v>0.0504384</v>
      </c>
    </row>
    <row r="365" customFormat="false" ht="15" hidden="false" customHeight="false" outlineLevel="0" collapsed="false">
      <c r="S365" s="1" t="s">
        <v>677</v>
      </c>
      <c r="W365" s="57" t="s">
        <v>290</v>
      </c>
      <c r="X365" s="58" t="n">
        <v>1</v>
      </c>
      <c r="Y365" s="59" t="n">
        <f aca="false">X365*8/$U$353</f>
        <v>0.032</v>
      </c>
      <c r="Z365" s="65" t="n">
        <v>5</v>
      </c>
      <c r="AA365" s="30" t="n">
        <f aca="false">Y365*Z365</f>
        <v>0.16</v>
      </c>
    </row>
    <row r="366" customFormat="false" ht="15" hidden="false" customHeight="false" outlineLevel="0" collapsed="false">
      <c r="R366" s="62"/>
      <c r="S366" s="62"/>
      <c r="T366" s="62"/>
      <c r="U366" s="62"/>
      <c r="V366" s="62"/>
      <c r="W366" s="62"/>
      <c r="X366" s="62"/>
      <c r="Y366" s="62"/>
      <c r="Z366" s="62"/>
      <c r="AA366" s="128" t="n">
        <f aca="false">SUM(AA364:AA365)</f>
        <v>0.2104384</v>
      </c>
    </row>
    <row r="368" customFormat="false" ht="15" hidden="false" customHeight="false" outlineLevel="0" collapsed="false">
      <c r="R368" s="85" t="s">
        <v>276</v>
      </c>
      <c r="S368" s="85"/>
      <c r="T368" s="85" t="s">
        <v>541</v>
      </c>
      <c r="U368" s="85"/>
    </row>
    <row r="369" customFormat="false" ht="15" hidden="false" customHeight="false" outlineLevel="0" collapsed="false">
      <c r="R369" s="85" t="s">
        <v>277</v>
      </c>
      <c r="S369" s="85" t="s">
        <v>415</v>
      </c>
      <c r="T369" s="87" t="s">
        <v>279</v>
      </c>
      <c r="U369" s="88" t="n">
        <v>22</v>
      </c>
      <c r="V369" s="87" t="s">
        <v>280</v>
      </c>
      <c r="W369" s="88" t="n">
        <f aca="false">U369</f>
        <v>22</v>
      </c>
      <c r="X369" s="85" t="s">
        <v>281</v>
      </c>
      <c r="Z369" s="87" t="s">
        <v>202</v>
      </c>
      <c r="AA369" s="89" t="n">
        <f aca="false">AA375+AA382+AA388</f>
        <v>392.537930909091</v>
      </c>
    </row>
    <row r="370" customFormat="false" ht="15" hidden="false" customHeight="false" outlineLevel="0" collapsed="false">
      <c r="R370" s="85" t="s">
        <v>282</v>
      </c>
      <c r="S370" s="85" t="s">
        <v>283</v>
      </c>
      <c r="W370" s="87" t="s">
        <v>121</v>
      </c>
      <c r="X370" s="87" t="s">
        <v>284</v>
      </c>
      <c r="Y370" s="87" t="s">
        <v>285</v>
      </c>
      <c r="Z370" s="87" t="s">
        <v>286</v>
      </c>
      <c r="AA370" s="87" t="s">
        <v>287</v>
      </c>
    </row>
    <row r="371" customFormat="false" ht="15" hidden="false" customHeight="false" outlineLevel="0" collapsed="false">
      <c r="S371" s="90" t="s">
        <v>288</v>
      </c>
    </row>
    <row r="372" customFormat="false" ht="15" hidden="false" customHeight="false" outlineLevel="0" collapsed="false">
      <c r="S372" s="1" t="s">
        <v>289</v>
      </c>
      <c r="W372" s="57" t="s">
        <v>290</v>
      </c>
      <c r="X372" s="58" t="n">
        <v>2</v>
      </c>
      <c r="Y372" s="59" t="n">
        <f aca="false">X372*8/$U$369</f>
        <v>0.727272727272727</v>
      </c>
      <c r="Z372" s="30" t="n">
        <v>28.94</v>
      </c>
      <c r="AA372" s="30" t="n">
        <f aca="false">Y372*Z372</f>
        <v>21.0472727272727</v>
      </c>
    </row>
    <row r="373" customFormat="false" ht="15" hidden="false" customHeight="false" outlineLevel="0" collapsed="false">
      <c r="S373" s="1" t="s">
        <v>291</v>
      </c>
      <c r="W373" s="57" t="s">
        <v>290</v>
      </c>
      <c r="X373" s="58" t="n">
        <v>1</v>
      </c>
      <c r="Y373" s="59" t="n">
        <f aca="false">X373*8/$U$369</f>
        <v>0.363636363636364</v>
      </c>
      <c r="Z373" s="30" t="n">
        <v>23.6</v>
      </c>
      <c r="AA373" s="30" t="n">
        <f aca="false">Y373*Z373</f>
        <v>8.58181818181818</v>
      </c>
    </row>
    <row r="374" customFormat="false" ht="15" hidden="false" customHeight="false" outlineLevel="0" collapsed="false">
      <c r="S374" s="1" t="s">
        <v>292</v>
      </c>
      <c r="W374" s="57" t="s">
        <v>290</v>
      </c>
      <c r="X374" s="58" t="n">
        <v>6</v>
      </c>
      <c r="Y374" s="59" t="n">
        <f aca="false">X374*8/$U$369</f>
        <v>2.18181818181818</v>
      </c>
      <c r="Z374" s="30" t="n">
        <v>21.36</v>
      </c>
      <c r="AA374" s="30" t="n">
        <f aca="false">Y374*Z374</f>
        <v>46.6036363636364</v>
      </c>
    </row>
    <row r="375" customFormat="false" ht="15" hidden="false" customHeight="false" outlineLevel="0" collapsed="false">
      <c r="W375" s="57"/>
      <c r="X375" s="58"/>
      <c r="Y375" s="59"/>
      <c r="AA375" s="89" t="n">
        <f aca="false">SUM(AA372:AA374)</f>
        <v>76.2327272727273</v>
      </c>
    </row>
    <row r="376" customFormat="false" ht="15" hidden="false" customHeight="false" outlineLevel="0" collapsed="false">
      <c r="S376" s="90" t="s">
        <v>652</v>
      </c>
      <c r="W376" s="57"/>
      <c r="X376" s="58"/>
      <c r="Y376" s="59"/>
      <c r="AA376" s="30"/>
    </row>
    <row r="377" customFormat="false" ht="15" hidden="false" customHeight="false" outlineLevel="0" collapsed="false">
      <c r="S377" s="1" t="s">
        <v>670</v>
      </c>
      <c r="W377" s="57" t="s">
        <v>202</v>
      </c>
      <c r="Y377" s="59" t="n">
        <v>0.53</v>
      </c>
      <c r="Z377" s="30" t="n">
        <v>55.08</v>
      </c>
      <c r="AA377" s="30" t="n">
        <f aca="false">Y377*Z377</f>
        <v>29.1924</v>
      </c>
    </row>
    <row r="378" customFormat="false" ht="15" hidden="false" customHeight="false" outlineLevel="0" collapsed="false">
      <c r="S378" s="1" t="s">
        <v>671</v>
      </c>
      <c r="W378" s="57" t="s">
        <v>202</v>
      </c>
      <c r="Y378" s="59" t="n">
        <v>0.52</v>
      </c>
      <c r="Z378" s="30" t="n">
        <v>47</v>
      </c>
      <c r="AA378" s="30" t="n">
        <f aca="false">Y378*Z378</f>
        <v>24.44</v>
      </c>
    </row>
    <row r="379" customFormat="false" ht="15" hidden="false" customHeight="false" outlineLevel="0" collapsed="false">
      <c r="S379" s="1" t="s">
        <v>305</v>
      </c>
      <c r="W379" s="57" t="s">
        <v>306</v>
      </c>
      <c r="Y379" s="59" t="n">
        <v>9.73</v>
      </c>
      <c r="Z379" s="30" t="n">
        <v>24.52</v>
      </c>
      <c r="AA379" s="30" t="n">
        <f aca="false">Y379*Z379</f>
        <v>238.5796</v>
      </c>
    </row>
    <row r="380" customFormat="false" ht="15" hidden="false" customHeight="false" outlineLevel="0" collapsed="false">
      <c r="S380" s="1" t="s">
        <v>654</v>
      </c>
      <c r="W380" s="57" t="s">
        <v>202</v>
      </c>
      <c r="Y380" s="59" t="n">
        <v>0.186</v>
      </c>
      <c r="Z380" s="1" t="n">
        <v>6.14</v>
      </c>
      <c r="AA380" s="30" t="n">
        <f aca="false">Y380*Z380</f>
        <v>1.14204</v>
      </c>
    </row>
    <row r="381" customFormat="false" ht="15" hidden="false" customHeight="false" outlineLevel="0" collapsed="false">
      <c r="S381" s="1" t="s">
        <v>663</v>
      </c>
      <c r="W381" s="57" t="s">
        <v>437</v>
      </c>
      <c r="Y381" s="59" t="n">
        <v>0.2</v>
      </c>
      <c r="Z381" s="1" t="n">
        <v>13.93</v>
      </c>
      <c r="AA381" s="30" t="n">
        <f aca="false">Y381*Z381</f>
        <v>2.786</v>
      </c>
    </row>
    <row r="382" customFormat="false" ht="15" hidden="false" customHeight="false" outlineLevel="0" collapsed="false">
      <c r="W382" s="57"/>
      <c r="Y382" s="59"/>
      <c r="Z382" s="30"/>
      <c r="AA382" s="89" t="n">
        <f aca="false">SUM(AA377:AA381)</f>
        <v>296.14004</v>
      </c>
    </row>
    <row r="383" customFormat="false" ht="15" hidden="false" customHeight="false" outlineLevel="0" collapsed="false">
      <c r="S383" s="90" t="s">
        <v>308</v>
      </c>
    </row>
    <row r="384" customFormat="false" ht="15" hidden="false" customHeight="false" outlineLevel="0" collapsed="false">
      <c r="S384" s="1" t="s">
        <v>309</v>
      </c>
      <c r="W384" s="57" t="s">
        <v>310</v>
      </c>
      <c r="Y384" s="59" t="n">
        <v>3</v>
      </c>
      <c r="Z384" s="30" t="n">
        <f aca="false">AA375</f>
        <v>76.2327272727273</v>
      </c>
      <c r="AA384" s="30" t="n">
        <f aca="false">Y384%*Z384</f>
        <v>2.28698181818182</v>
      </c>
    </row>
    <row r="385" customFormat="false" ht="15" hidden="false" customHeight="false" outlineLevel="0" collapsed="false">
      <c r="S385" s="1" t="s">
        <v>665</v>
      </c>
      <c r="W385" s="57" t="s">
        <v>337</v>
      </c>
      <c r="X385" s="58" t="n">
        <v>1</v>
      </c>
      <c r="Y385" s="59" t="n">
        <f aca="false">X385*8/$U$369</f>
        <v>0.363636363636364</v>
      </c>
      <c r="Z385" s="30" t="n">
        <v>25.63</v>
      </c>
      <c r="AA385" s="30" t="n">
        <f aca="false">Y385*Z385</f>
        <v>9.32</v>
      </c>
    </row>
    <row r="386" customFormat="false" ht="15" hidden="false" customHeight="false" outlineLevel="0" collapsed="false">
      <c r="S386" s="1" t="s">
        <v>687</v>
      </c>
      <c r="W386" s="57" t="s">
        <v>337</v>
      </c>
      <c r="X386" s="58" t="n">
        <v>1</v>
      </c>
      <c r="Y386" s="59" t="n">
        <f aca="false">X386*8/$U$369</f>
        <v>0.363636363636364</v>
      </c>
      <c r="Z386" s="65" t="n">
        <v>20</v>
      </c>
      <c r="AA386" s="30" t="n">
        <f aca="false">Y386*Z386</f>
        <v>7.27272727272727</v>
      </c>
    </row>
    <row r="387" customFormat="false" ht="15" hidden="false" customHeight="false" outlineLevel="0" collapsed="false">
      <c r="S387" s="1" t="s">
        <v>673</v>
      </c>
      <c r="W387" s="57" t="s">
        <v>337</v>
      </c>
      <c r="X387" s="58" t="n">
        <v>0.5</v>
      </c>
      <c r="Y387" s="59" t="n">
        <f aca="false">X387*8/$U$369</f>
        <v>0.181818181818182</v>
      </c>
      <c r="Z387" s="1" t="n">
        <v>7.07</v>
      </c>
      <c r="AA387" s="30" t="n">
        <f aca="false">Y387*Z387</f>
        <v>1.28545454545455</v>
      </c>
    </row>
    <row r="388" customFormat="false" ht="15" hidden="false" customHeight="false" outlineLevel="0" collapsed="false">
      <c r="R388" s="62"/>
      <c r="S388" s="62"/>
      <c r="T388" s="62"/>
      <c r="U388" s="62"/>
      <c r="V388" s="62"/>
      <c r="W388" s="62"/>
      <c r="X388" s="62"/>
      <c r="Y388" s="62"/>
      <c r="Z388" s="62"/>
      <c r="AA388" s="91" t="n">
        <f aca="false">SUM(AA384:AA387)</f>
        <v>20.1651636363636</v>
      </c>
    </row>
    <row r="390" customFormat="false" ht="15" hidden="false" customHeight="false" outlineLevel="0" collapsed="false">
      <c r="R390" s="85" t="s">
        <v>276</v>
      </c>
      <c r="S390" s="85"/>
      <c r="T390" s="85" t="s">
        <v>543</v>
      </c>
      <c r="U390" s="85"/>
    </row>
    <row r="391" customFormat="false" ht="15" hidden="false" customHeight="false" outlineLevel="0" collapsed="false">
      <c r="R391" s="85" t="s">
        <v>277</v>
      </c>
      <c r="S391" s="85" t="s">
        <v>278</v>
      </c>
      <c r="T391" s="87" t="s">
        <v>279</v>
      </c>
      <c r="U391" s="88" t="n">
        <v>25</v>
      </c>
      <c r="V391" s="87" t="s">
        <v>280</v>
      </c>
      <c r="W391" s="88" t="n">
        <f aca="false">U391</f>
        <v>25</v>
      </c>
      <c r="X391" s="85" t="s">
        <v>281</v>
      </c>
      <c r="Z391" s="87" t="s">
        <v>132</v>
      </c>
      <c r="AA391" s="89" t="n">
        <f aca="false">AA396+AA401+AA404</f>
        <v>66.12216</v>
      </c>
    </row>
    <row r="392" customFormat="false" ht="15" hidden="false" customHeight="false" outlineLevel="0" collapsed="false">
      <c r="R392" s="85" t="s">
        <v>282</v>
      </c>
      <c r="S392" s="85" t="s">
        <v>283</v>
      </c>
      <c r="W392" s="87" t="s">
        <v>121</v>
      </c>
      <c r="X392" s="87" t="s">
        <v>284</v>
      </c>
      <c r="Y392" s="87" t="s">
        <v>285</v>
      </c>
      <c r="Z392" s="87" t="s">
        <v>286</v>
      </c>
      <c r="AA392" s="87" t="s">
        <v>287</v>
      </c>
    </row>
    <row r="393" customFormat="false" ht="15" hidden="false" customHeight="false" outlineLevel="0" collapsed="false">
      <c r="S393" s="90" t="s">
        <v>288</v>
      </c>
    </row>
    <row r="394" customFormat="false" ht="15" hidden="false" customHeight="false" outlineLevel="0" collapsed="false">
      <c r="S394" s="1" t="s">
        <v>289</v>
      </c>
      <c r="W394" s="57" t="s">
        <v>290</v>
      </c>
      <c r="X394" s="58" t="n">
        <v>2</v>
      </c>
      <c r="Y394" s="59" t="n">
        <f aca="false">X394*8/$U$391</f>
        <v>0.64</v>
      </c>
      <c r="Z394" s="30" t="n">
        <v>28.94</v>
      </c>
      <c r="AA394" s="30" t="n">
        <f aca="false">Y394*Z394</f>
        <v>18.5216</v>
      </c>
    </row>
    <row r="395" customFormat="false" ht="15" hidden="false" customHeight="false" outlineLevel="0" collapsed="false">
      <c r="S395" s="1" t="s">
        <v>292</v>
      </c>
      <c r="W395" s="57" t="s">
        <v>290</v>
      </c>
      <c r="X395" s="58" t="n">
        <v>2</v>
      </c>
      <c r="Y395" s="59" t="n">
        <f aca="false">X395*8/$U$391</f>
        <v>0.64</v>
      </c>
      <c r="Z395" s="30" t="n">
        <v>21.36</v>
      </c>
      <c r="AA395" s="30" t="n">
        <f aca="false">Y395*Z395</f>
        <v>13.6704</v>
      </c>
    </row>
    <row r="396" customFormat="false" ht="15" hidden="false" customHeight="false" outlineLevel="0" collapsed="false">
      <c r="W396" s="57"/>
      <c r="X396" s="58"/>
      <c r="Y396" s="59"/>
      <c r="Z396" s="30"/>
      <c r="AA396" s="89" t="n">
        <f aca="false">SUM(AA394:AA395)</f>
        <v>32.192</v>
      </c>
    </row>
    <row r="397" customFormat="false" ht="15" hidden="false" customHeight="false" outlineLevel="0" collapsed="false">
      <c r="S397" s="90" t="s">
        <v>652</v>
      </c>
      <c r="W397" s="57"/>
      <c r="X397" s="58"/>
      <c r="Y397" s="59"/>
      <c r="AA397" s="30"/>
    </row>
    <row r="398" customFormat="false" ht="15" hidden="false" customHeight="false" outlineLevel="0" collapsed="false">
      <c r="S398" s="1" t="s">
        <v>685</v>
      </c>
      <c r="W398" s="57" t="s">
        <v>295</v>
      </c>
      <c r="Y398" s="59" t="n">
        <v>0.1</v>
      </c>
      <c r="Z398" s="30" t="n">
        <v>2.64</v>
      </c>
      <c r="AA398" s="30" t="n">
        <f aca="false">Y398*Z398</f>
        <v>0.264</v>
      </c>
    </row>
    <row r="399" customFormat="false" ht="15" hidden="false" customHeight="false" outlineLevel="0" collapsed="false">
      <c r="S399" s="1" t="s">
        <v>300</v>
      </c>
      <c r="W399" s="57" t="s">
        <v>295</v>
      </c>
      <c r="Y399" s="59" t="n">
        <v>0.24</v>
      </c>
      <c r="Z399" s="30" t="n">
        <v>5.51</v>
      </c>
      <c r="AA399" s="30" t="n">
        <f aca="false">Y399*Z399</f>
        <v>1.3224</v>
      </c>
    </row>
    <row r="400" customFormat="false" ht="15" hidden="false" customHeight="false" outlineLevel="0" collapsed="false">
      <c r="S400" s="1" t="s">
        <v>667</v>
      </c>
      <c r="W400" s="57" t="s">
        <v>304</v>
      </c>
      <c r="Y400" s="59" t="n">
        <v>5.41</v>
      </c>
      <c r="Z400" s="30" t="n">
        <v>5.8</v>
      </c>
      <c r="AA400" s="30" t="n">
        <f aca="false">Y400*Z400</f>
        <v>31.378</v>
      </c>
    </row>
    <row r="401" customFormat="false" ht="15" hidden="false" customHeight="false" outlineLevel="0" collapsed="false">
      <c r="W401" s="57"/>
      <c r="Y401" s="59"/>
      <c r="Z401" s="30"/>
      <c r="AA401" s="89" t="n">
        <f aca="false">SUM(AA398:AA400)</f>
        <v>32.9644</v>
      </c>
    </row>
    <row r="402" customFormat="false" ht="15" hidden="false" customHeight="false" outlineLevel="0" collapsed="false">
      <c r="S402" s="90" t="s">
        <v>308</v>
      </c>
    </row>
    <row r="403" customFormat="false" ht="15" hidden="false" customHeight="false" outlineLevel="0" collapsed="false">
      <c r="S403" s="1" t="s">
        <v>309</v>
      </c>
      <c r="W403" s="57" t="s">
        <v>310</v>
      </c>
      <c r="Y403" s="59" t="n">
        <v>3</v>
      </c>
      <c r="Z403" s="30" t="n">
        <f aca="false">AA396</f>
        <v>32.192</v>
      </c>
      <c r="AA403" s="30" t="n">
        <f aca="false">Y403%*Z403</f>
        <v>0.96576</v>
      </c>
    </row>
    <row r="404" customFormat="false" ht="15" hidden="false" customHeight="false" outlineLevel="0" collapsed="false">
      <c r="R404" s="62"/>
      <c r="S404" s="62"/>
      <c r="T404" s="62"/>
      <c r="U404" s="62"/>
      <c r="V404" s="62"/>
      <c r="W404" s="62"/>
      <c r="X404" s="62"/>
      <c r="Y404" s="62"/>
      <c r="Z404" s="62"/>
      <c r="AA404" s="91" t="n">
        <f aca="false">SUM(AA403)</f>
        <v>0.96576</v>
      </c>
    </row>
    <row r="406" customFormat="false" ht="15" hidden="false" customHeight="false" outlineLevel="0" collapsed="false">
      <c r="R406" s="85" t="s">
        <v>276</v>
      </c>
      <c r="S406" s="85"/>
      <c r="T406" s="85" t="s">
        <v>688</v>
      </c>
      <c r="U406" s="85"/>
    </row>
    <row r="407" customFormat="false" ht="15" hidden="false" customHeight="false" outlineLevel="0" collapsed="false">
      <c r="R407" s="85" t="s">
        <v>277</v>
      </c>
      <c r="S407" s="85" t="s">
        <v>278</v>
      </c>
      <c r="T407" s="87" t="s">
        <v>279</v>
      </c>
      <c r="U407" s="88" t="n">
        <v>250</v>
      </c>
      <c r="V407" s="87" t="s">
        <v>280</v>
      </c>
      <c r="W407" s="88" t="n">
        <f aca="false">U407</f>
        <v>250</v>
      </c>
      <c r="X407" s="85" t="s">
        <v>281</v>
      </c>
      <c r="Z407" s="87" t="s">
        <v>132</v>
      </c>
      <c r="AA407" s="89" t="n">
        <f aca="false">AA412+AA416+AA420</f>
        <v>5.5639628445</v>
      </c>
    </row>
    <row r="408" customFormat="false" ht="15" hidden="false" customHeight="false" outlineLevel="0" collapsed="false">
      <c r="R408" s="85" t="s">
        <v>282</v>
      </c>
      <c r="S408" s="85" t="s">
        <v>283</v>
      </c>
      <c r="W408" s="87" t="s">
        <v>121</v>
      </c>
      <c r="X408" s="87" t="s">
        <v>284</v>
      </c>
      <c r="Y408" s="87" t="s">
        <v>285</v>
      </c>
      <c r="Z408" s="87" t="s">
        <v>286</v>
      </c>
      <c r="AA408" s="87" t="s">
        <v>287</v>
      </c>
    </row>
    <row r="409" customFormat="false" ht="15" hidden="false" customHeight="false" outlineLevel="0" collapsed="false">
      <c r="S409" s="90" t="s">
        <v>288</v>
      </c>
    </row>
    <row r="410" customFormat="false" ht="15" hidden="false" customHeight="false" outlineLevel="0" collapsed="false">
      <c r="S410" s="1" t="s">
        <v>289</v>
      </c>
      <c r="W410" s="57" t="s">
        <v>290</v>
      </c>
      <c r="X410" s="58" t="n">
        <v>1</v>
      </c>
      <c r="Y410" s="101" t="n">
        <f aca="false">X410*8/$U$407</f>
        <v>0.032</v>
      </c>
      <c r="Z410" s="30" t="n">
        <v>28.94</v>
      </c>
      <c r="AA410" s="30" t="n">
        <f aca="false">Y410*Z410</f>
        <v>0.92608</v>
      </c>
    </row>
    <row r="411" customFormat="false" ht="15" hidden="false" customHeight="false" outlineLevel="0" collapsed="false">
      <c r="S411" s="1" t="s">
        <v>675</v>
      </c>
      <c r="W411" s="57" t="s">
        <v>290</v>
      </c>
      <c r="X411" s="58" t="n">
        <v>1</v>
      </c>
      <c r="Y411" s="101" t="n">
        <f aca="false">X411*8/$U$407</f>
        <v>0.032</v>
      </c>
      <c r="Z411" s="30" t="n">
        <v>23.6</v>
      </c>
      <c r="AA411" s="30" t="n">
        <f aca="false">Y411*Z411</f>
        <v>0.7552</v>
      </c>
    </row>
    <row r="412" customFormat="false" ht="15" hidden="false" customHeight="false" outlineLevel="0" collapsed="false">
      <c r="W412" s="57"/>
      <c r="X412" s="58"/>
      <c r="AA412" s="126" t="n">
        <f aca="false">SUM(AA410:AA411)</f>
        <v>1.68128</v>
      </c>
    </row>
    <row r="413" customFormat="false" ht="15" hidden="false" customHeight="false" outlineLevel="0" collapsed="false">
      <c r="S413" s="127" t="s">
        <v>293</v>
      </c>
      <c r="W413" s="57"/>
      <c r="X413" s="58"/>
      <c r="Y413" s="101"/>
    </row>
    <row r="414" customFormat="false" ht="15" hidden="false" customHeight="false" outlineLevel="0" collapsed="false">
      <c r="S414" s="1" t="s">
        <v>294</v>
      </c>
      <c r="W414" s="57" t="s">
        <v>295</v>
      </c>
      <c r="X414" s="58"/>
      <c r="Y414" s="101" t="n">
        <v>0.03</v>
      </c>
      <c r="Z414" s="30" t="n">
        <v>2.64</v>
      </c>
      <c r="AA414" s="30" t="n">
        <f aca="false">Y414*Z414</f>
        <v>0.0792</v>
      </c>
    </row>
    <row r="415" customFormat="false" ht="15" hidden="false" customHeight="false" outlineLevel="0" collapsed="false">
      <c r="S415" s="1" t="s">
        <v>676</v>
      </c>
      <c r="W415" s="57" t="s">
        <v>295</v>
      </c>
      <c r="X415" s="58"/>
      <c r="Y415" s="101" t="n">
        <v>1.05</v>
      </c>
      <c r="Z415" s="30" t="n">
        <f aca="false">1012.71*3.379/1000</f>
        <v>3.42194709</v>
      </c>
      <c r="AA415" s="30" t="n">
        <f aca="false">Y415*Z415</f>
        <v>3.5930444445</v>
      </c>
    </row>
    <row r="416" customFormat="false" ht="15" hidden="false" customHeight="false" outlineLevel="0" collapsed="false">
      <c r="W416" s="57"/>
      <c r="X416" s="58"/>
      <c r="AA416" s="126" t="n">
        <f aca="false">SUM(AA414:AA415)</f>
        <v>3.6722444445</v>
      </c>
    </row>
    <row r="417" customFormat="false" ht="15" hidden="false" customHeight="false" outlineLevel="0" collapsed="false">
      <c r="S417" s="127" t="s">
        <v>317</v>
      </c>
      <c r="W417" s="57"/>
      <c r="X417" s="58"/>
    </row>
    <row r="418" customFormat="false" ht="15" hidden="false" customHeight="false" outlineLevel="0" collapsed="false">
      <c r="S418" s="1" t="s">
        <v>309</v>
      </c>
      <c r="W418" s="57" t="s">
        <v>310</v>
      </c>
      <c r="Y418" s="59" t="n">
        <v>3</v>
      </c>
      <c r="Z418" s="30" t="n">
        <f aca="false">AA412</f>
        <v>1.68128</v>
      </c>
      <c r="AA418" s="30" t="n">
        <f aca="false">Y418%*Z418</f>
        <v>0.0504384</v>
      </c>
    </row>
    <row r="419" customFormat="false" ht="15" hidden="false" customHeight="false" outlineLevel="0" collapsed="false">
      <c r="S419" s="1" t="s">
        <v>677</v>
      </c>
      <c r="W419" s="57" t="s">
        <v>290</v>
      </c>
      <c r="X419" s="58" t="n">
        <v>1</v>
      </c>
      <c r="Y419" s="101" t="n">
        <f aca="false">X419*8/$U$407</f>
        <v>0.032</v>
      </c>
      <c r="Z419" s="65" t="n">
        <v>5</v>
      </c>
      <c r="AA419" s="30" t="n">
        <f aca="false">Y419*Z419</f>
        <v>0.16</v>
      </c>
    </row>
    <row r="420" customFormat="false" ht="15" hidden="false" customHeight="false" outlineLevel="0" collapsed="false">
      <c r="R420" s="62"/>
      <c r="S420" s="62"/>
      <c r="T420" s="62"/>
      <c r="U420" s="62"/>
      <c r="V420" s="62"/>
      <c r="W420" s="62"/>
      <c r="X420" s="62"/>
      <c r="Y420" s="62"/>
      <c r="Z420" s="62"/>
      <c r="AA420" s="128" t="n">
        <f aca="false">SUM(AA418:AA419)</f>
        <v>0.2104384</v>
      </c>
    </row>
    <row r="422" customFormat="false" ht="15" hidden="false" customHeight="false" outlineLevel="0" collapsed="false">
      <c r="R422" s="14" t="s">
        <v>276</v>
      </c>
      <c r="S422" s="14"/>
      <c r="T422" s="214" t="s">
        <v>691</v>
      </c>
      <c r="U422" s="14"/>
    </row>
    <row r="423" customFormat="false" ht="15" hidden="false" customHeight="false" outlineLevel="0" collapsed="false">
      <c r="R423" s="14" t="s">
        <v>277</v>
      </c>
      <c r="S423" s="14" t="s">
        <v>415</v>
      </c>
      <c r="T423" s="38" t="s">
        <v>279</v>
      </c>
      <c r="U423" s="54" t="n">
        <v>25</v>
      </c>
      <c r="V423" s="38" t="s">
        <v>280</v>
      </c>
      <c r="W423" s="54" t="n">
        <f aca="false">U423</f>
        <v>25</v>
      </c>
      <c r="X423" s="14" t="s">
        <v>281</v>
      </c>
      <c r="Z423" s="38" t="s">
        <v>202</v>
      </c>
      <c r="AA423" s="55" t="n">
        <f aca="false">AA431+AA440+AA445</f>
        <v>396.881736</v>
      </c>
    </row>
    <row r="424" customFormat="false" ht="15" hidden="false" customHeight="false" outlineLevel="0" collapsed="false">
      <c r="R424" s="14" t="s">
        <v>282</v>
      </c>
      <c r="S424" s="14" t="s">
        <v>283</v>
      </c>
      <c r="W424" s="38" t="s">
        <v>121</v>
      </c>
      <c r="X424" s="38" t="s">
        <v>284</v>
      </c>
      <c r="Y424" s="38" t="s">
        <v>285</v>
      </c>
      <c r="Z424" s="38" t="s">
        <v>286</v>
      </c>
      <c r="AA424" s="38" t="s">
        <v>287</v>
      </c>
    </row>
    <row r="425" customFormat="false" ht="15" hidden="false" customHeight="false" outlineLevel="0" collapsed="false">
      <c r="S425" s="56" t="s">
        <v>288</v>
      </c>
    </row>
    <row r="426" customFormat="false" ht="15" hidden="false" customHeight="false" outlineLevel="0" collapsed="false">
      <c r="S426" s="1" t="s">
        <v>649</v>
      </c>
      <c r="W426" s="57" t="s">
        <v>290</v>
      </c>
      <c r="X426" s="58" t="n">
        <v>0.2</v>
      </c>
      <c r="Y426" s="59" t="n">
        <f aca="false">X426*8/$U$423</f>
        <v>0.064</v>
      </c>
      <c r="Z426" s="215" t="n">
        <v>34.73</v>
      </c>
      <c r="AA426" s="30" t="n">
        <f aca="false">Y426*Z426</f>
        <v>2.22272</v>
      </c>
    </row>
    <row r="427" customFormat="false" ht="15" hidden="false" customHeight="false" outlineLevel="0" collapsed="false">
      <c r="S427" s="1" t="s">
        <v>289</v>
      </c>
      <c r="W427" s="57" t="s">
        <v>290</v>
      </c>
      <c r="X427" s="58" t="n">
        <v>2</v>
      </c>
      <c r="Y427" s="59" t="n">
        <f aca="false">X427*8/$U$423</f>
        <v>0.64</v>
      </c>
      <c r="Z427" s="215" t="n">
        <v>28.94</v>
      </c>
      <c r="AA427" s="30" t="n">
        <f aca="false">Y427*Z427</f>
        <v>18.5216</v>
      </c>
    </row>
    <row r="428" customFormat="false" ht="15" hidden="false" customHeight="false" outlineLevel="0" collapsed="false">
      <c r="S428" s="1" t="s">
        <v>675</v>
      </c>
      <c r="W428" s="57" t="s">
        <v>290</v>
      </c>
      <c r="X428" s="58" t="n">
        <v>1</v>
      </c>
      <c r="Y428" s="59" t="n">
        <f aca="false">X428*8/$U$423</f>
        <v>0.32</v>
      </c>
      <c r="Z428" s="1" t="n">
        <v>23.6</v>
      </c>
      <c r="AA428" s="30" t="n">
        <f aca="false">Y428*Z428</f>
        <v>7.552</v>
      </c>
    </row>
    <row r="429" customFormat="false" ht="15" hidden="false" customHeight="false" outlineLevel="0" collapsed="false">
      <c r="S429" s="1" t="s">
        <v>292</v>
      </c>
      <c r="W429" s="57" t="s">
        <v>290</v>
      </c>
      <c r="X429" s="58" t="n">
        <v>7</v>
      </c>
      <c r="Y429" s="59" t="n">
        <f aca="false">X429*8/$U$423</f>
        <v>2.24</v>
      </c>
      <c r="Z429" s="1" t="n">
        <v>21.36</v>
      </c>
      <c r="AA429" s="30" t="n">
        <f aca="false">Y429*Z429</f>
        <v>47.8464</v>
      </c>
    </row>
    <row r="430" customFormat="false" ht="15" hidden="false" customHeight="false" outlineLevel="0" collapsed="false">
      <c r="S430" s="1" t="s">
        <v>1358</v>
      </c>
      <c r="W430" s="57" t="s">
        <v>290</v>
      </c>
      <c r="X430" s="58" t="n">
        <v>1</v>
      </c>
      <c r="Y430" s="59" t="n">
        <f aca="false">X430*8/$U$423</f>
        <v>0.32</v>
      </c>
      <c r="Z430" s="1" t="n">
        <v>29.94</v>
      </c>
      <c r="AA430" s="30" t="n">
        <f aca="false">Y430*Z430</f>
        <v>9.5808</v>
      </c>
    </row>
    <row r="431" customFormat="false" ht="15" hidden="false" customHeight="false" outlineLevel="0" collapsed="false">
      <c r="W431" s="57"/>
      <c r="AA431" s="55" t="n">
        <f aca="false">SUM(AA426:AA430)</f>
        <v>85.72352</v>
      </c>
    </row>
    <row r="432" customFormat="false" ht="15" hidden="false" customHeight="false" outlineLevel="0" collapsed="false">
      <c r="S432" s="56" t="s">
        <v>652</v>
      </c>
    </row>
    <row r="433" customFormat="false" ht="15" hidden="false" customHeight="false" outlineLevel="0" collapsed="false">
      <c r="S433" s="1" t="s">
        <v>692</v>
      </c>
      <c r="W433" s="57" t="s">
        <v>437</v>
      </c>
      <c r="Y433" s="59" t="n">
        <v>0.01</v>
      </c>
      <c r="Z433" s="30" t="n">
        <v>38.22</v>
      </c>
      <c r="AA433" s="30" t="n">
        <f aca="false">Y433*Z433</f>
        <v>0.3822</v>
      </c>
    </row>
    <row r="434" customFormat="false" ht="15" hidden="false" customHeight="false" outlineLevel="0" collapsed="false">
      <c r="S434" s="1" t="s">
        <v>693</v>
      </c>
      <c r="W434" s="57" t="s">
        <v>694</v>
      </c>
      <c r="Y434" s="59" t="n">
        <v>0.008</v>
      </c>
      <c r="Z434" s="30" t="n">
        <v>12.63</v>
      </c>
      <c r="AA434" s="30" t="n">
        <f aca="false">Y434*Z434</f>
        <v>0.10104</v>
      </c>
    </row>
    <row r="435" customFormat="false" ht="15" hidden="false" customHeight="false" outlineLevel="0" collapsed="false">
      <c r="S435" s="1" t="s">
        <v>695</v>
      </c>
      <c r="W435" s="57" t="s">
        <v>437</v>
      </c>
      <c r="Y435" s="59" t="n">
        <v>0.12</v>
      </c>
      <c r="Z435" s="30" t="n">
        <v>13.93</v>
      </c>
      <c r="AA435" s="30" t="n">
        <f aca="false">Y435*Z435</f>
        <v>1.6716</v>
      </c>
    </row>
    <row r="436" customFormat="false" ht="15" hidden="false" customHeight="false" outlineLevel="0" collapsed="false">
      <c r="S436" s="1" t="s">
        <v>696</v>
      </c>
      <c r="W436" s="57" t="s">
        <v>202</v>
      </c>
      <c r="Y436" s="59" t="n">
        <v>0.8</v>
      </c>
      <c r="Z436" s="30" t="n">
        <v>55.08</v>
      </c>
      <c r="AA436" s="30" t="n">
        <f aca="false">Y436*Z436</f>
        <v>44.064</v>
      </c>
    </row>
    <row r="437" customFormat="false" ht="15" hidden="false" customHeight="false" outlineLevel="0" collapsed="false">
      <c r="S437" s="1" t="s">
        <v>697</v>
      </c>
      <c r="W437" s="57" t="s">
        <v>202</v>
      </c>
      <c r="Y437" s="59" t="n">
        <v>0.5</v>
      </c>
      <c r="Z437" s="30" t="n">
        <v>47</v>
      </c>
      <c r="AA437" s="30" t="n">
        <f aca="false">Y437*Z437</f>
        <v>23.5</v>
      </c>
    </row>
    <row r="438" customFormat="false" ht="15" hidden="false" customHeight="false" outlineLevel="0" collapsed="false">
      <c r="S438" s="1" t="s">
        <v>662</v>
      </c>
      <c r="W438" s="57" t="s">
        <v>202</v>
      </c>
      <c r="Y438" s="59" t="n">
        <v>0.18</v>
      </c>
      <c r="Z438" s="30" t="n">
        <v>6.14</v>
      </c>
      <c r="AA438" s="30" t="n">
        <f aca="false">Y438*Z438</f>
        <v>1.1052</v>
      </c>
    </row>
    <row r="439" customFormat="false" ht="15" hidden="false" customHeight="false" outlineLevel="0" collapsed="false">
      <c r="S439" s="1" t="s">
        <v>698</v>
      </c>
      <c r="W439" s="57" t="s">
        <v>306</v>
      </c>
      <c r="Y439" s="59" t="n">
        <v>9.2</v>
      </c>
      <c r="Z439" s="30" t="n">
        <v>24.52</v>
      </c>
      <c r="AA439" s="30" t="n">
        <f aca="false">Y439*Z439</f>
        <v>225.584</v>
      </c>
    </row>
    <row r="440" customFormat="false" ht="15" hidden="false" customHeight="false" outlineLevel="0" collapsed="false">
      <c r="W440" s="57"/>
      <c r="Y440" s="59"/>
      <c r="Z440" s="30"/>
      <c r="AA440" s="55" t="n">
        <f aca="false">SUM(AA433:AA439)</f>
        <v>296.40804</v>
      </c>
    </row>
    <row r="441" customFormat="false" ht="15" hidden="false" customHeight="false" outlineLevel="0" collapsed="false">
      <c r="S441" s="56" t="s">
        <v>308</v>
      </c>
    </row>
    <row r="442" customFormat="false" ht="15" hidden="false" customHeight="false" outlineLevel="0" collapsed="false">
      <c r="S442" s="1" t="s">
        <v>699</v>
      </c>
      <c r="W442" s="57" t="s">
        <v>337</v>
      </c>
      <c r="X442" s="58" t="n">
        <v>1</v>
      </c>
      <c r="Y442" s="59" t="n">
        <f aca="false">X442*8/$U$423</f>
        <v>0.32</v>
      </c>
      <c r="Z442" s="30" t="n">
        <v>25.63</v>
      </c>
      <c r="AA442" s="30" t="n">
        <f aca="false">Y442*Z442</f>
        <v>8.2016</v>
      </c>
    </row>
    <row r="443" customFormat="false" ht="15" hidden="false" customHeight="false" outlineLevel="0" collapsed="false">
      <c r="S443" s="1" t="s">
        <v>700</v>
      </c>
      <c r="W443" s="57" t="s">
        <v>337</v>
      </c>
      <c r="X443" s="58" t="n">
        <v>1</v>
      </c>
      <c r="Y443" s="59" t="n">
        <f aca="false">X443*8/$U$423</f>
        <v>0.32</v>
      </c>
      <c r="Z443" s="30" t="n">
        <v>7.07</v>
      </c>
      <c r="AA443" s="30" t="n">
        <f aca="false">Y443*Z443</f>
        <v>2.2624</v>
      </c>
    </row>
    <row r="444" customFormat="false" ht="15" hidden="false" customHeight="false" outlineLevel="0" collapsed="false">
      <c r="S444" s="1" t="s">
        <v>309</v>
      </c>
      <c r="W444" s="57" t="s">
        <v>310</v>
      </c>
      <c r="Y444" s="59" t="n">
        <v>5</v>
      </c>
      <c r="Z444" s="30" t="n">
        <f aca="false">AA431</f>
        <v>85.72352</v>
      </c>
      <c r="AA444" s="30" t="n">
        <f aca="false">Y444%*Z444</f>
        <v>4.286176</v>
      </c>
    </row>
    <row r="445" customFormat="false" ht="15" hidden="false" customHeight="false" outlineLevel="0" collapsed="false">
      <c r="R445" s="62"/>
      <c r="S445" s="62"/>
      <c r="T445" s="62"/>
      <c r="U445" s="62"/>
      <c r="V445" s="62"/>
      <c r="W445" s="62"/>
      <c r="X445" s="62"/>
      <c r="Y445" s="62"/>
      <c r="Z445" s="83"/>
      <c r="AA445" s="63" t="n">
        <f aca="false">SUM(AA442:AA444)</f>
        <v>14.750176</v>
      </c>
    </row>
    <row r="447" customFormat="false" ht="15" hidden="false" customHeight="false" outlineLevel="0" collapsed="false">
      <c r="R447" s="14" t="s">
        <v>276</v>
      </c>
      <c r="S447" s="14"/>
      <c r="T447" s="214" t="s">
        <v>701</v>
      </c>
      <c r="U447" s="14"/>
    </row>
    <row r="448" customFormat="false" ht="15" hidden="false" customHeight="false" outlineLevel="0" collapsed="false">
      <c r="R448" s="14" t="s">
        <v>277</v>
      </c>
      <c r="S448" s="14" t="s">
        <v>278</v>
      </c>
      <c r="T448" s="38" t="s">
        <v>279</v>
      </c>
      <c r="U448" s="54" t="n">
        <v>35</v>
      </c>
      <c r="V448" s="38" t="s">
        <v>280</v>
      </c>
      <c r="W448" s="54" t="n">
        <f aca="false">U448</f>
        <v>35</v>
      </c>
      <c r="X448" s="14" t="s">
        <v>281</v>
      </c>
      <c r="Z448" s="38" t="s">
        <v>132</v>
      </c>
      <c r="AA448" s="55" t="n">
        <f aca="false">AA454+AA459+AA462</f>
        <v>45.7966</v>
      </c>
    </row>
    <row r="449" customFormat="false" ht="15" hidden="false" customHeight="false" outlineLevel="0" collapsed="false">
      <c r="R449" s="14" t="s">
        <v>282</v>
      </c>
      <c r="S449" s="14" t="s">
        <v>283</v>
      </c>
      <c r="W449" s="38" t="s">
        <v>121</v>
      </c>
      <c r="X449" s="38" t="s">
        <v>284</v>
      </c>
      <c r="Y449" s="38" t="s">
        <v>285</v>
      </c>
      <c r="Z449" s="38" t="s">
        <v>286</v>
      </c>
      <c r="AA449" s="38" t="s">
        <v>287</v>
      </c>
    </row>
    <row r="450" customFormat="false" ht="15" hidden="false" customHeight="false" outlineLevel="0" collapsed="false">
      <c r="S450" s="56" t="s">
        <v>288</v>
      </c>
    </row>
    <row r="451" customFormat="false" ht="15" hidden="false" customHeight="false" outlineLevel="0" collapsed="false">
      <c r="S451" s="1" t="s">
        <v>289</v>
      </c>
      <c r="W451" s="57" t="s">
        <v>290</v>
      </c>
      <c r="X451" s="58" t="n">
        <v>2</v>
      </c>
      <c r="Y451" s="59" t="n">
        <f aca="false">X451*8/$U$448</f>
        <v>0.457142857142857</v>
      </c>
      <c r="Z451" s="30" t="n">
        <v>28.94</v>
      </c>
      <c r="AA451" s="30" t="n">
        <f aca="false">Y451*Z451</f>
        <v>13.2297142857143</v>
      </c>
    </row>
    <row r="452" customFormat="false" ht="15" hidden="false" customHeight="false" outlineLevel="0" collapsed="false">
      <c r="S452" s="1" t="s">
        <v>675</v>
      </c>
      <c r="W452" s="57" t="s">
        <v>290</v>
      </c>
      <c r="X452" s="58" t="n">
        <v>1</v>
      </c>
      <c r="Y452" s="59" t="n">
        <f aca="false">X452*8/$U$448</f>
        <v>0.228571428571429</v>
      </c>
      <c r="Z452" s="1" t="n">
        <v>23.6</v>
      </c>
      <c r="AA452" s="30" t="n">
        <f aca="false">Y452*Z452</f>
        <v>5.39428571428571</v>
      </c>
    </row>
    <row r="453" customFormat="false" ht="15" hidden="false" customHeight="false" outlineLevel="0" collapsed="false">
      <c r="S453" s="1" t="s">
        <v>292</v>
      </c>
      <c r="W453" s="57" t="s">
        <v>290</v>
      </c>
      <c r="X453" s="58" t="n">
        <v>1</v>
      </c>
      <c r="Y453" s="59" t="n">
        <f aca="false">X453*8/$U$448</f>
        <v>0.228571428571429</v>
      </c>
      <c r="Z453" s="1" t="n">
        <v>21.36</v>
      </c>
      <c r="AA453" s="30" t="n">
        <f aca="false">Y453*Z453</f>
        <v>4.88228571428571</v>
      </c>
    </row>
    <row r="454" customFormat="false" ht="15" hidden="false" customHeight="false" outlineLevel="0" collapsed="false">
      <c r="W454" s="57"/>
      <c r="AA454" s="55" t="n">
        <f aca="false">SUM(AA451:AA453)</f>
        <v>23.5062857142857</v>
      </c>
    </row>
    <row r="455" customFormat="false" ht="15" hidden="false" customHeight="false" outlineLevel="0" collapsed="false">
      <c r="S455" s="56" t="s">
        <v>652</v>
      </c>
    </row>
    <row r="456" customFormat="false" ht="15" hidden="false" customHeight="false" outlineLevel="0" collapsed="false">
      <c r="S456" s="1" t="s">
        <v>685</v>
      </c>
      <c r="W456" s="57" t="s">
        <v>295</v>
      </c>
      <c r="Y456" s="59" t="n">
        <v>0.1</v>
      </c>
      <c r="Z456" s="30" t="n">
        <v>2.64</v>
      </c>
      <c r="AA456" s="30" t="n">
        <f aca="false">Y456*Z456</f>
        <v>0.264</v>
      </c>
    </row>
    <row r="457" customFormat="false" ht="15" hidden="false" customHeight="false" outlineLevel="0" collapsed="false">
      <c r="S457" s="1" t="s">
        <v>300</v>
      </c>
      <c r="W457" s="57" t="s">
        <v>295</v>
      </c>
      <c r="Y457" s="59" t="n">
        <v>0.1</v>
      </c>
      <c r="Z457" s="30" t="n">
        <v>5.51</v>
      </c>
      <c r="AA457" s="30" t="n">
        <f aca="false">Y457*Z457</f>
        <v>0.551</v>
      </c>
    </row>
    <row r="458" customFormat="false" ht="15" hidden="false" customHeight="false" outlineLevel="0" collapsed="false">
      <c r="S458" s="1" t="s">
        <v>667</v>
      </c>
      <c r="W458" s="57" t="s">
        <v>295</v>
      </c>
      <c r="Y458" s="59" t="n">
        <v>3.5</v>
      </c>
      <c r="Z458" s="30" t="n">
        <v>5.8</v>
      </c>
      <c r="AA458" s="30" t="n">
        <f aca="false">Y458*Z458</f>
        <v>20.3</v>
      </c>
    </row>
    <row r="459" customFormat="false" ht="15" hidden="false" customHeight="false" outlineLevel="0" collapsed="false">
      <c r="AA459" s="55" t="n">
        <f aca="false">SUM(AA456:AA458)</f>
        <v>21.115</v>
      </c>
    </row>
    <row r="460" customFormat="false" ht="15" hidden="false" customHeight="false" outlineLevel="0" collapsed="false">
      <c r="S460" s="56" t="s">
        <v>308</v>
      </c>
    </row>
    <row r="461" customFormat="false" ht="15" hidden="false" customHeight="false" outlineLevel="0" collapsed="false">
      <c r="S461" s="1" t="s">
        <v>309</v>
      </c>
      <c r="W461" s="57" t="s">
        <v>310</v>
      </c>
      <c r="Y461" s="59" t="n">
        <v>5</v>
      </c>
      <c r="Z461" s="30" t="n">
        <f aca="false">AA454</f>
        <v>23.5062857142857</v>
      </c>
      <c r="AA461" s="30" t="n">
        <f aca="false">Y461%*Z461</f>
        <v>1.17531428571429</v>
      </c>
    </row>
    <row r="462" customFormat="false" ht="15" hidden="false" customHeight="false" outlineLevel="0" collapsed="false">
      <c r="R462" s="62"/>
      <c r="S462" s="62"/>
      <c r="T462" s="62"/>
      <c r="U462" s="62"/>
      <c r="V462" s="62"/>
      <c r="W462" s="62"/>
      <c r="X462" s="62"/>
      <c r="Y462" s="62"/>
      <c r="Z462" s="62"/>
      <c r="AA462" s="63" t="n">
        <f aca="false">SUM(AA461)</f>
        <v>1.17531428571429</v>
      </c>
    </row>
    <row r="464" customFormat="false" ht="15" hidden="false" customHeight="false" outlineLevel="0" collapsed="false">
      <c r="R464" s="216" t="s">
        <v>276</v>
      </c>
      <c r="S464" s="216"/>
      <c r="T464" s="214" t="s">
        <v>561</v>
      </c>
    </row>
    <row r="465" customFormat="false" ht="15" hidden="false" customHeight="false" outlineLevel="0" collapsed="false">
      <c r="R465" s="216" t="s">
        <v>277</v>
      </c>
      <c r="S465" s="216" t="s">
        <v>702</v>
      </c>
      <c r="T465" s="217" t="s">
        <v>279</v>
      </c>
      <c r="U465" s="218" t="n">
        <v>250</v>
      </c>
      <c r="V465" s="217" t="s">
        <v>280</v>
      </c>
      <c r="W465" s="218" t="n">
        <f aca="false">U465</f>
        <v>250</v>
      </c>
      <c r="X465" s="216" t="s">
        <v>281</v>
      </c>
      <c r="Z465" s="217" t="s">
        <v>703</v>
      </c>
      <c r="AA465" s="126" t="n">
        <f aca="false">AA471+AA475+AA478</f>
        <v>5.4833634845</v>
      </c>
    </row>
    <row r="466" customFormat="false" ht="15" hidden="false" customHeight="false" outlineLevel="0" collapsed="false">
      <c r="R466" s="216" t="s">
        <v>282</v>
      </c>
      <c r="S466" s="216" t="s">
        <v>283</v>
      </c>
      <c r="W466" s="217" t="s">
        <v>121</v>
      </c>
      <c r="X466" s="217" t="s">
        <v>284</v>
      </c>
      <c r="Y466" s="217" t="s">
        <v>285</v>
      </c>
      <c r="Z466" s="217" t="s">
        <v>286</v>
      </c>
      <c r="AA466" s="217" t="s">
        <v>287</v>
      </c>
    </row>
    <row r="467" customFormat="false" ht="15" hidden="false" customHeight="false" outlineLevel="0" collapsed="false">
      <c r="S467" s="127" t="s">
        <v>288</v>
      </c>
      <c r="X467" s="58"/>
    </row>
    <row r="468" customFormat="false" ht="15" hidden="false" customHeight="false" outlineLevel="0" collapsed="false">
      <c r="S468" s="1" t="s">
        <v>289</v>
      </c>
      <c r="W468" s="57" t="s">
        <v>290</v>
      </c>
      <c r="X468" s="58" t="n">
        <v>1</v>
      </c>
      <c r="Y468" s="101" t="n">
        <f aca="false">X468*8/$U$465</f>
        <v>0.032</v>
      </c>
      <c r="Z468" s="215" t="n">
        <v>29.99</v>
      </c>
      <c r="AA468" s="30" t="n">
        <f aca="false">Y468*Z468</f>
        <v>0.95968</v>
      </c>
    </row>
    <row r="469" customFormat="false" ht="15" hidden="false" customHeight="false" outlineLevel="0" collapsed="false">
      <c r="S469" s="1" t="s">
        <v>675</v>
      </c>
      <c r="W469" s="57" t="s">
        <v>290</v>
      </c>
      <c r="X469" s="58" t="n">
        <v>1</v>
      </c>
      <c r="Y469" s="101" t="n">
        <f aca="false">X469*8/$U$465</f>
        <v>0.032</v>
      </c>
      <c r="Z469" s="1" t="n">
        <v>21.36</v>
      </c>
      <c r="AA469" s="30" t="n">
        <f aca="false">Y469*Z469</f>
        <v>0.68352</v>
      </c>
    </row>
    <row r="470" customFormat="false" ht="15" hidden="false" customHeight="false" outlineLevel="0" collapsed="false">
      <c r="S470" s="1" t="s">
        <v>649</v>
      </c>
      <c r="W470" s="57" t="s">
        <v>290</v>
      </c>
      <c r="X470" s="58" t="n">
        <v>0.1</v>
      </c>
      <c r="Y470" s="101" t="n">
        <f aca="false">X470*8/$U$465</f>
        <v>0.0032</v>
      </c>
      <c r="Z470" s="215" t="n">
        <v>35.99</v>
      </c>
      <c r="AA470" s="30" t="n">
        <f aca="false">Y470*Z470</f>
        <v>0.115168</v>
      </c>
    </row>
    <row r="471" customFormat="false" ht="15" hidden="false" customHeight="false" outlineLevel="0" collapsed="false">
      <c r="W471" s="57"/>
      <c r="X471" s="58"/>
      <c r="AA471" s="126" t="n">
        <f aca="false">SUM(AA468:AA470)</f>
        <v>1.758368</v>
      </c>
    </row>
    <row r="472" customFormat="false" ht="15" hidden="false" customHeight="false" outlineLevel="0" collapsed="false">
      <c r="S472" s="127" t="s">
        <v>293</v>
      </c>
      <c r="W472" s="57"/>
      <c r="X472" s="58"/>
      <c r="Y472" s="101"/>
    </row>
    <row r="473" customFormat="false" ht="15" hidden="false" customHeight="false" outlineLevel="0" collapsed="false">
      <c r="S473" s="1" t="s">
        <v>294</v>
      </c>
      <c r="W473" s="57" t="s">
        <v>295</v>
      </c>
      <c r="X473" s="58"/>
      <c r="Y473" s="101" t="n">
        <v>0.03</v>
      </c>
      <c r="Z473" s="30" t="n">
        <v>2.64</v>
      </c>
      <c r="AA473" s="30" t="n">
        <f aca="false">Y473*Z473</f>
        <v>0.0792</v>
      </c>
    </row>
    <row r="474" customFormat="false" ht="15" hidden="false" customHeight="false" outlineLevel="0" collapsed="false">
      <c r="S474" s="1" t="s">
        <v>676</v>
      </c>
      <c r="W474" s="57" t="s">
        <v>295</v>
      </c>
      <c r="X474" s="58"/>
      <c r="Y474" s="101" t="n">
        <v>1.05</v>
      </c>
      <c r="Z474" s="30" t="n">
        <f aca="false">1012.71*3.379/1000</f>
        <v>3.42194709</v>
      </c>
      <c r="AA474" s="30" t="n">
        <f aca="false">Y474*Z474</f>
        <v>3.5930444445</v>
      </c>
    </row>
    <row r="475" customFormat="false" ht="15" hidden="false" customHeight="false" outlineLevel="0" collapsed="false">
      <c r="W475" s="57"/>
      <c r="X475" s="58"/>
      <c r="AA475" s="126" t="n">
        <f aca="false">SUM(AA473:AA474)</f>
        <v>3.6722444445</v>
      </c>
    </row>
    <row r="476" customFormat="false" ht="15" hidden="false" customHeight="false" outlineLevel="0" collapsed="false">
      <c r="S476" s="127" t="s">
        <v>317</v>
      </c>
      <c r="W476" s="57"/>
      <c r="X476" s="58"/>
    </row>
    <row r="477" customFormat="false" ht="15" hidden="false" customHeight="false" outlineLevel="0" collapsed="false">
      <c r="S477" s="1" t="s">
        <v>309</v>
      </c>
      <c r="W477" s="57" t="s">
        <v>310</v>
      </c>
      <c r="Y477" s="59" t="n">
        <v>3</v>
      </c>
      <c r="Z477" s="30" t="n">
        <f aca="false">AA471</f>
        <v>1.758368</v>
      </c>
      <c r="AA477" s="30" t="n">
        <f aca="false">Y477%*Z477</f>
        <v>0.05275104</v>
      </c>
    </row>
    <row r="478" customFormat="false" ht="15" hidden="false" customHeight="false" outlineLevel="0" collapsed="false">
      <c r="R478" s="62"/>
      <c r="S478" s="62"/>
      <c r="T478" s="62"/>
      <c r="U478" s="62"/>
      <c r="V478" s="62"/>
      <c r="W478" s="62"/>
      <c r="X478" s="62"/>
      <c r="Y478" s="62"/>
      <c r="Z478" s="62"/>
      <c r="AA478" s="128" t="n">
        <f aca="false">SUM(AA477:AA477)</f>
        <v>0.05275104</v>
      </c>
    </row>
    <row r="480" customFormat="false" ht="15" hidden="false" customHeight="false" outlineLevel="0" collapsed="false">
      <c r="R480" s="216" t="s">
        <v>276</v>
      </c>
      <c r="S480" s="216"/>
      <c r="T480" s="216" t="s">
        <v>563</v>
      </c>
    </row>
    <row r="481" customFormat="false" ht="15" hidden="false" customHeight="false" outlineLevel="0" collapsed="false">
      <c r="R481" s="216" t="s">
        <v>277</v>
      </c>
      <c r="S481" s="216" t="s">
        <v>702</v>
      </c>
      <c r="T481" s="217" t="s">
        <v>279</v>
      </c>
      <c r="U481" s="218" t="n">
        <v>1600</v>
      </c>
      <c r="V481" s="217" t="s">
        <v>280</v>
      </c>
      <c r="W481" s="218" t="n">
        <f aca="false">U481</f>
        <v>1600</v>
      </c>
      <c r="X481" s="216" t="s">
        <v>281</v>
      </c>
      <c r="Z481" s="217" t="s">
        <v>703</v>
      </c>
      <c r="AA481" s="126" t="n">
        <f aca="false">AA487+AA491+AA494</f>
        <v>2.715605</v>
      </c>
    </row>
    <row r="482" customFormat="false" ht="15" hidden="false" customHeight="false" outlineLevel="0" collapsed="false">
      <c r="R482" s="216" t="s">
        <v>282</v>
      </c>
      <c r="S482" s="216" t="s">
        <v>283</v>
      </c>
      <c r="W482" s="217" t="s">
        <v>121</v>
      </c>
      <c r="X482" s="217" t="s">
        <v>284</v>
      </c>
      <c r="Y482" s="217" t="s">
        <v>285</v>
      </c>
      <c r="Z482" s="217" t="s">
        <v>286</v>
      </c>
      <c r="AA482" s="217" t="s">
        <v>287</v>
      </c>
    </row>
    <row r="483" customFormat="false" ht="15" hidden="false" customHeight="false" outlineLevel="0" collapsed="false">
      <c r="S483" s="127" t="s">
        <v>288</v>
      </c>
      <c r="X483" s="58"/>
    </row>
    <row r="484" customFormat="false" ht="15" hidden="false" customHeight="false" outlineLevel="0" collapsed="false">
      <c r="S484" s="1" t="s">
        <v>289</v>
      </c>
      <c r="W484" s="57" t="s">
        <v>290</v>
      </c>
      <c r="X484" s="58" t="n">
        <v>1</v>
      </c>
      <c r="Y484" s="59" t="n">
        <f aca="false">X484*8/$U$481</f>
        <v>0.005</v>
      </c>
      <c r="Z484" s="1" t="n">
        <v>28.94</v>
      </c>
      <c r="AA484" s="30" t="n">
        <f aca="false">Y484*Z484</f>
        <v>0.1447</v>
      </c>
    </row>
    <row r="485" customFormat="false" ht="15" hidden="false" customHeight="false" outlineLevel="0" collapsed="false">
      <c r="S485" s="1" t="s">
        <v>675</v>
      </c>
      <c r="W485" s="57" t="s">
        <v>290</v>
      </c>
      <c r="X485" s="58" t="n">
        <v>1</v>
      </c>
      <c r="Y485" s="59" t="n">
        <f aca="false">X485*8/$U$481</f>
        <v>0.005</v>
      </c>
      <c r="Z485" s="1" t="n">
        <v>23.6</v>
      </c>
      <c r="AA485" s="30" t="n">
        <f aca="false">Y485*Z485</f>
        <v>0.118</v>
      </c>
    </row>
    <row r="486" customFormat="false" ht="15" hidden="false" customHeight="false" outlineLevel="0" collapsed="false">
      <c r="S486" s="1" t="s">
        <v>292</v>
      </c>
      <c r="W486" s="57" t="s">
        <v>290</v>
      </c>
      <c r="X486" s="58" t="n">
        <v>6</v>
      </c>
      <c r="Y486" s="59" t="n">
        <f aca="false">X486*8/$U$481</f>
        <v>0.03</v>
      </c>
      <c r="Z486" s="1" t="n">
        <v>21.36</v>
      </c>
      <c r="AA486" s="30" t="n">
        <f aca="false">Y486*Z486</f>
        <v>0.6408</v>
      </c>
    </row>
    <row r="487" customFormat="false" ht="15" hidden="false" customHeight="false" outlineLevel="0" collapsed="false">
      <c r="W487" s="57"/>
      <c r="X487" s="58"/>
      <c r="AA487" s="126" t="n">
        <f aca="false">SUM(AA484:AA486)</f>
        <v>0.9035</v>
      </c>
    </row>
    <row r="488" customFormat="false" ht="15" hidden="false" customHeight="false" outlineLevel="0" collapsed="false">
      <c r="S488" s="127" t="s">
        <v>293</v>
      </c>
      <c r="W488" s="57"/>
      <c r="X488" s="58"/>
      <c r="Y488" s="101"/>
    </row>
    <row r="489" customFormat="false" ht="15" hidden="false" customHeight="false" outlineLevel="0" collapsed="false">
      <c r="S489" s="1" t="s">
        <v>705</v>
      </c>
      <c r="W489" s="57" t="s">
        <v>148</v>
      </c>
      <c r="X489" s="58"/>
      <c r="Y489" s="101" t="n">
        <v>1.05</v>
      </c>
      <c r="Z489" s="30" t="n">
        <v>1.7</v>
      </c>
      <c r="AA489" s="30" t="n">
        <f aca="false">Y489*Z489</f>
        <v>1.785</v>
      </c>
    </row>
    <row r="490" customFormat="false" ht="15" hidden="false" customHeight="false" outlineLevel="0" collapsed="false">
      <c r="W490" s="57"/>
      <c r="X490" s="58"/>
      <c r="Y490" s="101"/>
      <c r="Z490" s="30"/>
      <c r="AA490" s="30"/>
    </row>
    <row r="491" customFormat="false" ht="15" hidden="false" customHeight="false" outlineLevel="0" collapsed="false">
      <c r="W491" s="57"/>
      <c r="X491" s="58"/>
      <c r="AA491" s="126" t="n">
        <f aca="false">SUM(AA489:AA490)</f>
        <v>1.785</v>
      </c>
    </row>
    <row r="492" customFormat="false" ht="15" hidden="false" customHeight="false" outlineLevel="0" collapsed="false">
      <c r="S492" s="127" t="s">
        <v>317</v>
      </c>
      <c r="W492" s="57"/>
      <c r="X492" s="58"/>
    </row>
    <row r="493" customFormat="false" ht="15" hidden="false" customHeight="false" outlineLevel="0" collapsed="false">
      <c r="S493" s="1" t="s">
        <v>309</v>
      </c>
      <c r="W493" s="57" t="s">
        <v>310</v>
      </c>
      <c r="Y493" s="59" t="n">
        <v>3</v>
      </c>
      <c r="Z493" s="30" t="n">
        <f aca="false">AA487</f>
        <v>0.9035</v>
      </c>
      <c r="AA493" s="30" t="n">
        <f aca="false">Y493%*Z493</f>
        <v>0.027105</v>
      </c>
    </row>
    <row r="494" customFormat="false" ht="15" hidden="false" customHeight="false" outlineLevel="0" collapsed="false">
      <c r="R494" s="62"/>
      <c r="S494" s="62"/>
      <c r="T494" s="62"/>
      <c r="U494" s="62"/>
      <c r="V494" s="62"/>
      <c r="W494" s="62"/>
      <c r="X494" s="62"/>
      <c r="Y494" s="62"/>
      <c r="Z494" s="62"/>
      <c r="AA494" s="128" t="n">
        <f aca="false">SUM(AA493:AA493)</f>
        <v>0.027105</v>
      </c>
    </row>
    <row r="496" customFormat="false" ht="15" hidden="false" customHeight="false" outlineLevel="0" collapsed="false">
      <c r="R496" s="14" t="s">
        <v>276</v>
      </c>
      <c r="S496" s="14"/>
      <c r="T496" s="14" t="s">
        <v>568</v>
      </c>
      <c r="U496" s="14"/>
    </row>
    <row r="497" customFormat="false" ht="15" hidden="false" customHeight="false" outlineLevel="0" collapsed="false">
      <c r="R497" s="14" t="s">
        <v>277</v>
      </c>
      <c r="S497" s="14" t="s">
        <v>415</v>
      </c>
      <c r="T497" s="38" t="s">
        <v>279</v>
      </c>
      <c r="U497" s="54" t="n">
        <v>20</v>
      </c>
      <c r="V497" s="38" t="s">
        <v>280</v>
      </c>
      <c r="W497" s="54" t="n">
        <f aca="false">U497</f>
        <v>20</v>
      </c>
      <c r="X497" s="14" t="s">
        <v>281</v>
      </c>
      <c r="Z497" s="38" t="s">
        <v>202</v>
      </c>
      <c r="AA497" s="55" t="n">
        <f aca="false">AA506+AA513+AA519</f>
        <v>471.73034</v>
      </c>
    </row>
    <row r="498" customFormat="false" ht="15" hidden="false" customHeight="false" outlineLevel="0" collapsed="false">
      <c r="R498" s="14" t="s">
        <v>282</v>
      </c>
      <c r="S498" s="14" t="s">
        <v>283</v>
      </c>
      <c r="W498" s="38" t="s">
        <v>121</v>
      </c>
      <c r="X498" s="38" t="s">
        <v>284</v>
      </c>
      <c r="Y498" s="38" t="s">
        <v>285</v>
      </c>
      <c r="Z498" s="38" t="s">
        <v>286</v>
      </c>
      <c r="AA498" s="38" t="s">
        <v>287</v>
      </c>
    </row>
    <row r="499" customFormat="false" ht="15" hidden="false" customHeight="false" outlineLevel="0" collapsed="false">
      <c r="S499" s="56" t="s">
        <v>288</v>
      </c>
    </row>
    <row r="500" customFormat="false" ht="15" hidden="false" customHeight="false" outlineLevel="0" collapsed="false">
      <c r="W500" s="57"/>
      <c r="X500" s="58"/>
      <c r="Y500" s="59"/>
      <c r="Z500" s="215"/>
      <c r="AA500" s="30"/>
    </row>
    <row r="501" customFormat="false" ht="15" hidden="false" customHeight="false" outlineLevel="0" collapsed="false">
      <c r="S501" s="1" t="s">
        <v>649</v>
      </c>
      <c r="W501" s="57" t="s">
        <v>290</v>
      </c>
      <c r="X501" s="58" t="n">
        <v>0.2</v>
      </c>
      <c r="Y501" s="59" t="n">
        <f aca="false">X501*8/$U$497</f>
        <v>0.08</v>
      </c>
      <c r="Z501" s="1" t="n">
        <v>34.73</v>
      </c>
      <c r="AA501" s="30" t="n">
        <f aca="false">Y501*Z501</f>
        <v>2.7784</v>
      </c>
    </row>
    <row r="502" customFormat="false" ht="15" hidden="false" customHeight="false" outlineLevel="0" collapsed="false">
      <c r="S502" s="1" t="s">
        <v>289</v>
      </c>
      <c r="W502" s="57" t="s">
        <v>290</v>
      </c>
      <c r="X502" s="58" t="n">
        <v>2</v>
      </c>
      <c r="Y502" s="59" t="n">
        <f aca="false">X502*8/$U$497</f>
        <v>0.8</v>
      </c>
      <c r="Z502" s="1" t="n">
        <v>28.94</v>
      </c>
      <c r="AA502" s="30" t="n">
        <f aca="false">Y502*Z502</f>
        <v>23.152</v>
      </c>
    </row>
    <row r="503" customFormat="false" ht="15" hidden="false" customHeight="false" outlineLevel="0" collapsed="false">
      <c r="S503" s="1" t="s">
        <v>675</v>
      </c>
      <c r="W503" s="57" t="s">
        <v>290</v>
      </c>
      <c r="X503" s="58" t="n">
        <v>2</v>
      </c>
      <c r="Y503" s="59" t="n">
        <f aca="false">X503*8/$U$497</f>
        <v>0.8</v>
      </c>
      <c r="Z503" s="1" t="n">
        <v>23.6</v>
      </c>
      <c r="AA503" s="30" t="n">
        <f aca="false">Y503*Z503</f>
        <v>18.88</v>
      </c>
    </row>
    <row r="504" customFormat="false" ht="15" hidden="false" customHeight="false" outlineLevel="0" collapsed="false">
      <c r="S504" s="1" t="s">
        <v>292</v>
      </c>
      <c r="W504" s="57" t="s">
        <v>290</v>
      </c>
      <c r="X504" s="58" t="n">
        <v>12</v>
      </c>
      <c r="Y504" s="59" t="n">
        <f aca="false">X504*8/$U$497</f>
        <v>4.8</v>
      </c>
      <c r="Z504" s="1" t="n">
        <v>21.36</v>
      </c>
      <c r="AA504" s="30" t="n">
        <f aca="false">Y504*Z504</f>
        <v>102.528</v>
      </c>
    </row>
    <row r="505" customFormat="false" ht="15" hidden="false" customHeight="false" outlineLevel="0" collapsed="false">
      <c r="S505" s="1" t="s">
        <v>1358</v>
      </c>
      <c r="W505" s="57" t="s">
        <v>290</v>
      </c>
      <c r="X505" s="58" t="n">
        <v>2</v>
      </c>
      <c r="Y505" s="59" t="n">
        <f aca="false">X505*8/$U$497</f>
        <v>0.8</v>
      </c>
      <c r="Z505" s="1" t="n">
        <v>29.94</v>
      </c>
      <c r="AA505" s="30" t="n">
        <f aca="false">Y505*Z505</f>
        <v>23.952</v>
      </c>
    </row>
    <row r="506" customFormat="false" ht="15" hidden="false" customHeight="false" outlineLevel="0" collapsed="false">
      <c r="W506" s="57"/>
      <c r="AA506" s="55" t="n">
        <f aca="false">SUM(AA500:AA504)</f>
        <v>147.3384</v>
      </c>
    </row>
    <row r="507" customFormat="false" ht="15" hidden="false" customHeight="false" outlineLevel="0" collapsed="false">
      <c r="S507" s="56" t="s">
        <v>652</v>
      </c>
    </row>
    <row r="508" customFormat="false" ht="15" hidden="false" customHeight="false" outlineLevel="0" collapsed="false">
      <c r="S508" s="1" t="s">
        <v>695</v>
      </c>
      <c r="W508" s="57" t="s">
        <v>437</v>
      </c>
      <c r="Y508" s="59" t="n">
        <v>0.186</v>
      </c>
      <c r="Z508" s="30" t="n">
        <v>13.93</v>
      </c>
      <c r="AA508" s="30" t="n">
        <f aca="false">Y508*Z508</f>
        <v>2.59098</v>
      </c>
    </row>
    <row r="509" customFormat="false" ht="15" hidden="false" customHeight="false" outlineLevel="0" collapsed="false">
      <c r="S509" s="1" t="s">
        <v>696</v>
      </c>
      <c r="W509" s="57" t="s">
        <v>202</v>
      </c>
      <c r="Y509" s="59" t="n">
        <v>0.53</v>
      </c>
      <c r="Z509" s="30" t="n">
        <v>55.08</v>
      </c>
      <c r="AA509" s="30" t="n">
        <f aca="false">Y509*Z509</f>
        <v>29.1924</v>
      </c>
    </row>
    <row r="510" customFormat="false" ht="15" hidden="false" customHeight="false" outlineLevel="0" collapsed="false">
      <c r="S510" s="1" t="s">
        <v>697</v>
      </c>
      <c r="W510" s="57" t="s">
        <v>202</v>
      </c>
      <c r="Y510" s="59" t="n">
        <v>0.52</v>
      </c>
      <c r="Z510" s="30" t="n">
        <v>47</v>
      </c>
      <c r="AA510" s="30" t="n">
        <f aca="false">Y510*Z510</f>
        <v>24.44</v>
      </c>
    </row>
    <row r="511" customFormat="false" ht="15" hidden="false" customHeight="false" outlineLevel="0" collapsed="false">
      <c r="S511" s="1" t="s">
        <v>662</v>
      </c>
      <c r="W511" s="57" t="s">
        <v>202</v>
      </c>
      <c r="Y511" s="59" t="n">
        <v>0.186</v>
      </c>
      <c r="Z511" s="30" t="n">
        <v>6.14</v>
      </c>
      <c r="AA511" s="30" t="n">
        <f aca="false">Y511*Z511</f>
        <v>1.14204</v>
      </c>
    </row>
    <row r="512" customFormat="false" ht="15" hidden="false" customHeight="false" outlineLevel="0" collapsed="false">
      <c r="S512" s="1" t="s">
        <v>698</v>
      </c>
      <c r="W512" s="57" t="s">
        <v>306</v>
      </c>
      <c r="Y512" s="59" t="n">
        <v>9.73</v>
      </c>
      <c r="Z512" s="30" t="n">
        <v>24.52</v>
      </c>
      <c r="AA512" s="30" t="n">
        <f aca="false">Y512*Z512</f>
        <v>238.5796</v>
      </c>
    </row>
    <row r="513" customFormat="false" ht="15" hidden="false" customHeight="false" outlineLevel="0" collapsed="false">
      <c r="W513" s="57"/>
      <c r="Y513" s="59"/>
      <c r="Z513" s="30"/>
      <c r="AA513" s="55" t="n">
        <f aca="false">SUM(AA508:AA512)</f>
        <v>295.94502</v>
      </c>
    </row>
    <row r="514" customFormat="false" ht="15" hidden="false" customHeight="false" outlineLevel="0" collapsed="false">
      <c r="S514" s="56" t="s">
        <v>308</v>
      </c>
    </row>
    <row r="515" customFormat="false" ht="15" hidden="false" customHeight="false" outlineLevel="0" collapsed="false">
      <c r="S515" s="1" t="s">
        <v>699</v>
      </c>
      <c r="W515" s="57" t="s">
        <v>337</v>
      </c>
      <c r="X515" s="58" t="n">
        <v>1</v>
      </c>
      <c r="Y515" s="59" t="n">
        <f aca="false">X515*8/$U$497</f>
        <v>0.4</v>
      </c>
      <c r="Z515" s="30" t="n">
        <v>25.63</v>
      </c>
      <c r="AA515" s="30" t="n">
        <f aca="false">Y515*Z515</f>
        <v>10.252</v>
      </c>
    </row>
    <row r="516" customFormat="false" ht="15" hidden="false" customHeight="false" outlineLevel="0" collapsed="false">
      <c r="S516" s="1" t="s">
        <v>700</v>
      </c>
      <c r="W516" s="57" t="s">
        <v>337</v>
      </c>
      <c r="X516" s="58" t="n">
        <v>1</v>
      </c>
      <c r="Y516" s="59" t="n">
        <f aca="false">X516*8/$U$497</f>
        <v>0.4</v>
      </c>
      <c r="Z516" s="30" t="n">
        <v>7.07</v>
      </c>
      <c r="AA516" s="30" t="n">
        <f aca="false">Y516*Z516</f>
        <v>2.828</v>
      </c>
    </row>
    <row r="517" customFormat="false" ht="15" hidden="false" customHeight="false" outlineLevel="0" collapsed="false">
      <c r="S517" s="1" t="s">
        <v>706</v>
      </c>
      <c r="W517" s="57" t="s">
        <v>337</v>
      </c>
      <c r="X517" s="58" t="n">
        <v>1</v>
      </c>
      <c r="Y517" s="59" t="n">
        <f aca="false">X517*8/$U$497</f>
        <v>0.4</v>
      </c>
      <c r="Z517" s="30" t="n">
        <v>20</v>
      </c>
      <c r="AA517" s="30" t="n">
        <f aca="false">Y517*Z517</f>
        <v>8</v>
      </c>
    </row>
    <row r="518" customFormat="false" ht="15" hidden="false" customHeight="false" outlineLevel="0" collapsed="false">
      <c r="S518" s="1" t="s">
        <v>309</v>
      </c>
      <c r="W518" s="57" t="s">
        <v>310</v>
      </c>
      <c r="Y518" s="59" t="n">
        <v>5</v>
      </c>
      <c r="Z518" s="30" t="n">
        <f aca="false">AA506</f>
        <v>147.3384</v>
      </c>
      <c r="AA518" s="30" t="n">
        <f aca="false">Y518%*Z518</f>
        <v>7.36692</v>
      </c>
    </row>
    <row r="519" customFormat="false" ht="15" hidden="false" customHeight="false" outlineLevel="0" collapsed="false">
      <c r="R519" s="62"/>
      <c r="S519" s="62"/>
      <c r="T519" s="62"/>
      <c r="U519" s="62"/>
      <c r="V519" s="62"/>
      <c r="W519" s="62"/>
      <c r="X519" s="62"/>
      <c r="Y519" s="62"/>
      <c r="Z519" s="83"/>
      <c r="AA519" s="63" t="n">
        <f aca="false">SUM(AA515:AA518)</f>
        <v>28.44692</v>
      </c>
    </row>
    <row r="521" customFormat="false" ht="15" hidden="false" customHeight="false" outlineLevel="0" collapsed="false">
      <c r="R521" s="14" t="s">
        <v>276</v>
      </c>
      <c r="S521" s="14"/>
      <c r="T521" s="14" t="s">
        <v>570</v>
      </c>
      <c r="U521" s="14"/>
    </row>
    <row r="522" customFormat="false" ht="15" hidden="false" customHeight="false" outlineLevel="0" collapsed="false">
      <c r="R522" s="14" t="s">
        <v>277</v>
      </c>
      <c r="S522" s="14" t="s">
        <v>278</v>
      </c>
      <c r="T522" s="38" t="s">
        <v>279</v>
      </c>
      <c r="U522" s="54" t="n">
        <v>12</v>
      </c>
      <c r="V522" s="38" t="s">
        <v>280</v>
      </c>
      <c r="W522" s="54" t="n">
        <f aca="false">U522</f>
        <v>12</v>
      </c>
      <c r="X522" s="14" t="s">
        <v>281</v>
      </c>
      <c r="Z522" s="38" t="s">
        <v>132</v>
      </c>
      <c r="AA522" s="55" t="n">
        <f aca="false">AA528+AA533+AA536</f>
        <v>67.9480666666667</v>
      </c>
    </row>
    <row r="523" customFormat="false" ht="15" hidden="false" customHeight="false" outlineLevel="0" collapsed="false">
      <c r="R523" s="14" t="s">
        <v>282</v>
      </c>
      <c r="S523" s="14" t="s">
        <v>283</v>
      </c>
      <c r="W523" s="38" t="s">
        <v>121</v>
      </c>
      <c r="X523" s="38" t="s">
        <v>284</v>
      </c>
      <c r="Y523" s="38" t="s">
        <v>285</v>
      </c>
      <c r="Z523" s="38" t="s">
        <v>286</v>
      </c>
      <c r="AA523" s="38" t="s">
        <v>287</v>
      </c>
    </row>
    <row r="524" customFormat="false" ht="15" hidden="false" customHeight="false" outlineLevel="0" collapsed="false">
      <c r="S524" s="56" t="s">
        <v>288</v>
      </c>
    </row>
    <row r="525" customFormat="false" ht="15" hidden="false" customHeight="false" outlineLevel="0" collapsed="false">
      <c r="S525" s="1" t="s">
        <v>289</v>
      </c>
      <c r="W525" s="57" t="s">
        <v>290</v>
      </c>
      <c r="X525" s="58" t="n">
        <v>1</v>
      </c>
      <c r="Y525" s="59" t="n">
        <f aca="false">X525*8/$U$522</f>
        <v>0.666666666666667</v>
      </c>
      <c r="Z525" s="215" t="n">
        <v>28.94</v>
      </c>
      <c r="AA525" s="30" t="n">
        <f aca="false">Y525*Z525</f>
        <v>19.2933333333333</v>
      </c>
    </row>
    <row r="526" customFormat="false" ht="15" hidden="false" customHeight="false" outlineLevel="0" collapsed="false">
      <c r="S526" s="1" t="s">
        <v>675</v>
      </c>
      <c r="W526" s="57" t="s">
        <v>290</v>
      </c>
      <c r="X526" s="58" t="n">
        <v>1</v>
      </c>
      <c r="Y526" s="59" t="n">
        <f aca="false">X526*8/$U$522</f>
        <v>0.666666666666667</v>
      </c>
      <c r="Z526" s="1" t="n">
        <v>23.6</v>
      </c>
      <c r="AA526" s="30" t="n">
        <f aca="false">Y526*Z526</f>
        <v>15.7333333333333</v>
      </c>
    </row>
    <row r="527" customFormat="false" ht="15" hidden="false" customHeight="false" outlineLevel="0" collapsed="false">
      <c r="S527" s="1" t="s">
        <v>292</v>
      </c>
      <c r="W527" s="57" t="s">
        <v>290</v>
      </c>
      <c r="X527" s="58" t="n">
        <v>0.5</v>
      </c>
      <c r="Y527" s="59" t="n">
        <f aca="false">X527*8/$U$522</f>
        <v>0.333333333333333</v>
      </c>
      <c r="Z527" s="1" t="n">
        <v>21.36</v>
      </c>
      <c r="AA527" s="30" t="n">
        <f aca="false">Y527*Z527</f>
        <v>7.12</v>
      </c>
    </row>
    <row r="528" customFormat="false" ht="15" hidden="false" customHeight="false" outlineLevel="0" collapsed="false">
      <c r="W528" s="57"/>
      <c r="AA528" s="55" t="n">
        <f aca="false">SUM(AA525:AA527)</f>
        <v>42.1466666666667</v>
      </c>
    </row>
    <row r="529" customFormat="false" ht="15" hidden="false" customHeight="false" outlineLevel="0" collapsed="false">
      <c r="S529" s="56" t="s">
        <v>652</v>
      </c>
    </row>
    <row r="530" customFormat="false" ht="15" hidden="false" customHeight="false" outlineLevel="0" collapsed="false">
      <c r="S530" s="1" t="s">
        <v>685</v>
      </c>
      <c r="W530" s="57" t="s">
        <v>295</v>
      </c>
      <c r="Y530" s="59" t="n">
        <v>0.1</v>
      </c>
      <c r="Z530" s="30" t="n">
        <v>2.64</v>
      </c>
      <c r="AA530" s="30" t="n">
        <f aca="false">Y530*Z530</f>
        <v>0.264</v>
      </c>
    </row>
    <row r="531" customFormat="false" ht="15" hidden="false" customHeight="false" outlineLevel="0" collapsed="false">
      <c r="S531" s="1" t="s">
        <v>300</v>
      </c>
      <c r="W531" s="57" t="s">
        <v>295</v>
      </c>
      <c r="Y531" s="59" t="n">
        <v>0.1</v>
      </c>
      <c r="Z531" s="30" t="n">
        <v>5.51</v>
      </c>
      <c r="AA531" s="30" t="n">
        <f aca="false">Y531*Z531</f>
        <v>0.551</v>
      </c>
    </row>
    <row r="532" customFormat="false" ht="15" hidden="false" customHeight="false" outlineLevel="0" collapsed="false">
      <c r="S532" s="1" t="s">
        <v>667</v>
      </c>
      <c r="W532" s="57" t="s">
        <v>295</v>
      </c>
      <c r="Y532" s="59" t="n">
        <v>4.09</v>
      </c>
      <c r="Z532" s="30" t="n">
        <v>5.8</v>
      </c>
      <c r="AA532" s="30" t="n">
        <f aca="false">Y532*Z532</f>
        <v>23.722</v>
      </c>
    </row>
    <row r="533" customFormat="false" ht="15" hidden="false" customHeight="false" outlineLevel="0" collapsed="false">
      <c r="AA533" s="55" t="n">
        <f aca="false">SUM(AA530:AA532)</f>
        <v>24.537</v>
      </c>
    </row>
    <row r="534" customFormat="false" ht="15" hidden="false" customHeight="false" outlineLevel="0" collapsed="false">
      <c r="S534" s="56" t="s">
        <v>308</v>
      </c>
    </row>
    <row r="535" customFormat="false" ht="15" hidden="false" customHeight="false" outlineLevel="0" collapsed="false">
      <c r="S535" s="1" t="s">
        <v>309</v>
      </c>
      <c r="W535" s="57" t="s">
        <v>310</v>
      </c>
      <c r="Y535" s="59" t="n">
        <v>3</v>
      </c>
      <c r="Z535" s="30" t="n">
        <f aca="false">AA528</f>
        <v>42.1466666666667</v>
      </c>
      <c r="AA535" s="30" t="n">
        <f aca="false">Y535%*Z535</f>
        <v>1.2644</v>
      </c>
    </row>
    <row r="536" customFormat="false" ht="15" hidden="false" customHeight="false" outlineLevel="0" collapsed="false">
      <c r="R536" s="62"/>
      <c r="S536" s="62"/>
      <c r="T536" s="62"/>
      <c r="U536" s="62"/>
      <c r="V536" s="62"/>
      <c r="W536" s="62"/>
      <c r="X536" s="62"/>
      <c r="Y536" s="62"/>
      <c r="Z536" s="62"/>
      <c r="AA536" s="63" t="n">
        <f aca="false">SUM(AA535)</f>
        <v>1.2644</v>
      </c>
    </row>
    <row r="538" customFormat="false" ht="15" hidden="false" customHeight="false" outlineLevel="0" collapsed="false">
      <c r="R538" s="216" t="s">
        <v>276</v>
      </c>
      <c r="S538" s="216"/>
      <c r="T538" s="216" t="s">
        <v>707</v>
      </c>
    </row>
    <row r="539" customFormat="false" ht="15" hidden="false" customHeight="false" outlineLevel="0" collapsed="false">
      <c r="R539" s="216" t="s">
        <v>277</v>
      </c>
      <c r="S539" s="216" t="s">
        <v>702</v>
      </c>
      <c r="T539" s="217" t="s">
        <v>279</v>
      </c>
      <c r="U539" s="218" t="n">
        <v>250</v>
      </c>
      <c r="V539" s="217" t="s">
        <v>280</v>
      </c>
      <c r="W539" s="218" t="n">
        <f aca="false">U539</f>
        <v>250</v>
      </c>
      <c r="X539" s="216" t="s">
        <v>281</v>
      </c>
      <c r="Z539" s="217" t="s">
        <v>703</v>
      </c>
      <c r="AA539" s="126" t="n">
        <f aca="false">AA545+AA549+AA552</f>
        <v>5.4833634845</v>
      </c>
    </row>
    <row r="540" customFormat="false" ht="15" hidden="false" customHeight="false" outlineLevel="0" collapsed="false">
      <c r="R540" s="216" t="s">
        <v>282</v>
      </c>
      <c r="S540" s="216" t="s">
        <v>283</v>
      </c>
      <c r="W540" s="217" t="s">
        <v>121</v>
      </c>
      <c r="X540" s="217" t="s">
        <v>284</v>
      </c>
      <c r="Y540" s="217" t="s">
        <v>285</v>
      </c>
      <c r="Z540" s="217" t="s">
        <v>286</v>
      </c>
      <c r="AA540" s="217" t="s">
        <v>287</v>
      </c>
    </row>
    <row r="541" customFormat="false" ht="15" hidden="false" customHeight="false" outlineLevel="0" collapsed="false">
      <c r="S541" s="127" t="s">
        <v>288</v>
      </c>
      <c r="X541" s="58"/>
    </row>
    <row r="542" customFormat="false" ht="15" hidden="false" customHeight="false" outlineLevel="0" collapsed="false">
      <c r="S542" s="1" t="s">
        <v>289</v>
      </c>
      <c r="W542" s="57" t="s">
        <v>290</v>
      </c>
      <c r="X542" s="58" t="n">
        <v>1</v>
      </c>
      <c r="Y542" s="101" t="n">
        <f aca="false">X542*8/$U$539</f>
        <v>0.032</v>
      </c>
      <c r="Z542" s="215" t="n">
        <v>29.99</v>
      </c>
      <c r="AA542" s="30" t="n">
        <f aca="false">Y542*Z542</f>
        <v>0.95968</v>
      </c>
    </row>
    <row r="543" customFormat="false" ht="15" hidden="false" customHeight="false" outlineLevel="0" collapsed="false">
      <c r="S543" s="1" t="s">
        <v>675</v>
      </c>
      <c r="W543" s="57" t="s">
        <v>290</v>
      </c>
      <c r="X543" s="58" t="n">
        <v>1</v>
      </c>
      <c r="Y543" s="101" t="n">
        <f aca="false">X543*8/$U$539</f>
        <v>0.032</v>
      </c>
      <c r="Z543" s="1" t="n">
        <v>21.36</v>
      </c>
      <c r="AA543" s="30" t="n">
        <f aca="false">Y543*Z543</f>
        <v>0.68352</v>
      </c>
    </row>
    <row r="544" customFormat="false" ht="15" hidden="false" customHeight="false" outlineLevel="0" collapsed="false">
      <c r="S544" s="1" t="s">
        <v>649</v>
      </c>
      <c r="W544" s="57" t="s">
        <v>290</v>
      </c>
      <c r="X544" s="58" t="n">
        <v>0.1</v>
      </c>
      <c r="Y544" s="101" t="n">
        <f aca="false">X544*8/$U$539</f>
        <v>0.0032</v>
      </c>
      <c r="Z544" s="215" t="n">
        <v>35.99</v>
      </c>
      <c r="AA544" s="30" t="n">
        <f aca="false">Y544*Z544</f>
        <v>0.115168</v>
      </c>
    </row>
    <row r="545" customFormat="false" ht="15" hidden="false" customHeight="false" outlineLevel="0" collapsed="false">
      <c r="W545" s="57"/>
      <c r="X545" s="58"/>
      <c r="AA545" s="126" t="n">
        <f aca="false">SUM(AA542:AA544)</f>
        <v>1.758368</v>
      </c>
    </row>
    <row r="546" customFormat="false" ht="15" hidden="false" customHeight="false" outlineLevel="0" collapsed="false">
      <c r="S546" s="127" t="s">
        <v>293</v>
      </c>
      <c r="W546" s="57"/>
      <c r="X546" s="58"/>
      <c r="Y546" s="101"/>
    </row>
    <row r="547" customFormat="false" ht="15" hidden="false" customHeight="false" outlineLevel="0" collapsed="false">
      <c r="S547" s="1" t="s">
        <v>294</v>
      </c>
      <c r="W547" s="57" t="s">
        <v>295</v>
      </c>
      <c r="X547" s="58"/>
      <c r="Y547" s="101" t="n">
        <v>0.03</v>
      </c>
      <c r="Z547" s="30" t="n">
        <v>2.64</v>
      </c>
      <c r="AA547" s="30" t="n">
        <f aca="false">Y547*Z547</f>
        <v>0.0792</v>
      </c>
    </row>
    <row r="548" customFormat="false" ht="15" hidden="false" customHeight="false" outlineLevel="0" collapsed="false">
      <c r="S548" s="1" t="s">
        <v>676</v>
      </c>
      <c r="W548" s="57" t="s">
        <v>295</v>
      </c>
      <c r="X548" s="58"/>
      <c r="Y548" s="101" t="n">
        <v>1.05</v>
      </c>
      <c r="Z548" s="30" t="n">
        <f aca="false">1012.71*3.379/1000</f>
        <v>3.42194709</v>
      </c>
      <c r="AA548" s="30" t="n">
        <f aca="false">Y548*Z548</f>
        <v>3.5930444445</v>
      </c>
    </row>
    <row r="549" customFormat="false" ht="15" hidden="false" customHeight="false" outlineLevel="0" collapsed="false">
      <c r="W549" s="57"/>
      <c r="X549" s="58"/>
      <c r="AA549" s="126" t="n">
        <f aca="false">SUM(AA547:AA548)</f>
        <v>3.6722444445</v>
      </c>
    </row>
    <row r="550" customFormat="false" ht="15" hidden="false" customHeight="false" outlineLevel="0" collapsed="false">
      <c r="S550" s="127" t="s">
        <v>317</v>
      </c>
      <c r="W550" s="57"/>
      <c r="X550" s="58"/>
    </row>
    <row r="551" customFormat="false" ht="15" hidden="false" customHeight="false" outlineLevel="0" collapsed="false">
      <c r="S551" s="1" t="s">
        <v>309</v>
      </c>
      <c r="W551" s="57" t="s">
        <v>310</v>
      </c>
      <c r="Y551" s="59" t="n">
        <v>3</v>
      </c>
      <c r="Z551" s="30" t="n">
        <f aca="false">AA545</f>
        <v>1.758368</v>
      </c>
      <c r="AA551" s="30" t="n">
        <f aca="false">Y551%*Z551</f>
        <v>0.05275104</v>
      </c>
    </row>
    <row r="552" customFormat="false" ht="15" hidden="false" customHeight="false" outlineLevel="0" collapsed="false">
      <c r="R552" s="62"/>
      <c r="S552" s="62"/>
      <c r="T552" s="62"/>
      <c r="U552" s="62"/>
      <c r="V552" s="62"/>
      <c r="W552" s="62"/>
      <c r="X552" s="62"/>
      <c r="Y552" s="62"/>
      <c r="Z552" s="62"/>
      <c r="AA552" s="128" t="n">
        <f aca="false">SUM(AA551:AA551)</f>
        <v>0.05275104</v>
      </c>
    </row>
    <row r="554" customFormat="false" ht="15" hidden="false" customHeight="false" outlineLevel="0" collapsed="false">
      <c r="R554" s="85" t="s">
        <v>276</v>
      </c>
      <c r="S554" s="85"/>
      <c r="T554" s="85" t="s">
        <v>708</v>
      </c>
      <c r="U554" s="85"/>
    </row>
    <row r="555" customFormat="false" ht="15" hidden="false" customHeight="false" outlineLevel="0" collapsed="false">
      <c r="R555" s="85" t="s">
        <v>277</v>
      </c>
      <c r="S555" s="85" t="s">
        <v>415</v>
      </c>
      <c r="T555" s="87" t="s">
        <v>279</v>
      </c>
      <c r="U555" s="88" t="n">
        <v>6</v>
      </c>
      <c r="V555" s="87" t="s">
        <v>280</v>
      </c>
      <c r="W555" s="88" t="n">
        <f aca="false">U555</f>
        <v>6</v>
      </c>
      <c r="X555" s="85" t="s">
        <v>281</v>
      </c>
      <c r="Z555" s="87" t="s">
        <v>202</v>
      </c>
      <c r="AA555" s="89" t="n">
        <f aca="false">AA561+AA570+AA576</f>
        <v>554.637093333333</v>
      </c>
    </row>
    <row r="556" customFormat="false" ht="15" hidden="false" customHeight="false" outlineLevel="0" collapsed="false">
      <c r="R556" s="85" t="s">
        <v>282</v>
      </c>
      <c r="S556" s="85" t="s">
        <v>283</v>
      </c>
      <c r="W556" s="87" t="s">
        <v>121</v>
      </c>
      <c r="X556" s="87" t="s">
        <v>284</v>
      </c>
      <c r="Y556" s="87" t="s">
        <v>285</v>
      </c>
      <c r="Z556" s="87" t="s">
        <v>286</v>
      </c>
      <c r="AA556" s="87" t="s">
        <v>287</v>
      </c>
    </row>
    <row r="557" customFormat="false" ht="15" hidden="false" customHeight="false" outlineLevel="0" collapsed="false">
      <c r="S557" s="90" t="s">
        <v>288</v>
      </c>
    </row>
    <row r="558" customFormat="false" ht="15" hidden="false" customHeight="false" outlineLevel="0" collapsed="false">
      <c r="S558" s="1" t="s">
        <v>289</v>
      </c>
      <c r="W558" s="57" t="s">
        <v>290</v>
      </c>
      <c r="X558" s="58" t="n">
        <v>1</v>
      </c>
      <c r="Y558" s="59" t="n">
        <f aca="false">X558*8/$U$555</f>
        <v>1.33333333333333</v>
      </c>
      <c r="Z558" s="30" t="n">
        <v>28.94</v>
      </c>
      <c r="AA558" s="30" t="n">
        <f aca="false">Y558*Z558</f>
        <v>38.5866666666667</v>
      </c>
    </row>
    <row r="559" customFormat="false" ht="15" hidden="false" customHeight="false" outlineLevel="0" collapsed="false">
      <c r="S559" s="1" t="s">
        <v>291</v>
      </c>
      <c r="W559" s="57" t="s">
        <v>290</v>
      </c>
      <c r="X559" s="58" t="n">
        <v>1</v>
      </c>
      <c r="Y559" s="59" t="n">
        <f aca="false">X559*8/$U$555</f>
        <v>1.33333333333333</v>
      </c>
      <c r="Z559" s="30" t="n">
        <v>23.6</v>
      </c>
      <c r="AA559" s="30" t="n">
        <f aca="false">Y559*Z559</f>
        <v>31.4666666666667</v>
      </c>
    </row>
    <row r="560" customFormat="false" ht="15" hidden="false" customHeight="false" outlineLevel="0" collapsed="false">
      <c r="S560" s="1" t="s">
        <v>292</v>
      </c>
      <c r="W560" s="57" t="s">
        <v>290</v>
      </c>
      <c r="X560" s="58" t="n">
        <v>5</v>
      </c>
      <c r="Y560" s="59" t="n">
        <f aca="false">X560*8/$U$555</f>
        <v>6.66666666666667</v>
      </c>
      <c r="Z560" s="30" t="n">
        <v>21.36</v>
      </c>
      <c r="AA560" s="30" t="n">
        <f aca="false">Y560*Z560</f>
        <v>142.4</v>
      </c>
    </row>
    <row r="561" customFormat="false" ht="15" hidden="false" customHeight="false" outlineLevel="0" collapsed="false">
      <c r="W561" s="57"/>
      <c r="X561" s="58"/>
      <c r="Y561" s="59"/>
      <c r="AA561" s="89" t="n">
        <f aca="false">SUM(AA558:AA560)</f>
        <v>212.453333333333</v>
      </c>
    </row>
    <row r="562" customFormat="false" ht="15" hidden="false" customHeight="false" outlineLevel="0" collapsed="false">
      <c r="S562" s="90" t="s">
        <v>652</v>
      </c>
      <c r="W562" s="57"/>
      <c r="X562" s="58"/>
      <c r="Y562" s="59"/>
      <c r="AA562" s="30"/>
    </row>
    <row r="563" customFormat="false" ht="15" hidden="false" customHeight="false" outlineLevel="0" collapsed="false">
      <c r="S563" s="1" t="s">
        <v>670</v>
      </c>
      <c r="W563" s="57" t="s">
        <v>202</v>
      </c>
      <c r="Y563" s="59" t="n">
        <v>0.8</v>
      </c>
      <c r="Z563" s="30" t="n">
        <v>55.08</v>
      </c>
      <c r="AA563" s="30" t="n">
        <f aca="false">Y563*Z563</f>
        <v>44.064</v>
      </c>
    </row>
    <row r="564" customFormat="false" ht="15" hidden="false" customHeight="false" outlineLevel="0" collapsed="false">
      <c r="S564" s="1" t="s">
        <v>671</v>
      </c>
      <c r="W564" s="57" t="s">
        <v>202</v>
      </c>
      <c r="Y564" s="59" t="n">
        <v>0.5</v>
      </c>
      <c r="Z564" s="30" t="n">
        <v>47</v>
      </c>
      <c r="AA564" s="30" t="n">
        <f aca="false">Y564*Z564</f>
        <v>23.5</v>
      </c>
    </row>
    <row r="565" customFormat="false" ht="15" hidden="false" customHeight="false" outlineLevel="0" collapsed="false">
      <c r="S565" s="1" t="s">
        <v>305</v>
      </c>
      <c r="W565" s="57" t="s">
        <v>306</v>
      </c>
      <c r="Y565" s="59" t="n">
        <v>9.74</v>
      </c>
      <c r="Z565" s="30" t="n">
        <v>24.52</v>
      </c>
      <c r="AA565" s="30" t="n">
        <f aca="false">Y565*Z565</f>
        <v>238.8248</v>
      </c>
    </row>
    <row r="566" customFormat="false" ht="15" hidden="false" customHeight="false" outlineLevel="0" collapsed="false">
      <c r="S566" s="1" t="s">
        <v>654</v>
      </c>
      <c r="W566" s="57" t="s">
        <v>202</v>
      </c>
      <c r="Y566" s="59" t="n">
        <v>0.184</v>
      </c>
      <c r="Z566" s="1" t="n">
        <v>6.14</v>
      </c>
      <c r="AA566" s="30" t="n">
        <f aca="false">Y566*Z566</f>
        <v>1.12976</v>
      </c>
    </row>
    <row r="567" customFormat="false" ht="15" hidden="false" customHeight="false" outlineLevel="0" collapsed="false">
      <c r="S567" s="1" t="s">
        <v>663</v>
      </c>
      <c r="W567" s="57" t="s">
        <v>437</v>
      </c>
      <c r="Y567" s="59" t="n">
        <v>0.12</v>
      </c>
      <c r="Z567" s="1" t="n">
        <v>13.93</v>
      </c>
      <c r="AA567" s="30" t="n">
        <f aca="false">Y567*Z567</f>
        <v>1.6716</v>
      </c>
    </row>
    <row r="568" customFormat="false" ht="15" hidden="false" customHeight="false" outlineLevel="0" collapsed="false">
      <c r="S568" s="1" t="s">
        <v>709</v>
      </c>
      <c r="W568" s="57" t="s">
        <v>437</v>
      </c>
      <c r="Y568" s="59" t="n">
        <v>0.01</v>
      </c>
      <c r="AA568" s="30" t="n">
        <f aca="false">Y568*Z568</f>
        <v>0</v>
      </c>
    </row>
    <row r="569" customFormat="false" ht="15" hidden="false" customHeight="false" outlineLevel="0" collapsed="false">
      <c r="S569" s="1" t="s">
        <v>710</v>
      </c>
      <c r="W569" s="57" t="s">
        <v>711</v>
      </c>
      <c r="Y569" s="1" t="n">
        <v>0.008</v>
      </c>
      <c r="AA569" s="30" t="n">
        <f aca="false">Y569*Z569</f>
        <v>0</v>
      </c>
    </row>
    <row r="570" customFormat="false" ht="15" hidden="false" customHeight="false" outlineLevel="0" collapsed="false">
      <c r="W570" s="57"/>
      <c r="Y570" s="59"/>
      <c r="Z570" s="30"/>
      <c r="AA570" s="89" t="n">
        <f aca="false">SUM(AA563:AA569)</f>
        <v>309.19016</v>
      </c>
    </row>
    <row r="571" customFormat="false" ht="15" hidden="false" customHeight="false" outlineLevel="0" collapsed="false">
      <c r="S571" s="90" t="s">
        <v>308</v>
      </c>
    </row>
    <row r="572" customFormat="false" ht="15" hidden="false" customHeight="false" outlineLevel="0" collapsed="false">
      <c r="S572" s="1" t="s">
        <v>309</v>
      </c>
      <c r="W572" s="57" t="s">
        <v>310</v>
      </c>
      <c r="Y572" s="59" t="n">
        <v>3</v>
      </c>
      <c r="Z572" s="30" t="n">
        <f aca="false">AA561</f>
        <v>212.453333333333</v>
      </c>
      <c r="AA572" s="30" t="n">
        <f aca="false">Y572%*Z572</f>
        <v>6.3736</v>
      </c>
    </row>
    <row r="573" customFormat="false" ht="15" hidden="false" customHeight="false" outlineLevel="0" collapsed="false">
      <c r="S573" s="1" t="s">
        <v>665</v>
      </c>
      <c r="W573" s="57" t="s">
        <v>337</v>
      </c>
      <c r="X573" s="58" t="n">
        <v>0.5</v>
      </c>
      <c r="Y573" s="59" t="n">
        <f aca="false">X573*8/$U$555</f>
        <v>0.666666666666667</v>
      </c>
      <c r="Z573" s="30" t="n">
        <v>25.63</v>
      </c>
      <c r="AA573" s="30" t="n">
        <f aca="false">Y573*Z573</f>
        <v>17.0866666666667</v>
      </c>
    </row>
    <row r="574" customFormat="false" ht="15" hidden="false" customHeight="false" outlineLevel="0" collapsed="false">
      <c r="S574" s="1" t="s">
        <v>673</v>
      </c>
      <c r="W574" s="57" t="s">
        <v>337</v>
      </c>
      <c r="X574" s="58" t="n">
        <v>0.5</v>
      </c>
      <c r="Y574" s="59" t="n">
        <f aca="false">X574*8/$U$555</f>
        <v>0.666666666666667</v>
      </c>
      <c r="Z574" s="30" t="n">
        <v>7.07</v>
      </c>
      <c r="AA574" s="30" t="n">
        <f aca="false">Y574*Z574</f>
        <v>4.71333333333333</v>
      </c>
    </row>
    <row r="575" customFormat="false" ht="15" hidden="false" customHeight="false" outlineLevel="0" collapsed="false">
      <c r="S575" s="1" t="s">
        <v>712</v>
      </c>
      <c r="W575" s="57" t="s">
        <v>337</v>
      </c>
      <c r="X575" s="58" t="n">
        <v>0.5</v>
      </c>
      <c r="Y575" s="59" t="n">
        <f aca="false">X575*8/$U$555</f>
        <v>0.666666666666667</v>
      </c>
      <c r="Z575" s="65" t="n">
        <v>7.23</v>
      </c>
      <c r="AA575" s="30" t="n">
        <f aca="false">Y575*Z575</f>
        <v>4.82</v>
      </c>
    </row>
    <row r="576" customFormat="false" ht="15" hidden="false" customHeight="false" outlineLevel="0" collapsed="false">
      <c r="R576" s="62"/>
      <c r="S576" s="62"/>
      <c r="T576" s="62"/>
      <c r="U576" s="62"/>
      <c r="V576" s="62"/>
      <c r="W576" s="62"/>
      <c r="X576" s="62"/>
      <c r="Y576" s="62"/>
      <c r="Z576" s="62"/>
      <c r="AA576" s="91" t="n">
        <f aca="false">SUM(AA572:AA575)</f>
        <v>32.9936</v>
      </c>
    </row>
    <row r="578" customFormat="false" ht="15" hidden="false" customHeight="false" outlineLevel="0" collapsed="false">
      <c r="R578" s="85" t="s">
        <v>276</v>
      </c>
      <c r="S578" s="85"/>
      <c r="T578" s="85" t="s">
        <v>713</v>
      </c>
      <c r="U578" s="85"/>
    </row>
    <row r="579" customFormat="false" ht="15" hidden="false" customHeight="false" outlineLevel="0" collapsed="false">
      <c r="R579" s="85" t="s">
        <v>277</v>
      </c>
      <c r="S579" s="85" t="s">
        <v>278</v>
      </c>
      <c r="T579" s="87" t="s">
        <v>279</v>
      </c>
      <c r="U579" s="88" t="n">
        <v>6.7</v>
      </c>
      <c r="V579" s="87" t="s">
        <v>280</v>
      </c>
      <c r="W579" s="88" t="n">
        <f aca="false">U579</f>
        <v>6.7</v>
      </c>
      <c r="X579" s="85" t="s">
        <v>281</v>
      </c>
      <c r="Z579" s="87" t="s">
        <v>132</v>
      </c>
      <c r="AA579" s="89" t="n">
        <f aca="false">AA585+AA590+AA593</f>
        <v>111.805364179104</v>
      </c>
    </row>
    <row r="580" customFormat="false" ht="15" hidden="false" customHeight="false" outlineLevel="0" collapsed="false">
      <c r="R580" s="85" t="s">
        <v>282</v>
      </c>
      <c r="S580" s="85" t="s">
        <v>283</v>
      </c>
      <c r="W580" s="87" t="s">
        <v>121</v>
      </c>
      <c r="X580" s="87" t="s">
        <v>284</v>
      </c>
      <c r="Y580" s="87" t="s">
        <v>285</v>
      </c>
      <c r="Z580" s="87" t="s">
        <v>286</v>
      </c>
      <c r="AA580" s="87" t="s">
        <v>287</v>
      </c>
    </row>
    <row r="581" customFormat="false" ht="15" hidden="false" customHeight="false" outlineLevel="0" collapsed="false">
      <c r="S581" s="90" t="s">
        <v>288</v>
      </c>
    </row>
    <row r="582" customFormat="false" ht="15" hidden="false" customHeight="false" outlineLevel="0" collapsed="false">
      <c r="S582" s="1" t="s">
        <v>289</v>
      </c>
      <c r="W582" s="57" t="s">
        <v>290</v>
      </c>
      <c r="X582" s="58" t="n">
        <v>1</v>
      </c>
      <c r="Y582" s="59" t="n">
        <f aca="false">X582*8/$U$579</f>
        <v>1.19402985074627</v>
      </c>
      <c r="Z582" s="30" t="n">
        <v>28.94</v>
      </c>
      <c r="AA582" s="30" t="n">
        <f aca="false">Y582*Z582</f>
        <v>34.555223880597</v>
      </c>
    </row>
    <row r="583" customFormat="false" ht="15" hidden="false" customHeight="false" outlineLevel="0" collapsed="false">
      <c r="S583" s="1" t="s">
        <v>291</v>
      </c>
      <c r="W583" s="57" t="s">
        <v>290</v>
      </c>
      <c r="X583" s="58" t="n">
        <v>1</v>
      </c>
      <c r="Y583" s="59" t="n">
        <f aca="false">X583*8/$U$579</f>
        <v>1.19402985074627</v>
      </c>
      <c r="Z583" s="30" t="n">
        <v>23.6</v>
      </c>
      <c r="AA583" s="30" t="n">
        <f aca="false">Y583*Z583</f>
        <v>28.1791044776119</v>
      </c>
    </row>
    <row r="584" customFormat="false" ht="15" hidden="false" customHeight="false" outlineLevel="0" collapsed="false">
      <c r="S584" s="1" t="s">
        <v>292</v>
      </c>
      <c r="W584" s="57" t="s">
        <v>290</v>
      </c>
      <c r="X584" s="58" t="n">
        <v>0.5</v>
      </c>
      <c r="Y584" s="59" t="n">
        <f aca="false">X584*8/$U$579</f>
        <v>0.597014925373134</v>
      </c>
      <c r="Z584" s="30" t="n">
        <v>21.36</v>
      </c>
      <c r="AA584" s="30" t="n">
        <f aca="false">Y584*Z584</f>
        <v>12.7522388059701</v>
      </c>
    </row>
    <row r="585" customFormat="false" ht="15" hidden="false" customHeight="false" outlineLevel="0" collapsed="false">
      <c r="W585" s="57"/>
      <c r="X585" s="58"/>
      <c r="Y585" s="59"/>
      <c r="AA585" s="89" t="n">
        <f aca="false">SUM(AA582:AA584)</f>
        <v>75.4865671641791</v>
      </c>
    </row>
    <row r="586" customFormat="false" ht="15" hidden="false" customHeight="false" outlineLevel="0" collapsed="false">
      <c r="S586" s="90" t="s">
        <v>652</v>
      </c>
      <c r="W586" s="57"/>
      <c r="X586" s="58"/>
      <c r="Y586" s="59"/>
      <c r="AA586" s="30"/>
    </row>
    <row r="587" customFormat="false" ht="15" hidden="false" customHeight="false" outlineLevel="0" collapsed="false">
      <c r="S587" s="1" t="s">
        <v>685</v>
      </c>
      <c r="W587" s="57" t="s">
        <v>295</v>
      </c>
      <c r="Y587" s="59" t="n">
        <v>0.08</v>
      </c>
      <c r="Z587" s="30" t="n">
        <v>2.64</v>
      </c>
      <c r="AA587" s="30" t="n">
        <f aca="false">Y587*Z587</f>
        <v>0.2112</v>
      </c>
    </row>
    <row r="588" customFormat="false" ht="15" hidden="false" customHeight="false" outlineLevel="0" collapsed="false">
      <c r="S588" s="1" t="s">
        <v>300</v>
      </c>
      <c r="W588" s="57" t="s">
        <v>295</v>
      </c>
      <c r="Y588" s="59" t="n">
        <v>0.1</v>
      </c>
      <c r="Z588" s="30" t="n">
        <v>5.51</v>
      </c>
      <c r="AA588" s="30" t="n">
        <f aca="false">Y588*Z588</f>
        <v>0.551</v>
      </c>
    </row>
    <row r="589" customFormat="false" ht="15" hidden="false" customHeight="false" outlineLevel="0" collapsed="false">
      <c r="S589" s="1" t="s">
        <v>667</v>
      </c>
      <c r="W589" s="57" t="s">
        <v>304</v>
      </c>
      <c r="Y589" s="59" t="n">
        <v>5.74</v>
      </c>
      <c r="Z589" s="30" t="n">
        <v>5.8</v>
      </c>
      <c r="AA589" s="30" t="n">
        <f aca="false">Y589*Z589</f>
        <v>33.292</v>
      </c>
    </row>
    <row r="590" customFormat="false" ht="15" hidden="false" customHeight="false" outlineLevel="0" collapsed="false">
      <c r="W590" s="57"/>
      <c r="Y590" s="59"/>
      <c r="Z590" s="30"/>
      <c r="AA590" s="89" t="n">
        <f aca="false">SUM(AA587:AA589)</f>
        <v>34.0542</v>
      </c>
    </row>
    <row r="591" customFormat="false" ht="15" hidden="false" customHeight="false" outlineLevel="0" collapsed="false">
      <c r="S591" s="90" t="s">
        <v>308</v>
      </c>
    </row>
    <row r="592" customFormat="false" ht="15" hidden="false" customHeight="false" outlineLevel="0" collapsed="false">
      <c r="S592" s="1" t="s">
        <v>309</v>
      </c>
      <c r="W592" s="57" t="s">
        <v>310</v>
      </c>
      <c r="Y592" s="59" t="n">
        <v>3</v>
      </c>
      <c r="Z592" s="30" t="n">
        <f aca="false">AA585</f>
        <v>75.4865671641791</v>
      </c>
      <c r="AA592" s="30" t="n">
        <f aca="false">Y592%*Z592</f>
        <v>2.26459701492537</v>
      </c>
    </row>
    <row r="593" customFormat="false" ht="15" hidden="false" customHeight="false" outlineLevel="0" collapsed="false">
      <c r="R593" s="62"/>
      <c r="S593" s="62"/>
      <c r="T593" s="62"/>
      <c r="U593" s="62"/>
      <c r="V593" s="62"/>
      <c r="W593" s="62"/>
      <c r="X593" s="62"/>
      <c r="Y593" s="62"/>
      <c r="Z593" s="62"/>
      <c r="AA593" s="91" t="n">
        <f aca="false">SUM(AA592)</f>
        <v>2.26459701492537</v>
      </c>
    </row>
    <row r="595" customFormat="false" ht="15" hidden="false" customHeight="false" outlineLevel="0" collapsed="false">
      <c r="R595" s="85" t="s">
        <v>276</v>
      </c>
      <c r="S595" s="85"/>
      <c r="T595" s="85" t="s">
        <v>714</v>
      </c>
      <c r="U595" s="85"/>
    </row>
    <row r="596" customFormat="false" ht="15" hidden="false" customHeight="false" outlineLevel="0" collapsed="false">
      <c r="R596" s="85" t="s">
        <v>277</v>
      </c>
      <c r="S596" s="85" t="s">
        <v>278</v>
      </c>
      <c r="T596" s="87" t="s">
        <v>279</v>
      </c>
      <c r="U596" s="88" t="n">
        <v>250</v>
      </c>
      <c r="V596" s="87" t="s">
        <v>280</v>
      </c>
      <c r="W596" s="88" t="n">
        <f aca="false">U596</f>
        <v>250</v>
      </c>
      <c r="X596" s="85" t="s">
        <v>281</v>
      </c>
      <c r="Z596" s="87" t="s">
        <v>132</v>
      </c>
      <c r="AA596" s="89" t="n">
        <f aca="false">AA601+AA606+AA610</f>
        <v>5.4995328445</v>
      </c>
    </row>
    <row r="597" customFormat="false" ht="15" hidden="false" customHeight="false" outlineLevel="0" collapsed="false">
      <c r="R597" s="85" t="s">
        <v>282</v>
      </c>
      <c r="S597" s="85" t="s">
        <v>283</v>
      </c>
      <c r="W597" s="87" t="s">
        <v>121</v>
      </c>
      <c r="X597" s="87" t="s">
        <v>284</v>
      </c>
      <c r="Y597" s="87" t="s">
        <v>285</v>
      </c>
      <c r="Z597" s="87" t="s">
        <v>286</v>
      </c>
      <c r="AA597" s="87" t="s">
        <v>287</v>
      </c>
    </row>
    <row r="598" customFormat="false" ht="15" hidden="false" customHeight="false" outlineLevel="0" collapsed="false">
      <c r="S598" s="90" t="s">
        <v>288</v>
      </c>
    </row>
    <row r="599" customFormat="false" ht="15" hidden="false" customHeight="false" outlineLevel="0" collapsed="false">
      <c r="S599" s="1" t="s">
        <v>289</v>
      </c>
      <c r="W599" s="57" t="s">
        <v>290</v>
      </c>
      <c r="X599" s="58" t="n">
        <v>1</v>
      </c>
      <c r="Y599" s="101" t="n">
        <f aca="false">X599*8/$U$596</f>
        <v>0.032</v>
      </c>
      <c r="Z599" s="30" t="n">
        <v>28.94</v>
      </c>
      <c r="AA599" s="30" t="n">
        <f aca="false">Y599*Z599</f>
        <v>0.92608</v>
      </c>
    </row>
    <row r="600" customFormat="false" ht="15" hidden="false" customHeight="false" outlineLevel="0" collapsed="false">
      <c r="S600" s="1" t="s">
        <v>675</v>
      </c>
      <c r="W600" s="57" t="s">
        <v>290</v>
      </c>
      <c r="X600" s="58" t="n">
        <v>1</v>
      </c>
      <c r="Y600" s="101" t="n">
        <f aca="false">X600*8/$U$596</f>
        <v>0.032</v>
      </c>
      <c r="Z600" s="30" t="n">
        <v>23.6</v>
      </c>
      <c r="AA600" s="30" t="n">
        <f aca="false">Y600*Z600</f>
        <v>0.7552</v>
      </c>
    </row>
    <row r="601" customFormat="false" ht="15" hidden="false" customHeight="false" outlineLevel="0" collapsed="false">
      <c r="W601" s="57"/>
      <c r="X601" s="58"/>
      <c r="AA601" s="126" t="n">
        <f aca="false">SUM(AA599:AA600)</f>
        <v>1.68128</v>
      </c>
    </row>
    <row r="602" customFormat="false" ht="15" hidden="false" customHeight="false" outlineLevel="0" collapsed="false">
      <c r="S602" s="127" t="s">
        <v>293</v>
      </c>
      <c r="W602" s="57"/>
      <c r="X602" s="58"/>
      <c r="Y602" s="101"/>
    </row>
    <row r="603" customFormat="false" ht="15" hidden="false" customHeight="false" outlineLevel="0" collapsed="false">
      <c r="S603" s="1" t="s">
        <v>294</v>
      </c>
      <c r="W603" s="57" t="s">
        <v>295</v>
      </c>
      <c r="X603" s="58"/>
      <c r="Y603" s="101" t="n">
        <v>0.05</v>
      </c>
      <c r="Z603" s="30" t="n">
        <v>2.64</v>
      </c>
      <c r="AA603" s="30" t="n">
        <f aca="false">Y603*Z603</f>
        <v>0.132</v>
      </c>
    </row>
    <row r="604" customFormat="false" ht="15" hidden="false" customHeight="false" outlineLevel="0" collapsed="false">
      <c r="S604" s="1" t="s">
        <v>676</v>
      </c>
      <c r="W604" s="57" t="s">
        <v>295</v>
      </c>
      <c r="X604" s="58"/>
      <c r="Y604" s="101" t="n">
        <v>1.05</v>
      </c>
      <c r="Z604" s="30" t="n">
        <f aca="false">1012.71*3.379/1000</f>
        <v>3.42194709</v>
      </c>
      <c r="AA604" s="30" t="n">
        <f aca="false">Y604*Z604</f>
        <v>3.5930444445</v>
      </c>
    </row>
    <row r="605" customFormat="false" ht="15" hidden="false" customHeight="false" outlineLevel="0" collapsed="false">
      <c r="S605" s="1" t="s">
        <v>715</v>
      </c>
      <c r="W605" s="57" t="s">
        <v>295</v>
      </c>
      <c r="X605" s="58"/>
      <c r="Y605" s="101" t="n">
        <v>0.001</v>
      </c>
      <c r="Z605" s="65" t="n">
        <v>13.81</v>
      </c>
      <c r="AA605" s="30" t="n">
        <f aca="false">Y605*Z605</f>
        <v>0.01381</v>
      </c>
    </row>
    <row r="606" customFormat="false" ht="15" hidden="false" customHeight="false" outlineLevel="0" collapsed="false">
      <c r="W606" s="57"/>
      <c r="X606" s="58"/>
      <c r="AA606" s="126" t="n">
        <f aca="false">SUM(AA603:AA605)</f>
        <v>3.7388544445</v>
      </c>
    </row>
    <row r="607" customFormat="false" ht="15" hidden="false" customHeight="false" outlineLevel="0" collapsed="false">
      <c r="S607" s="127" t="s">
        <v>317</v>
      </c>
      <c r="W607" s="57"/>
      <c r="X607" s="58"/>
    </row>
    <row r="608" customFormat="false" ht="15" hidden="false" customHeight="false" outlineLevel="0" collapsed="false">
      <c r="S608" s="1" t="s">
        <v>309</v>
      </c>
      <c r="W608" s="57" t="s">
        <v>310</v>
      </c>
      <c r="Y608" s="59" t="n">
        <v>3</v>
      </c>
      <c r="Z608" s="30" t="n">
        <f aca="false">AA601</f>
        <v>1.68128</v>
      </c>
      <c r="AA608" s="30" t="n">
        <f aca="false">Y608%*Z608</f>
        <v>0.0504384</v>
      </c>
    </row>
    <row r="609" customFormat="false" ht="15" hidden="false" customHeight="false" outlineLevel="0" collapsed="false">
      <c r="S609" s="1" t="s">
        <v>716</v>
      </c>
      <c r="T609" s="1" t="s">
        <v>717</v>
      </c>
      <c r="W609" s="57" t="s">
        <v>290</v>
      </c>
      <c r="X609" s="58" t="n">
        <v>0.5</v>
      </c>
      <c r="Y609" s="101" t="n">
        <f aca="false">X609*8/$U$596</f>
        <v>0.016</v>
      </c>
      <c r="Z609" s="65" t="n">
        <v>1.81</v>
      </c>
      <c r="AA609" s="30" t="n">
        <f aca="false">Y609*Z609</f>
        <v>0.02896</v>
      </c>
    </row>
    <row r="610" customFormat="false" ht="15" hidden="false" customHeight="false" outlineLevel="0" collapsed="false">
      <c r="R610" s="62"/>
      <c r="S610" s="62"/>
      <c r="T610" s="62"/>
      <c r="U610" s="62"/>
      <c r="V610" s="62"/>
      <c r="W610" s="62"/>
      <c r="X610" s="62"/>
      <c r="Y610" s="62"/>
      <c r="Z610" s="62"/>
      <c r="AA610" s="128" t="n">
        <f aca="false">SUM(AA608:AA609)</f>
        <v>0.0793984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1"/>
  <sheetViews>
    <sheetView showFormulas="false" showGridLines="true" showRowColHeaders="true" showZeros="true" rightToLeft="false" tabSelected="false" showOutlineSymbols="true" defaultGridColor="true" view="normal" topLeftCell="A313" colorId="64" zoomScale="100" zoomScaleNormal="100" zoomScalePageLayoutView="100" workbookViewId="0">
      <selection pane="topLeft" activeCell="C337" activeCellId="0" sqref="C33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7.14"/>
    <col collapsed="false" customWidth="true" hidden="false" outlineLevel="0" max="12" min="12" style="1" width="25.86"/>
  </cols>
  <sheetData>
    <row r="1" customFormat="false" ht="15" hidden="false" customHeight="false" outlineLevel="0" collapsed="false">
      <c r="A1" s="1" t="s">
        <v>289</v>
      </c>
      <c r="B1" s="1" t="n">
        <v>47</v>
      </c>
      <c r="L1" s="14"/>
      <c r="M1" s="14"/>
    </row>
    <row r="2" customFormat="false" ht="15" hidden="false" customHeight="false" outlineLevel="0" collapsed="false">
      <c r="A2" s="1" t="s">
        <v>291</v>
      </c>
      <c r="B2" s="1" t="n">
        <v>47</v>
      </c>
    </row>
    <row r="3" customFormat="false" ht="15" hidden="false" customHeight="false" outlineLevel="0" collapsed="false">
      <c r="A3" s="1" t="s">
        <v>292</v>
      </c>
      <c r="B3" s="1" t="n">
        <v>47</v>
      </c>
      <c r="L3" s="14"/>
      <c r="M3" s="14"/>
    </row>
    <row r="4" customFormat="false" ht="15" hidden="false" customHeight="false" outlineLevel="0" collapsed="false">
      <c r="A4" s="1" t="s">
        <v>649</v>
      </c>
      <c r="B4" s="1" t="n">
        <v>47</v>
      </c>
    </row>
    <row r="5" customFormat="false" ht="15" hidden="false" customHeight="false" outlineLevel="0" collapsed="false">
      <c r="A5" s="1" t="s">
        <v>294</v>
      </c>
      <c r="B5" s="1" t="n">
        <v>2</v>
      </c>
    </row>
    <row r="6" customFormat="false" ht="15" hidden="false" customHeight="false" outlineLevel="0" collapsed="false">
      <c r="A6" s="1" t="s">
        <v>296</v>
      </c>
      <c r="B6" s="1" t="n">
        <v>56</v>
      </c>
    </row>
    <row r="7" customFormat="false" ht="15" hidden="false" customHeight="false" outlineLevel="0" collapsed="false">
      <c r="A7" s="1" t="s">
        <v>298</v>
      </c>
      <c r="B7" s="1" t="n">
        <v>26</v>
      </c>
    </row>
    <row r="8" customFormat="false" ht="15" hidden="false" customHeight="false" outlineLevel="0" collapsed="false">
      <c r="A8" s="1" t="s">
        <v>299</v>
      </c>
      <c r="B8" s="1" t="n">
        <v>2</v>
      </c>
    </row>
    <row r="9" customFormat="false" ht="15" hidden="false" customHeight="false" outlineLevel="0" collapsed="false">
      <c r="A9" s="1" t="s">
        <v>300</v>
      </c>
      <c r="B9" s="1" t="n">
        <v>2</v>
      </c>
    </row>
    <row r="10" customFormat="false" ht="15" hidden="false" customHeight="false" outlineLevel="0" collapsed="false">
      <c r="A10" s="1" t="s">
        <v>302</v>
      </c>
      <c r="B10" s="1" t="n">
        <v>44</v>
      </c>
    </row>
    <row r="11" customFormat="false" ht="15" hidden="false" customHeight="false" outlineLevel="0" collapsed="false">
      <c r="A11" s="1" t="s">
        <v>303</v>
      </c>
      <c r="B11" s="1" t="n">
        <v>30</v>
      </c>
    </row>
    <row r="12" customFormat="false" ht="15" hidden="false" customHeight="false" outlineLevel="0" collapsed="false">
      <c r="A12" s="1" t="s">
        <v>305</v>
      </c>
      <c r="B12" s="1" t="n">
        <v>21</v>
      </c>
    </row>
    <row r="13" customFormat="false" ht="15" hidden="false" customHeight="false" outlineLevel="0" collapsed="false">
      <c r="A13" s="1" t="s">
        <v>307</v>
      </c>
      <c r="B13" s="1" t="n">
        <v>43</v>
      </c>
    </row>
    <row r="14" customFormat="false" ht="15" hidden="false" customHeight="false" outlineLevel="0" collapsed="false">
      <c r="A14" s="1" t="s">
        <v>309</v>
      </c>
      <c r="B14" s="1" t="n">
        <v>37</v>
      </c>
    </row>
    <row r="15" customFormat="false" ht="15" hidden="false" customHeight="false" outlineLevel="0" collapsed="false">
      <c r="A15" s="1" t="s">
        <v>312</v>
      </c>
      <c r="B15" s="1" t="n">
        <v>30</v>
      </c>
    </row>
    <row r="16" customFormat="false" ht="15" hidden="false" customHeight="false" outlineLevel="0" collapsed="false">
      <c r="A16" s="1" t="s">
        <v>314</v>
      </c>
      <c r="B16" s="1" t="n">
        <v>39</v>
      </c>
    </row>
    <row r="17" customFormat="false" ht="15" hidden="false" customHeight="false" outlineLevel="0" collapsed="false">
      <c r="A17" s="1" t="s">
        <v>316</v>
      </c>
      <c r="B17" s="1" t="n">
        <v>2</v>
      </c>
    </row>
    <row r="18" customFormat="false" ht="15" hidden="false" customHeight="false" outlineLevel="0" collapsed="false">
      <c r="A18" s="60" t="s">
        <v>318</v>
      </c>
      <c r="B18" s="1" t="n">
        <v>10</v>
      </c>
    </row>
    <row r="19" customFormat="false" ht="15" hidden="false" customHeight="false" outlineLevel="0" collapsed="false">
      <c r="A19" s="1" t="s">
        <v>319</v>
      </c>
      <c r="B19" s="1" t="n">
        <v>72</v>
      </c>
    </row>
    <row r="20" customFormat="false" ht="15" hidden="false" customHeight="false" outlineLevel="0" collapsed="false">
      <c r="A20" s="1" t="s">
        <v>320</v>
      </c>
      <c r="B20" s="1" t="n">
        <v>72</v>
      </c>
    </row>
    <row r="21" customFormat="false" ht="15" hidden="false" customHeight="false" outlineLevel="0" collapsed="false">
      <c r="A21" s="1" t="s">
        <v>321</v>
      </c>
      <c r="B21" s="1" t="n">
        <v>39</v>
      </c>
    </row>
    <row r="22" customFormat="false" ht="15" hidden="false" customHeight="false" outlineLevel="0" collapsed="false">
      <c r="A22" s="1" t="s">
        <v>322</v>
      </c>
      <c r="B22" s="1" t="n">
        <v>10</v>
      </c>
    </row>
    <row r="23" customFormat="false" ht="15" hidden="false" customHeight="false" outlineLevel="0" collapsed="false">
      <c r="A23" s="1" t="s">
        <v>323</v>
      </c>
      <c r="B23" s="1" t="n">
        <v>39</v>
      </c>
    </row>
    <row r="24" customFormat="false" ht="15" hidden="false" customHeight="false" outlineLevel="0" collapsed="false">
      <c r="A24" s="1" t="s">
        <v>324</v>
      </c>
      <c r="B24" s="1" t="n">
        <v>39</v>
      </c>
    </row>
    <row r="25" customFormat="false" ht="15" hidden="false" customHeight="false" outlineLevel="0" collapsed="false">
      <c r="A25" s="1" t="s">
        <v>326</v>
      </c>
      <c r="B25" s="1" t="n">
        <v>49</v>
      </c>
    </row>
    <row r="26" customFormat="false" ht="15" hidden="false" customHeight="false" outlineLevel="0" collapsed="false">
      <c r="A26" s="1" t="s">
        <v>327</v>
      </c>
      <c r="B26" s="1" t="n">
        <v>2</v>
      </c>
    </row>
    <row r="27" customFormat="false" ht="15" hidden="false" customHeight="false" outlineLevel="0" collapsed="false">
      <c r="A27" s="1" t="s">
        <v>328</v>
      </c>
      <c r="B27" s="1" t="n">
        <v>5</v>
      </c>
    </row>
    <row r="28" customFormat="false" ht="15" hidden="false" customHeight="false" outlineLevel="0" collapsed="false">
      <c r="A28" s="1" t="s">
        <v>329</v>
      </c>
      <c r="B28" s="1" t="n">
        <v>43</v>
      </c>
    </row>
    <row r="29" customFormat="false" ht="15" hidden="false" customHeight="false" outlineLevel="0" collapsed="false">
      <c r="A29" s="1" t="s">
        <v>152</v>
      </c>
      <c r="B29" s="1" t="n">
        <v>39</v>
      </c>
    </row>
    <row r="30" customFormat="false" ht="15" hidden="false" customHeight="false" outlineLevel="0" collapsed="false">
      <c r="A30" s="1" t="s">
        <v>155</v>
      </c>
      <c r="B30" s="1" t="n">
        <v>39</v>
      </c>
    </row>
    <row r="31" customFormat="false" ht="15" hidden="false" customHeight="false" outlineLevel="0" collapsed="false">
      <c r="A31" s="1" t="s">
        <v>158</v>
      </c>
      <c r="B31" s="1" t="n">
        <v>39</v>
      </c>
    </row>
    <row r="32" customFormat="false" ht="15" hidden="false" customHeight="false" outlineLevel="0" collapsed="false">
      <c r="A32" s="1" t="s">
        <v>160</v>
      </c>
      <c r="B32" s="1" t="n">
        <v>39</v>
      </c>
    </row>
    <row r="33" customFormat="false" ht="15" hidden="false" customHeight="false" outlineLevel="0" collapsed="false">
      <c r="A33" s="1" t="s">
        <v>336</v>
      </c>
      <c r="B33" s="1" t="n">
        <v>48</v>
      </c>
    </row>
    <row r="34" customFormat="false" ht="15" hidden="false" customHeight="false" outlineLevel="0" collapsed="false">
      <c r="A34" s="1" t="s">
        <v>173</v>
      </c>
      <c r="B34" s="1" t="n">
        <v>32</v>
      </c>
    </row>
    <row r="35" customFormat="false" ht="15" hidden="false" customHeight="false" outlineLevel="0" collapsed="false">
      <c r="A35" s="1" t="s">
        <v>338</v>
      </c>
      <c r="B35" s="1" t="n">
        <v>54</v>
      </c>
    </row>
    <row r="36" customFormat="false" ht="15" hidden="false" customHeight="false" outlineLevel="0" collapsed="false">
      <c r="A36" s="1" t="s">
        <v>340</v>
      </c>
      <c r="B36" s="1" t="n">
        <v>30</v>
      </c>
    </row>
    <row r="37" customFormat="false" ht="15" hidden="false" customHeight="false" outlineLevel="0" collapsed="false">
      <c r="A37" s="1" t="s">
        <v>341</v>
      </c>
      <c r="B37" s="1" t="n">
        <v>39</v>
      </c>
    </row>
    <row r="38" customFormat="false" ht="15" hidden="false" customHeight="false" outlineLevel="0" collapsed="false">
      <c r="A38" s="62" t="s">
        <v>342</v>
      </c>
      <c r="B38" s="1" t="n">
        <v>49</v>
      </c>
    </row>
    <row r="39" customFormat="false" ht="15" hidden="false" customHeight="false" outlineLevel="0" collapsed="false">
      <c r="A39" s="1" t="s">
        <v>343</v>
      </c>
      <c r="B39" s="1" t="n">
        <v>49</v>
      </c>
    </row>
    <row r="40" customFormat="false" ht="15" hidden="false" customHeight="false" outlineLevel="0" collapsed="false">
      <c r="A40" s="1" t="s">
        <v>348</v>
      </c>
      <c r="B40" s="1" t="n">
        <v>39</v>
      </c>
    </row>
    <row r="41" customFormat="false" ht="15" hidden="false" customHeight="false" outlineLevel="0" collapsed="false">
      <c r="A41" s="1" t="s">
        <v>349</v>
      </c>
      <c r="B41" s="1" t="n">
        <v>39</v>
      </c>
    </row>
    <row r="42" customFormat="false" ht="15" hidden="false" customHeight="false" outlineLevel="0" collapsed="false">
      <c r="A42" s="1" t="s">
        <v>351</v>
      </c>
      <c r="B42" s="1" t="n">
        <v>39</v>
      </c>
    </row>
    <row r="43" customFormat="false" ht="15" hidden="false" customHeight="false" outlineLevel="0" collapsed="false">
      <c r="A43" s="1" t="s">
        <v>352</v>
      </c>
      <c r="B43" s="1" t="n">
        <v>39</v>
      </c>
    </row>
    <row r="44" customFormat="false" ht="15" hidden="false" customHeight="false" outlineLevel="0" collapsed="false">
      <c r="A44" s="1" t="s">
        <v>353</v>
      </c>
      <c r="B44" s="1" t="n">
        <v>39</v>
      </c>
    </row>
    <row r="45" customFormat="false" ht="15" hidden="false" customHeight="false" outlineLevel="0" collapsed="false">
      <c r="A45" s="1" t="s">
        <v>354</v>
      </c>
      <c r="B45" s="1" t="n">
        <v>39</v>
      </c>
    </row>
    <row r="46" customFormat="false" ht="15" hidden="false" customHeight="false" outlineLevel="0" collapsed="false">
      <c r="A46" s="1" t="s">
        <v>355</v>
      </c>
      <c r="B46" s="1" t="n">
        <v>39</v>
      </c>
    </row>
    <row r="47" customFormat="false" ht="15" hidden="false" customHeight="false" outlineLevel="0" collapsed="false">
      <c r="A47" s="1" t="s">
        <v>356</v>
      </c>
      <c r="B47" s="1" t="n">
        <v>39</v>
      </c>
    </row>
    <row r="48" customFormat="false" ht="15" hidden="false" customHeight="false" outlineLevel="0" collapsed="false">
      <c r="A48" s="1" t="s">
        <v>357</v>
      </c>
      <c r="B48" s="1" t="n">
        <v>39</v>
      </c>
    </row>
    <row r="49" customFormat="false" ht="15" hidden="false" customHeight="false" outlineLevel="0" collapsed="false">
      <c r="A49" s="1" t="s">
        <v>358</v>
      </c>
      <c r="B49" s="1" t="n">
        <v>39</v>
      </c>
    </row>
    <row r="50" customFormat="false" ht="15" hidden="false" customHeight="false" outlineLevel="0" collapsed="false">
      <c r="A50" s="1" t="s">
        <v>359</v>
      </c>
      <c r="B50" s="1" t="n">
        <v>39</v>
      </c>
    </row>
    <row r="51" customFormat="false" ht="15" hidden="false" customHeight="false" outlineLevel="0" collapsed="false">
      <c r="A51" s="1" t="s">
        <v>360</v>
      </c>
      <c r="B51" s="1" t="n">
        <v>39</v>
      </c>
    </row>
    <row r="52" customFormat="false" ht="15" hidden="false" customHeight="false" outlineLevel="0" collapsed="false">
      <c r="A52" s="1" t="s">
        <v>361</v>
      </c>
      <c r="B52" s="1" t="n">
        <v>39</v>
      </c>
    </row>
    <row r="53" customFormat="false" ht="15" hidden="false" customHeight="false" outlineLevel="0" collapsed="false">
      <c r="A53" s="1" t="s">
        <v>363</v>
      </c>
      <c r="B53" s="1" t="n">
        <v>39</v>
      </c>
    </row>
    <row r="54" customFormat="false" ht="15" hidden="false" customHeight="false" outlineLevel="0" collapsed="false">
      <c r="A54" s="1" t="s">
        <v>364</v>
      </c>
      <c r="B54" s="1" t="n">
        <v>39</v>
      </c>
    </row>
    <row r="55" customFormat="false" ht="15" hidden="false" customHeight="false" outlineLevel="0" collapsed="false">
      <c r="A55" s="1" t="s">
        <v>365</v>
      </c>
      <c r="B55" s="1" t="n">
        <v>39</v>
      </c>
    </row>
    <row r="56" customFormat="false" ht="15" hidden="false" customHeight="false" outlineLevel="0" collapsed="false">
      <c r="A56" s="1" t="s">
        <v>366</v>
      </c>
      <c r="B56" s="1" t="n">
        <v>39</v>
      </c>
    </row>
    <row r="57" customFormat="false" ht="15" hidden="false" customHeight="false" outlineLevel="0" collapsed="false">
      <c r="A57" s="1" t="s">
        <v>367</v>
      </c>
      <c r="B57" s="1" t="n">
        <v>39</v>
      </c>
    </row>
    <row r="58" customFormat="false" ht="15" hidden="false" customHeight="false" outlineLevel="0" collapsed="false">
      <c r="A58" s="1" t="s">
        <v>368</v>
      </c>
      <c r="B58" s="1" t="n">
        <v>39</v>
      </c>
    </row>
    <row r="59" customFormat="false" ht="15" hidden="false" customHeight="false" outlineLevel="0" collapsed="false">
      <c r="A59" s="1" t="s">
        <v>369</v>
      </c>
      <c r="B59" s="1" t="n">
        <v>39</v>
      </c>
    </row>
    <row r="60" customFormat="false" ht="15" hidden="false" customHeight="false" outlineLevel="0" collapsed="false">
      <c r="A60" s="1" t="s">
        <v>371</v>
      </c>
      <c r="B60" s="1" t="n">
        <v>39</v>
      </c>
    </row>
    <row r="61" customFormat="false" ht="15" hidden="false" customHeight="false" outlineLevel="0" collapsed="false">
      <c r="A61" s="62" t="s">
        <v>373</v>
      </c>
      <c r="B61" s="1" t="n">
        <v>39</v>
      </c>
    </row>
    <row r="62" customFormat="false" ht="15" hidden="false" customHeight="false" outlineLevel="0" collapsed="false">
      <c r="A62" s="1" t="s">
        <v>374</v>
      </c>
      <c r="B62" s="1" t="n">
        <v>39</v>
      </c>
    </row>
    <row r="63" customFormat="false" ht="15" hidden="false" customHeight="false" outlineLevel="0" collapsed="false">
      <c r="A63" s="1" t="s">
        <v>375</v>
      </c>
      <c r="B63" s="1" t="n">
        <v>39</v>
      </c>
    </row>
    <row r="64" customFormat="false" ht="15" hidden="false" customHeight="false" outlineLevel="0" collapsed="false">
      <c r="A64" s="1" t="s">
        <v>376</v>
      </c>
      <c r="B64" s="1" t="n">
        <v>39</v>
      </c>
    </row>
    <row r="65" customFormat="false" ht="15" hidden="false" customHeight="false" outlineLevel="0" collapsed="false">
      <c r="A65" s="1" t="s">
        <v>377</v>
      </c>
      <c r="B65" s="1" t="n">
        <v>39</v>
      </c>
    </row>
    <row r="66" customFormat="false" ht="15" hidden="false" customHeight="false" outlineLevel="0" collapsed="false">
      <c r="A66" s="1" t="s">
        <v>378</v>
      </c>
      <c r="B66" s="1" t="n">
        <v>39</v>
      </c>
    </row>
    <row r="67" customFormat="false" ht="15" hidden="false" customHeight="false" outlineLevel="0" collapsed="false">
      <c r="A67" s="1" t="s">
        <v>379</v>
      </c>
      <c r="B67" s="1" t="n">
        <v>39</v>
      </c>
    </row>
    <row r="68" customFormat="false" ht="15" hidden="false" customHeight="false" outlineLevel="0" collapsed="false">
      <c r="A68" s="1" t="s">
        <v>380</v>
      </c>
      <c r="B68" s="1" t="n">
        <v>39</v>
      </c>
    </row>
    <row r="69" customFormat="false" ht="15" hidden="false" customHeight="false" outlineLevel="0" collapsed="false">
      <c r="A69" s="1" t="s">
        <v>381</v>
      </c>
      <c r="B69" s="1" t="n">
        <v>39</v>
      </c>
    </row>
    <row r="70" customFormat="false" ht="15" hidden="false" customHeight="false" outlineLevel="0" collapsed="false">
      <c r="A70" s="1" t="s">
        <v>382</v>
      </c>
      <c r="B70" s="1" t="n">
        <v>39</v>
      </c>
    </row>
    <row r="71" customFormat="false" ht="15" hidden="false" customHeight="false" outlineLevel="0" collapsed="false">
      <c r="A71" s="1" t="s">
        <v>383</v>
      </c>
      <c r="B71" s="1" t="n">
        <v>39</v>
      </c>
    </row>
    <row r="72" customFormat="false" ht="15" hidden="false" customHeight="false" outlineLevel="0" collapsed="false">
      <c r="A72" s="1" t="s">
        <v>384</v>
      </c>
      <c r="B72" s="1" t="n">
        <v>39</v>
      </c>
    </row>
    <row r="73" customFormat="false" ht="15" hidden="false" customHeight="false" outlineLevel="0" collapsed="false">
      <c r="A73" s="1" t="s">
        <v>385</v>
      </c>
      <c r="B73" s="1" t="n">
        <v>39</v>
      </c>
    </row>
    <row r="74" customFormat="false" ht="15" hidden="false" customHeight="false" outlineLevel="0" collapsed="false">
      <c r="A74" s="1" t="s">
        <v>386</v>
      </c>
      <c r="B74" s="1" t="n">
        <v>39</v>
      </c>
    </row>
    <row r="75" customFormat="false" ht="15" hidden="false" customHeight="false" outlineLevel="0" collapsed="false">
      <c r="A75" s="1" t="s">
        <v>387</v>
      </c>
      <c r="B75" s="1" t="n">
        <v>39</v>
      </c>
    </row>
    <row r="76" customFormat="false" ht="15" hidden="false" customHeight="false" outlineLevel="0" collapsed="false">
      <c r="A76" s="1" t="s">
        <v>388</v>
      </c>
      <c r="B76" s="1" t="n">
        <v>39</v>
      </c>
    </row>
    <row r="77" customFormat="false" ht="15" hidden="false" customHeight="false" outlineLevel="0" collapsed="false">
      <c r="A77" s="1" t="s">
        <v>390</v>
      </c>
      <c r="B77" s="1" t="n">
        <v>39</v>
      </c>
    </row>
    <row r="78" customFormat="false" ht="15" hidden="false" customHeight="false" outlineLevel="0" collapsed="false">
      <c r="A78" s="1" t="s">
        <v>391</v>
      </c>
      <c r="B78" s="1" t="n">
        <v>39</v>
      </c>
    </row>
    <row r="79" customFormat="false" ht="15" hidden="false" customHeight="false" outlineLevel="0" collapsed="false">
      <c r="A79" s="1" t="s">
        <v>392</v>
      </c>
      <c r="B79" s="1" t="n">
        <v>39</v>
      </c>
    </row>
    <row r="80" customFormat="false" ht="15" hidden="false" customHeight="false" outlineLevel="0" collapsed="false">
      <c r="A80" s="1" t="s">
        <v>393</v>
      </c>
      <c r="B80" s="1" t="n">
        <v>39</v>
      </c>
    </row>
    <row r="81" customFormat="false" ht="15" hidden="false" customHeight="false" outlineLevel="0" collapsed="false">
      <c r="A81" s="1" t="s">
        <v>394</v>
      </c>
      <c r="B81" s="1" t="n">
        <v>39</v>
      </c>
    </row>
    <row r="82" customFormat="false" ht="15" hidden="false" customHeight="false" outlineLevel="0" collapsed="false">
      <c r="A82" s="1" t="s">
        <v>395</v>
      </c>
      <c r="B82" s="1" t="n">
        <v>39</v>
      </c>
    </row>
    <row r="83" customFormat="false" ht="15" hidden="false" customHeight="false" outlineLevel="0" collapsed="false">
      <c r="A83" s="1" t="s">
        <v>397</v>
      </c>
      <c r="B83" s="1" t="n">
        <v>39</v>
      </c>
    </row>
    <row r="84" customFormat="false" ht="15" hidden="false" customHeight="false" outlineLevel="0" collapsed="false">
      <c r="A84" s="1" t="s">
        <v>398</v>
      </c>
      <c r="B84" s="1" t="n">
        <v>39</v>
      </c>
    </row>
    <row r="85" customFormat="false" ht="15" hidden="false" customHeight="false" outlineLevel="0" collapsed="false">
      <c r="A85" s="62" t="s">
        <v>399</v>
      </c>
      <c r="B85" s="1" t="n">
        <v>39</v>
      </c>
    </row>
    <row r="86" customFormat="false" ht="15" hidden="false" customHeight="false" outlineLevel="0" collapsed="false">
      <c r="A86" s="1" t="s">
        <v>401</v>
      </c>
      <c r="B86" s="1" t="n">
        <v>48</v>
      </c>
    </row>
    <row r="87" customFormat="false" ht="15" hidden="false" customHeight="false" outlineLevel="0" collapsed="false">
      <c r="A87" s="1" t="s">
        <v>402</v>
      </c>
      <c r="B87" s="1" t="n">
        <v>48</v>
      </c>
    </row>
    <row r="88" customFormat="false" ht="15" hidden="false" customHeight="false" outlineLevel="0" collapsed="false">
      <c r="A88" s="1" t="s">
        <v>405</v>
      </c>
      <c r="B88" s="1" t="n">
        <v>39</v>
      </c>
    </row>
    <row r="89" customFormat="false" ht="15" hidden="false" customHeight="false" outlineLevel="0" collapsed="false">
      <c r="A89" s="1" t="s">
        <v>406</v>
      </c>
      <c r="B89" s="1" t="n">
        <v>39</v>
      </c>
    </row>
    <row r="90" customFormat="false" ht="15" hidden="false" customHeight="false" outlineLevel="0" collapsed="false">
      <c r="A90" s="1" t="s">
        <v>408</v>
      </c>
      <c r="B90" s="1" t="n">
        <v>39</v>
      </c>
    </row>
    <row r="91" customFormat="false" ht="15" hidden="false" customHeight="false" outlineLevel="0" collapsed="false">
      <c r="A91" s="1" t="s">
        <v>409</v>
      </c>
      <c r="B91" s="1" t="n">
        <v>39</v>
      </c>
    </row>
    <row r="92" customFormat="false" ht="15" hidden="false" customHeight="false" outlineLevel="0" collapsed="false">
      <c r="A92" s="1" t="s">
        <v>410</v>
      </c>
      <c r="B92" s="1" t="n">
        <v>39</v>
      </c>
    </row>
    <row r="93" customFormat="false" ht="15" hidden="false" customHeight="false" outlineLevel="0" collapsed="false">
      <c r="A93" s="1" t="s">
        <v>413</v>
      </c>
      <c r="B93" s="1" t="n">
        <v>39</v>
      </c>
    </row>
    <row r="94" customFormat="false" ht="15" hidden="false" customHeight="false" outlineLevel="0" collapsed="false">
      <c r="A94" s="1" t="s">
        <v>414</v>
      </c>
      <c r="B94" s="1" t="n">
        <v>39</v>
      </c>
    </row>
    <row r="95" customFormat="false" ht="15" hidden="false" customHeight="false" outlineLevel="0" collapsed="false">
      <c r="A95" s="1" t="s">
        <v>416</v>
      </c>
      <c r="B95" s="1" t="n">
        <v>39</v>
      </c>
    </row>
    <row r="96" customFormat="false" ht="15" hidden="false" customHeight="false" outlineLevel="0" collapsed="false">
      <c r="A96" s="1" t="s">
        <v>417</v>
      </c>
      <c r="B96" s="1" t="n">
        <v>39</v>
      </c>
    </row>
    <row r="97" customFormat="false" ht="15" hidden="false" customHeight="false" outlineLevel="0" collapsed="false">
      <c r="A97" s="1" t="s">
        <v>419</v>
      </c>
      <c r="B97" s="1" t="n">
        <v>39</v>
      </c>
    </row>
    <row r="98" customFormat="false" ht="15" hidden="false" customHeight="false" outlineLevel="0" collapsed="false">
      <c r="A98" s="1" t="s">
        <v>420</v>
      </c>
      <c r="B98" s="1" t="n">
        <v>39</v>
      </c>
    </row>
    <row r="99" customFormat="false" ht="15" hidden="false" customHeight="false" outlineLevel="0" collapsed="false">
      <c r="A99" s="1" t="s">
        <v>421</v>
      </c>
      <c r="B99" s="1" t="n">
        <v>39</v>
      </c>
    </row>
    <row r="100" customFormat="false" ht="15" hidden="false" customHeight="false" outlineLevel="0" collapsed="false">
      <c r="A100" s="1" t="s">
        <v>422</v>
      </c>
      <c r="B100" s="1" t="n">
        <v>39</v>
      </c>
    </row>
    <row r="101" customFormat="false" ht="15" hidden="false" customHeight="false" outlineLevel="0" collapsed="false">
      <c r="A101" s="1" t="s">
        <v>423</v>
      </c>
      <c r="B101" s="1" t="n">
        <v>39</v>
      </c>
    </row>
    <row r="102" customFormat="false" ht="15" hidden="false" customHeight="false" outlineLevel="0" collapsed="false">
      <c r="A102" s="1" t="s">
        <v>426</v>
      </c>
      <c r="B102" s="1" t="n">
        <v>56</v>
      </c>
    </row>
    <row r="103" customFormat="false" ht="15" hidden="false" customHeight="false" outlineLevel="0" collapsed="false">
      <c r="A103" s="1" t="s">
        <v>301</v>
      </c>
      <c r="B103" s="1" t="n">
        <v>38</v>
      </c>
    </row>
    <row r="104" customFormat="false" ht="15" hidden="false" customHeight="false" outlineLevel="0" collapsed="false">
      <c r="A104" s="1" t="s">
        <v>428</v>
      </c>
      <c r="B104" s="1" t="n">
        <v>21</v>
      </c>
    </row>
    <row r="105" customFormat="false" ht="15" hidden="false" customHeight="false" outlineLevel="0" collapsed="false">
      <c r="A105" s="62" t="s">
        <v>430</v>
      </c>
      <c r="B105" s="1" t="n">
        <v>43</v>
      </c>
    </row>
    <row r="106" customFormat="false" ht="15" hidden="false" customHeight="false" outlineLevel="0" collapsed="false">
      <c r="A106" s="1" t="s">
        <v>432</v>
      </c>
      <c r="B106" s="1" t="n">
        <v>39</v>
      </c>
    </row>
    <row r="107" customFormat="false" ht="15" hidden="false" customHeight="false" outlineLevel="0" collapsed="false">
      <c r="A107" s="1" t="s">
        <v>433</v>
      </c>
      <c r="B107" s="1" t="n">
        <v>39</v>
      </c>
    </row>
    <row r="108" customFormat="false" ht="15" hidden="false" customHeight="false" outlineLevel="0" collapsed="false">
      <c r="A108" s="1" t="s">
        <v>434</v>
      </c>
      <c r="B108" s="1" t="n">
        <v>39</v>
      </c>
    </row>
    <row r="109" customFormat="false" ht="15" hidden="false" customHeight="false" outlineLevel="0" collapsed="false">
      <c r="A109" s="1" t="s">
        <v>435</v>
      </c>
      <c r="B109" s="1" t="n">
        <v>47</v>
      </c>
    </row>
    <row r="110" customFormat="false" ht="15" hidden="false" customHeight="false" outlineLevel="0" collapsed="false">
      <c r="A110" s="1" t="s">
        <v>436</v>
      </c>
      <c r="B110" s="1" t="n">
        <v>53</v>
      </c>
    </row>
    <row r="111" customFormat="false" ht="15" hidden="false" customHeight="false" outlineLevel="0" collapsed="false">
      <c r="A111" s="1" t="s">
        <v>438</v>
      </c>
      <c r="B111" s="1" t="n">
        <v>48</v>
      </c>
    </row>
    <row r="112" customFormat="false" ht="15" hidden="false" customHeight="false" outlineLevel="0" collapsed="false">
      <c r="A112" s="1" t="s">
        <v>439</v>
      </c>
      <c r="B112" s="1" t="n">
        <v>39</v>
      </c>
    </row>
    <row r="113" customFormat="false" ht="15" hidden="false" customHeight="false" outlineLevel="0" collapsed="false">
      <c r="A113" s="1" t="s">
        <v>440</v>
      </c>
      <c r="B113" s="1" t="n">
        <v>39</v>
      </c>
    </row>
    <row r="114" customFormat="false" ht="15" hidden="false" customHeight="false" outlineLevel="0" collapsed="false">
      <c r="A114" s="1" t="s">
        <v>441</v>
      </c>
      <c r="B114" s="1" t="n">
        <v>39</v>
      </c>
    </row>
    <row r="115" customFormat="false" ht="15" hidden="false" customHeight="false" outlineLevel="0" collapsed="false">
      <c r="A115" s="1" t="s">
        <v>442</v>
      </c>
      <c r="B115" s="1" t="n">
        <v>39</v>
      </c>
    </row>
    <row r="116" customFormat="false" ht="15" hidden="false" customHeight="false" outlineLevel="0" collapsed="false">
      <c r="A116" s="1" t="s">
        <v>443</v>
      </c>
      <c r="B116" s="1" t="n">
        <v>39</v>
      </c>
    </row>
    <row r="117" customFormat="false" ht="15" hidden="false" customHeight="false" outlineLevel="0" collapsed="false">
      <c r="A117" s="1" t="s">
        <v>444</v>
      </c>
      <c r="B117" s="1" t="n">
        <v>49</v>
      </c>
    </row>
    <row r="118" customFormat="false" ht="15" hidden="false" customHeight="false" outlineLevel="0" collapsed="false">
      <c r="A118" s="1" t="s">
        <v>445</v>
      </c>
      <c r="B118" s="1" t="n">
        <v>48</v>
      </c>
    </row>
    <row r="119" customFormat="false" ht="15" hidden="false" customHeight="false" outlineLevel="0" collapsed="false">
      <c r="A119" s="1" t="s">
        <v>446</v>
      </c>
      <c r="B119" s="1" t="n">
        <v>39</v>
      </c>
    </row>
    <row r="120" customFormat="false" ht="15" hidden="false" customHeight="false" outlineLevel="0" collapsed="false">
      <c r="A120" s="1" t="s">
        <v>447</v>
      </c>
      <c r="B120" s="1" t="n">
        <v>39</v>
      </c>
    </row>
    <row r="121" customFormat="false" ht="15" hidden="false" customHeight="false" outlineLevel="0" collapsed="false">
      <c r="A121" s="62" t="s">
        <v>450</v>
      </c>
      <c r="B121" s="1" t="n">
        <v>34</v>
      </c>
    </row>
    <row r="122" customFormat="false" ht="15" hidden="false" customHeight="false" outlineLevel="0" collapsed="false">
      <c r="A122" s="1" t="s">
        <v>451</v>
      </c>
      <c r="B122" s="1" t="n">
        <v>48</v>
      </c>
    </row>
    <row r="123" customFormat="false" ht="15" hidden="false" customHeight="false" outlineLevel="0" collapsed="false">
      <c r="A123" s="1" t="s">
        <v>258</v>
      </c>
      <c r="B123" s="1" t="n">
        <v>39</v>
      </c>
    </row>
    <row r="124" customFormat="false" ht="15" hidden="false" customHeight="false" outlineLevel="0" collapsed="false">
      <c r="A124" s="1" t="s">
        <v>260</v>
      </c>
      <c r="B124" s="1" t="n">
        <v>39</v>
      </c>
    </row>
    <row r="125" customFormat="false" ht="15" hidden="false" customHeight="false" outlineLevel="0" collapsed="false">
      <c r="A125" s="1" t="s">
        <v>262</v>
      </c>
      <c r="B125" s="1" t="n">
        <v>39</v>
      </c>
    </row>
    <row r="126" customFormat="false" ht="15" hidden="false" customHeight="false" outlineLevel="0" collapsed="false">
      <c r="A126" s="1" t="s">
        <v>264</v>
      </c>
      <c r="B126" s="1" t="n">
        <v>39</v>
      </c>
    </row>
    <row r="127" customFormat="false" ht="15" hidden="false" customHeight="false" outlineLevel="0" collapsed="false">
      <c r="A127" s="1" t="s">
        <v>266</v>
      </c>
      <c r="B127" s="1" t="n">
        <v>39</v>
      </c>
    </row>
    <row r="128" customFormat="false" ht="15" hidden="false" customHeight="false" outlineLevel="0" collapsed="false">
      <c r="A128" s="1" t="s">
        <v>268</v>
      </c>
      <c r="B128" s="1" t="n">
        <v>39</v>
      </c>
    </row>
    <row r="129" customFormat="false" ht="15" hidden="false" customHeight="false" outlineLevel="0" collapsed="false">
      <c r="A129" s="1" t="s">
        <v>270</v>
      </c>
      <c r="B129" s="1" t="n">
        <v>39</v>
      </c>
    </row>
    <row r="130" customFormat="false" ht="15" hidden="false" customHeight="false" outlineLevel="0" collapsed="false">
      <c r="A130" s="1" t="s">
        <v>273</v>
      </c>
      <c r="B130" s="1" t="n">
        <v>39</v>
      </c>
    </row>
    <row r="131" customFormat="false" ht="15" hidden="false" customHeight="false" outlineLevel="0" collapsed="false">
      <c r="A131" s="1" t="s">
        <v>275</v>
      </c>
      <c r="B131" s="1" t="n">
        <v>39</v>
      </c>
    </row>
    <row r="132" customFormat="false" ht="15" hidden="false" customHeight="false" outlineLevel="0" collapsed="false">
      <c r="A132" s="1" t="s">
        <v>650</v>
      </c>
      <c r="B132" s="1" t="n">
        <v>49</v>
      </c>
    </row>
    <row r="133" customFormat="false" ht="15" hidden="false" customHeight="false" outlineLevel="0" collapsed="false">
      <c r="A133" s="1" t="s">
        <v>651</v>
      </c>
      <c r="B133" s="1" t="n">
        <v>47</v>
      </c>
    </row>
    <row r="134" customFormat="false" ht="15" hidden="false" customHeight="false" outlineLevel="0" collapsed="false">
      <c r="A134" s="1" t="s">
        <v>653</v>
      </c>
      <c r="B134" s="1" t="n">
        <v>5</v>
      </c>
    </row>
    <row r="135" customFormat="false" ht="15" hidden="false" customHeight="false" outlineLevel="0" collapsed="false">
      <c r="A135" s="1" t="s">
        <v>654</v>
      </c>
      <c r="B135" s="1" t="n">
        <v>30</v>
      </c>
    </row>
    <row r="136" customFormat="false" ht="15" hidden="false" customHeight="false" outlineLevel="0" collapsed="false">
      <c r="A136" s="1" t="s">
        <v>655</v>
      </c>
      <c r="B136" s="1" t="n">
        <v>49</v>
      </c>
    </row>
    <row r="137" customFormat="false" ht="15" hidden="false" customHeight="false" outlineLevel="0" collapsed="false">
      <c r="A137" s="1" t="s">
        <v>656</v>
      </c>
      <c r="B137" s="1" t="n">
        <v>48</v>
      </c>
    </row>
    <row r="138" customFormat="false" ht="15" hidden="false" customHeight="false" outlineLevel="0" collapsed="false">
      <c r="A138" s="1" t="s">
        <v>657</v>
      </c>
      <c r="B138" s="1" t="n">
        <v>49</v>
      </c>
    </row>
    <row r="139" customFormat="false" ht="15" hidden="false" customHeight="false" outlineLevel="0" collapsed="false">
      <c r="A139" s="1" t="s">
        <v>658</v>
      </c>
      <c r="B139" s="1" t="n">
        <v>48</v>
      </c>
    </row>
    <row r="140" customFormat="false" ht="15" hidden="false" customHeight="false" outlineLevel="0" collapsed="false">
      <c r="A140" s="1" t="s">
        <v>659</v>
      </c>
      <c r="B140" s="1" t="n">
        <v>48</v>
      </c>
    </row>
    <row r="141" customFormat="false" ht="15" hidden="false" customHeight="false" outlineLevel="0" collapsed="false">
      <c r="A141" s="1" t="s">
        <v>660</v>
      </c>
      <c r="B141" s="1" t="n">
        <v>48</v>
      </c>
    </row>
    <row r="142" customFormat="false" ht="15" hidden="false" customHeight="false" outlineLevel="0" collapsed="false">
      <c r="A142" s="1" t="s">
        <v>661</v>
      </c>
      <c r="B142" s="1" t="n">
        <v>48</v>
      </c>
    </row>
    <row r="143" customFormat="false" ht="15" hidden="false" customHeight="false" outlineLevel="0" collapsed="false">
      <c r="A143" s="1" t="s">
        <v>662</v>
      </c>
      <c r="B143" s="1" t="n">
        <v>30</v>
      </c>
    </row>
    <row r="144" customFormat="false" ht="15" hidden="false" customHeight="false" outlineLevel="0" collapsed="false">
      <c r="A144" s="1" t="s">
        <v>663</v>
      </c>
      <c r="B144" s="1" t="n">
        <v>34</v>
      </c>
    </row>
    <row r="145" customFormat="false" ht="15" hidden="false" customHeight="false" outlineLevel="0" collapsed="false">
      <c r="A145" s="1" t="s">
        <v>664</v>
      </c>
      <c r="B145" s="1" t="n">
        <v>5</v>
      </c>
    </row>
    <row r="146" customFormat="false" ht="15" hidden="false" customHeight="false" outlineLevel="0" collapsed="false">
      <c r="A146" s="1" t="s">
        <v>665</v>
      </c>
      <c r="B146" s="1" t="n">
        <v>48</v>
      </c>
    </row>
    <row r="147" customFormat="false" ht="15" hidden="false" customHeight="false" outlineLevel="0" collapsed="false">
      <c r="A147" s="1" t="s">
        <v>667</v>
      </c>
      <c r="B147" s="1" t="n">
        <v>43</v>
      </c>
    </row>
    <row r="148" customFormat="false" ht="15" hidden="false" customHeight="false" outlineLevel="0" collapsed="false">
      <c r="A148" s="62" t="s">
        <v>670</v>
      </c>
      <c r="B148" s="1" t="n">
        <v>5</v>
      </c>
    </row>
    <row r="149" customFormat="false" ht="15" hidden="false" customHeight="false" outlineLevel="0" collapsed="false">
      <c r="A149" s="1" t="s">
        <v>671</v>
      </c>
      <c r="B149" s="1" t="n">
        <v>4</v>
      </c>
    </row>
    <row r="150" customFormat="false" ht="15" hidden="false" customHeight="false" outlineLevel="0" collapsed="false">
      <c r="A150" s="1" t="s">
        <v>672</v>
      </c>
      <c r="B150" s="1" t="n">
        <v>30</v>
      </c>
    </row>
    <row r="151" customFormat="false" ht="15" hidden="false" customHeight="false" outlineLevel="0" collapsed="false">
      <c r="A151" s="1" t="s">
        <v>673</v>
      </c>
      <c r="B151" s="1" t="n">
        <v>49</v>
      </c>
    </row>
    <row r="152" customFormat="false" ht="15" hidden="false" customHeight="false" outlineLevel="0" collapsed="false">
      <c r="A152" s="1" t="s">
        <v>676</v>
      </c>
      <c r="B152" s="1" t="n">
        <v>3</v>
      </c>
    </row>
    <row r="153" customFormat="false" ht="15" hidden="false" customHeight="false" outlineLevel="0" collapsed="false">
      <c r="A153" s="1" t="s">
        <v>677</v>
      </c>
      <c r="B153" s="1" t="n">
        <v>37</v>
      </c>
    </row>
    <row r="154" customFormat="false" ht="15" hidden="false" customHeight="false" outlineLevel="0" collapsed="false">
      <c r="A154" s="79" t="s">
        <v>680</v>
      </c>
      <c r="B154" s="1" t="n">
        <v>2</v>
      </c>
    </row>
    <row r="155" customFormat="false" ht="15" hidden="false" customHeight="false" outlineLevel="0" collapsed="false">
      <c r="A155" s="79" t="s">
        <v>685</v>
      </c>
      <c r="B155" s="1" t="n">
        <v>2</v>
      </c>
    </row>
    <row r="156" customFormat="false" ht="15" hidden="false" customHeight="false" outlineLevel="0" collapsed="false">
      <c r="A156" s="1" t="s">
        <v>687</v>
      </c>
      <c r="B156" s="1" t="n">
        <v>49</v>
      </c>
    </row>
    <row r="157" customFormat="false" ht="15" hidden="false" customHeight="false" outlineLevel="0" collapsed="false">
      <c r="A157" s="1" t="s">
        <v>692</v>
      </c>
      <c r="B157" s="1" t="n">
        <v>34</v>
      </c>
    </row>
    <row r="158" customFormat="false" ht="15" hidden="false" customHeight="false" outlineLevel="0" collapsed="false">
      <c r="A158" s="1" t="s">
        <v>693</v>
      </c>
      <c r="B158" s="1" t="n">
        <v>53</v>
      </c>
    </row>
    <row r="159" customFormat="false" ht="15" hidden="false" customHeight="false" outlineLevel="0" collapsed="false">
      <c r="A159" s="1" t="s">
        <v>695</v>
      </c>
      <c r="B159" s="1" t="n">
        <v>34</v>
      </c>
    </row>
    <row r="160" customFormat="false" ht="15" hidden="false" customHeight="false" outlineLevel="0" collapsed="false">
      <c r="A160" s="1" t="s">
        <v>696</v>
      </c>
      <c r="B160" s="1" t="n">
        <v>5</v>
      </c>
    </row>
    <row r="161" customFormat="false" ht="15" hidden="false" customHeight="false" outlineLevel="0" collapsed="false">
      <c r="A161" s="1" t="s">
        <v>697</v>
      </c>
      <c r="B161" s="1" t="n">
        <v>4</v>
      </c>
    </row>
    <row r="162" customFormat="false" ht="15" hidden="false" customHeight="false" outlineLevel="0" collapsed="false">
      <c r="A162" s="1" t="s">
        <v>698</v>
      </c>
      <c r="B162" s="1" t="n">
        <v>21</v>
      </c>
    </row>
    <row r="163" customFormat="false" ht="15" hidden="false" customHeight="false" outlineLevel="0" collapsed="false">
      <c r="A163" s="1" t="s">
        <v>699</v>
      </c>
      <c r="B163" s="1" t="n">
        <v>48</v>
      </c>
    </row>
    <row r="164" customFormat="false" ht="15" hidden="false" customHeight="false" outlineLevel="0" collapsed="false">
      <c r="A164" s="1" t="s">
        <v>700</v>
      </c>
      <c r="B164" s="1" t="n">
        <v>49</v>
      </c>
    </row>
    <row r="165" customFormat="false" ht="15" hidden="false" customHeight="false" outlineLevel="0" collapsed="false">
      <c r="A165" s="1" t="s">
        <v>705</v>
      </c>
      <c r="B165" s="1" t="n">
        <v>17</v>
      </c>
    </row>
    <row r="166" customFormat="false" ht="15" hidden="false" customHeight="false" outlineLevel="0" collapsed="false">
      <c r="A166" s="1" t="s">
        <v>706</v>
      </c>
      <c r="B166" s="1" t="n">
        <v>49</v>
      </c>
    </row>
    <row r="167" customFormat="false" ht="15" hidden="false" customHeight="false" outlineLevel="0" collapsed="false">
      <c r="A167" s="62" t="s">
        <v>709</v>
      </c>
      <c r="B167" s="1" t="n">
        <v>34</v>
      </c>
    </row>
    <row r="168" customFormat="false" ht="15" hidden="false" customHeight="false" outlineLevel="0" collapsed="false">
      <c r="A168" s="1" t="s">
        <v>710</v>
      </c>
      <c r="B168" s="1" t="n">
        <v>53</v>
      </c>
    </row>
    <row r="169" customFormat="false" ht="15" hidden="false" customHeight="false" outlineLevel="0" collapsed="false">
      <c r="A169" s="1" t="s">
        <v>712</v>
      </c>
      <c r="B169" s="1" t="n">
        <v>49</v>
      </c>
    </row>
    <row r="170" customFormat="false" ht="15" hidden="false" customHeight="false" outlineLevel="0" collapsed="false">
      <c r="A170" s="1" t="s">
        <v>715</v>
      </c>
      <c r="B170" s="1" t="n">
        <v>39</v>
      </c>
    </row>
    <row r="171" customFormat="false" ht="15" hidden="false" customHeight="false" outlineLevel="0" collapsed="false">
      <c r="A171" s="1" t="s">
        <v>716</v>
      </c>
      <c r="B171" s="1" t="n">
        <v>37</v>
      </c>
    </row>
    <row r="172" customFormat="false" ht="15" hidden="false" customHeight="false" outlineLevel="0" collapsed="false">
      <c r="A172" s="1" t="s">
        <v>719</v>
      </c>
      <c r="B172" s="1" t="n">
        <v>80</v>
      </c>
    </row>
    <row r="173" customFormat="false" ht="15" hidden="false" customHeight="false" outlineLevel="0" collapsed="false">
      <c r="A173" s="1" t="s">
        <v>720</v>
      </c>
      <c r="B173" s="1" t="n">
        <v>39</v>
      </c>
    </row>
    <row r="174" customFormat="false" ht="15" hidden="false" customHeight="false" outlineLevel="0" collapsed="false">
      <c r="A174" s="62" t="s">
        <v>721</v>
      </c>
      <c r="B174" s="1" t="n">
        <v>49</v>
      </c>
    </row>
    <row r="175" customFormat="false" ht="15" hidden="false" customHeight="false" outlineLevel="0" collapsed="false">
      <c r="A175" s="1" t="s">
        <v>722</v>
      </c>
      <c r="B175" s="1" t="n">
        <v>2</v>
      </c>
    </row>
    <row r="176" customFormat="false" ht="15" hidden="false" customHeight="false" outlineLevel="0" collapsed="false">
      <c r="A176" s="1" t="s">
        <v>723</v>
      </c>
      <c r="B176" s="1" t="n">
        <v>2</v>
      </c>
    </row>
    <row r="177" customFormat="false" ht="15" hidden="false" customHeight="false" outlineLevel="0" collapsed="false">
      <c r="A177" s="1" t="s">
        <v>724</v>
      </c>
      <c r="B177" s="1" t="n">
        <v>39</v>
      </c>
    </row>
    <row r="178" customFormat="false" ht="15" hidden="false" customHeight="false" outlineLevel="0" collapsed="false">
      <c r="A178" s="1" t="s">
        <v>598</v>
      </c>
      <c r="B178" s="1" t="n">
        <v>80</v>
      </c>
    </row>
    <row r="179" customFormat="false" ht="15" hidden="false" customHeight="false" outlineLevel="0" collapsed="false">
      <c r="A179" s="1" t="s">
        <v>725</v>
      </c>
      <c r="B179" s="1" t="n">
        <v>30</v>
      </c>
    </row>
    <row r="180" customFormat="false" ht="15" hidden="false" customHeight="false" outlineLevel="0" collapsed="false">
      <c r="A180" s="1" t="s">
        <v>726</v>
      </c>
      <c r="B180" s="1" t="n">
        <v>60</v>
      </c>
    </row>
    <row r="181" customFormat="false" ht="15" hidden="false" customHeight="false" outlineLevel="0" collapsed="false">
      <c r="A181" s="62" t="s">
        <v>727</v>
      </c>
      <c r="B181" s="1" t="n">
        <v>30</v>
      </c>
    </row>
    <row r="182" customFormat="false" ht="15" hidden="false" customHeight="false" outlineLevel="0" collapsed="false">
      <c r="A182" s="1" t="s">
        <v>606</v>
      </c>
      <c r="B182" s="1" t="n">
        <v>39</v>
      </c>
    </row>
    <row r="183" customFormat="false" ht="15" hidden="false" customHeight="false" outlineLevel="0" collapsed="false">
      <c r="A183" s="1" t="s">
        <v>729</v>
      </c>
      <c r="B183" s="1" t="n">
        <v>80</v>
      </c>
    </row>
    <row r="184" customFormat="false" ht="15" hidden="false" customHeight="false" outlineLevel="0" collapsed="false">
      <c r="A184" s="1" t="s">
        <v>730</v>
      </c>
      <c r="B184" s="1" t="n">
        <v>44</v>
      </c>
    </row>
    <row r="185" customFormat="false" ht="15" hidden="false" customHeight="false" outlineLevel="0" collapsed="false">
      <c r="A185" s="1" t="s">
        <v>731</v>
      </c>
      <c r="B185" s="1" t="n">
        <v>2</v>
      </c>
    </row>
    <row r="186" customFormat="false" ht="15" hidden="false" customHeight="false" outlineLevel="0" collapsed="false">
      <c r="A186" s="1" t="s">
        <v>83</v>
      </c>
      <c r="B186" s="1" t="n">
        <v>39</v>
      </c>
    </row>
    <row r="187" customFormat="false" ht="15" hidden="false" customHeight="false" outlineLevel="0" collapsed="false">
      <c r="A187" s="1" t="s">
        <v>749</v>
      </c>
      <c r="B187" s="1" t="n">
        <v>39</v>
      </c>
    </row>
    <row r="188" customFormat="false" ht="15" hidden="false" customHeight="false" outlineLevel="0" collapsed="false">
      <c r="A188" s="1" t="s">
        <v>861</v>
      </c>
      <c r="B188" s="1" t="n">
        <v>17</v>
      </c>
    </row>
    <row r="189" customFormat="false" ht="15" hidden="false" customHeight="false" outlineLevel="0" collapsed="false">
      <c r="A189" s="1" t="s">
        <v>862</v>
      </c>
      <c r="B189" s="1" t="n">
        <v>39</v>
      </c>
    </row>
    <row r="190" customFormat="false" ht="15" hidden="false" customHeight="false" outlineLevel="0" collapsed="false">
      <c r="A190" s="1" t="s">
        <v>875</v>
      </c>
      <c r="B190" s="1" t="n">
        <v>39</v>
      </c>
    </row>
    <row r="191" customFormat="false" ht="15" hidden="false" customHeight="false" outlineLevel="0" collapsed="false">
      <c r="A191" s="1" t="s">
        <v>876</v>
      </c>
      <c r="B191" s="1" t="n">
        <v>2</v>
      </c>
    </row>
    <row r="192" customFormat="false" ht="15" hidden="false" customHeight="false" outlineLevel="0" collapsed="false">
      <c r="A192" s="1" t="s">
        <v>877</v>
      </c>
      <c r="B192" s="1" t="n">
        <v>39</v>
      </c>
    </row>
    <row r="193" customFormat="false" ht="15" hidden="false" customHeight="false" outlineLevel="0" collapsed="false">
      <c r="A193" s="1" t="s">
        <v>878</v>
      </c>
      <c r="B193" s="1" t="n">
        <v>39</v>
      </c>
    </row>
    <row r="194" customFormat="false" ht="15" hidden="false" customHeight="false" outlineLevel="0" collapsed="false">
      <c r="A194" s="1" t="s">
        <v>879</v>
      </c>
      <c r="B194" s="1" t="n">
        <v>30</v>
      </c>
    </row>
    <row r="195" customFormat="false" ht="15" hidden="false" customHeight="false" outlineLevel="0" collapsed="false">
      <c r="A195" s="1" t="s">
        <v>880</v>
      </c>
      <c r="B195" s="1" t="n">
        <v>26</v>
      </c>
    </row>
    <row r="196" customFormat="false" ht="15" hidden="false" customHeight="false" outlineLevel="0" collapsed="false">
      <c r="A196" s="1" t="s">
        <v>881</v>
      </c>
      <c r="B196" s="1" t="n">
        <v>26</v>
      </c>
    </row>
    <row r="197" customFormat="false" ht="15" hidden="false" customHeight="false" outlineLevel="0" collapsed="false">
      <c r="A197" s="1" t="s">
        <v>882</v>
      </c>
      <c r="B197" s="1" t="n">
        <v>30</v>
      </c>
    </row>
    <row r="198" customFormat="false" ht="15" hidden="false" customHeight="false" outlineLevel="0" collapsed="false">
      <c r="A198" s="62" t="s">
        <v>883</v>
      </c>
      <c r="B198" s="1" t="n">
        <v>30</v>
      </c>
    </row>
    <row r="199" customFormat="false" ht="15" hidden="false" customHeight="false" outlineLevel="0" collapsed="false">
      <c r="A199" s="1" t="s">
        <v>885</v>
      </c>
      <c r="B199" s="1" t="n">
        <v>26</v>
      </c>
    </row>
    <row r="200" customFormat="false" ht="15" hidden="false" customHeight="false" outlineLevel="0" collapsed="false">
      <c r="A200" s="1" t="s">
        <v>886</v>
      </c>
      <c r="B200" s="1" t="n">
        <v>39</v>
      </c>
    </row>
    <row r="201" customFormat="false" ht="15" hidden="false" customHeight="false" outlineLevel="0" collapsed="false">
      <c r="A201" s="1" t="s">
        <v>887</v>
      </c>
      <c r="B201" s="1" t="n">
        <v>39</v>
      </c>
    </row>
    <row r="202" customFormat="false" ht="15" hidden="false" customHeight="false" outlineLevel="0" collapsed="false">
      <c r="A202" s="1" t="s">
        <v>888</v>
      </c>
      <c r="B202" s="1" t="n">
        <v>39</v>
      </c>
    </row>
    <row r="203" customFormat="false" ht="15" hidden="false" customHeight="false" outlineLevel="0" collapsed="false">
      <c r="A203" s="1" t="s">
        <v>891</v>
      </c>
      <c r="B203" s="1" t="n">
        <v>3</v>
      </c>
    </row>
    <row r="204" customFormat="false" ht="15" hidden="false" customHeight="false" outlineLevel="0" collapsed="false">
      <c r="A204" s="62" t="s">
        <v>893</v>
      </c>
      <c r="B204" s="1" t="n">
        <v>21</v>
      </c>
    </row>
    <row r="205" customFormat="false" ht="15" hidden="false" customHeight="false" outlineLevel="0" collapsed="false">
      <c r="A205" s="1" t="s">
        <v>894</v>
      </c>
      <c r="B205" s="1" t="n">
        <v>24</v>
      </c>
    </row>
    <row r="206" customFormat="false" ht="15" hidden="false" customHeight="false" outlineLevel="0" collapsed="false">
      <c r="A206" s="1" t="s">
        <v>895</v>
      </c>
      <c r="B206" s="1" t="n">
        <v>39</v>
      </c>
    </row>
    <row r="207" customFormat="false" ht="15" hidden="false" customHeight="false" outlineLevel="0" collapsed="false">
      <c r="A207" s="1" t="s">
        <v>896</v>
      </c>
      <c r="B207" s="1" t="n">
        <v>39</v>
      </c>
    </row>
    <row r="208" customFormat="false" ht="15" hidden="false" customHeight="false" outlineLevel="0" collapsed="false">
      <c r="A208" s="1" t="s">
        <v>897</v>
      </c>
      <c r="B208" s="1" t="n">
        <v>43</v>
      </c>
    </row>
    <row r="209" customFormat="false" ht="15" hidden="false" customHeight="false" outlineLevel="0" collapsed="false">
      <c r="A209" s="1" t="s">
        <v>898</v>
      </c>
      <c r="B209" s="1" t="n">
        <v>44</v>
      </c>
    </row>
    <row r="210" customFormat="false" ht="15" hidden="false" customHeight="false" outlineLevel="0" collapsed="false">
      <c r="A210" s="1" t="s">
        <v>907</v>
      </c>
      <c r="B210" s="1" t="n">
        <v>21</v>
      </c>
    </row>
    <row r="211" customFormat="false" ht="15" hidden="false" customHeight="false" outlineLevel="0" collapsed="false">
      <c r="A211" s="62" t="s">
        <v>908</v>
      </c>
      <c r="B211" s="1" t="n">
        <v>30</v>
      </c>
    </row>
    <row r="212" customFormat="false" ht="15" hidden="false" customHeight="false" outlineLevel="0" collapsed="false">
      <c r="A212" s="1" t="s">
        <v>909</v>
      </c>
      <c r="B212" s="1" t="n">
        <v>37</v>
      </c>
    </row>
    <row r="213" customFormat="false" ht="15" hidden="false" customHeight="false" outlineLevel="0" collapsed="false">
      <c r="A213" s="1" t="s">
        <v>910</v>
      </c>
      <c r="B213" s="1" t="n">
        <v>43</v>
      </c>
    </row>
    <row r="214" customFormat="false" ht="15" hidden="false" customHeight="false" outlineLevel="0" collapsed="false">
      <c r="A214" s="1" t="s">
        <v>911</v>
      </c>
      <c r="B214" s="1" t="n">
        <v>2</v>
      </c>
    </row>
    <row r="215" customFormat="false" ht="15" hidden="false" customHeight="false" outlineLevel="0" collapsed="false">
      <c r="A215" s="1" t="s">
        <v>912</v>
      </c>
      <c r="B215" s="1" t="n">
        <v>30</v>
      </c>
    </row>
    <row r="216" customFormat="false" ht="31.3" hidden="false" customHeight="false" outlineLevel="0" collapsed="false">
      <c r="A216" s="133" t="s">
        <v>913</v>
      </c>
      <c r="B216" s="1" t="n">
        <v>30</v>
      </c>
    </row>
    <row r="217" customFormat="false" ht="15" hidden="false" customHeight="false" outlineLevel="0" collapsed="false">
      <c r="A217" s="1" t="s">
        <v>914</v>
      </c>
      <c r="B217" s="1" t="n">
        <v>24</v>
      </c>
    </row>
    <row r="218" customFormat="false" ht="15" hidden="false" customHeight="false" outlineLevel="0" collapsed="false">
      <c r="A218" s="1" t="s">
        <v>915</v>
      </c>
      <c r="B218" s="1" t="n">
        <v>43</v>
      </c>
    </row>
    <row r="219" customFormat="false" ht="15" hidden="false" customHeight="false" outlineLevel="0" collapsed="false">
      <c r="A219" s="1" t="s">
        <v>916</v>
      </c>
      <c r="B219" s="1" t="n">
        <v>37</v>
      </c>
    </row>
    <row r="220" customFormat="false" ht="15" hidden="false" customHeight="false" outlineLevel="0" collapsed="false">
      <c r="A220" s="1" t="s">
        <v>918</v>
      </c>
      <c r="B220" s="1" t="n">
        <v>2</v>
      </c>
    </row>
    <row r="221" customFormat="false" ht="15" hidden="false" customHeight="false" outlineLevel="0" collapsed="false">
      <c r="A221" s="1" t="s">
        <v>919</v>
      </c>
      <c r="B221" s="1" t="n">
        <v>39</v>
      </c>
    </row>
    <row r="222" customFormat="false" ht="15" hidden="false" customHeight="false" outlineLevel="0" collapsed="false">
      <c r="A222" s="1" t="s">
        <v>920</v>
      </c>
      <c r="B222" s="1" t="n">
        <v>39</v>
      </c>
    </row>
    <row r="223" customFormat="false" ht="15" hidden="false" customHeight="false" outlineLevel="0" collapsed="false">
      <c r="A223" s="1" t="s">
        <v>921</v>
      </c>
      <c r="B223" s="1" t="n">
        <v>39</v>
      </c>
    </row>
    <row r="224" customFormat="false" ht="15" hidden="false" customHeight="false" outlineLevel="0" collapsed="false">
      <c r="A224" s="1" t="s">
        <v>922</v>
      </c>
      <c r="B224" s="1" t="n">
        <v>39</v>
      </c>
    </row>
    <row r="225" customFormat="false" ht="15" hidden="false" customHeight="false" outlineLevel="0" collapsed="false">
      <c r="A225" s="1" t="s">
        <v>923</v>
      </c>
      <c r="B225" s="1" t="n">
        <v>26</v>
      </c>
    </row>
    <row r="226" customFormat="false" ht="15" hidden="false" customHeight="false" outlineLevel="0" collapsed="false">
      <c r="A226" s="1" t="s">
        <v>924</v>
      </c>
      <c r="B226" s="1" t="n">
        <v>39</v>
      </c>
    </row>
    <row r="227" customFormat="false" ht="15" hidden="false" customHeight="false" outlineLevel="0" collapsed="false">
      <c r="A227" s="1" t="s">
        <v>925</v>
      </c>
      <c r="B227" s="1" t="n">
        <v>39</v>
      </c>
    </row>
    <row r="228" customFormat="false" ht="15" hidden="false" customHeight="false" outlineLevel="0" collapsed="false">
      <c r="A228" s="1" t="s">
        <v>927</v>
      </c>
      <c r="B228" s="1" t="n">
        <v>4</v>
      </c>
    </row>
    <row r="229" customFormat="false" ht="15" hidden="false" customHeight="false" outlineLevel="0" collapsed="false">
      <c r="A229" s="1" t="s">
        <v>928</v>
      </c>
      <c r="B229" s="1" t="n">
        <v>2</v>
      </c>
    </row>
    <row r="230" customFormat="false" ht="15" hidden="false" customHeight="false" outlineLevel="0" collapsed="false">
      <c r="A230" s="62" t="s">
        <v>929</v>
      </c>
      <c r="B230" s="1" t="n">
        <v>48</v>
      </c>
    </row>
    <row r="231" customFormat="false" ht="15" hidden="false" customHeight="false" outlineLevel="0" collapsed="false">
      <c r="A231" s="1" t="s">
        <v>930</v>
      </c>
      <c r="B231" s="1" t="n">
        <v>39</v>
      </c>
    </row>
    <row r="232" customFormat="false" ht="15" hidden="false" customHeight="false" outlineLevel="0" collapsed="false">
      <c r="A232" s="1" t="s">
        <v>932</v>
      </c>
      <c r="B232" s="1" t="n">
        <v>30</v>
      </c>
    </row>
    <row r="233" customFormat="false" ht="15" hidden="false" customHeight="false" outlineLevel="0" collapsed="false">
      <c r="A233" s="1" t="s">
        <v>933</v>
      </c>
      <c r="B233" s="1" t="n">
        <v>43</v>
      </c>
    </row>
    <row r="234" customFormat="false" ht="15" hidden="false" customHeight="false" outlineLevel="0" collapsed="false">
      <c r="A234" s="1" t="s">
        <v>935</v>
      </c>
      <c r="B234" s="1" t="n">
        <v>39</v>
      </c>
    </row>
    <row r="235" customFormat="false" ht="15" hidden="false" customHeight="false" outlineLevel="0" collapsed="false">
      <c r="A235" s="1" t="s">
        <v>937</v>
      </c>
      <c r="B235" s="1" t="n">
        <v>39</v>
      </c>
    </row>
    <row r="236" customFormat="false" ht="15" hidden="false" customHeight="false" outlineLevel="0" collapsed="false">
      <c r="A236" s="1" t="s">
        <v>938</v>
      </c>
      <c r="B236" s="1" t="n">
        <v>39</v>
      </c>
    </row>
    <row r="237" customFormat="false" ht="15" hidden="false" customHeight="false" outlineLevel="0" collapsed="false">
      <c r="A237" s="1" t="s">
        <v>939</v>
      </c>
      <c r="B237" s="1" t="n">
        <v>30</v>
      </c>
    </row>
    <row r="238" customFormat="false" ht="15" hidden="false" customHeight="false" outlineLevel="0" collapsed="false">
      <c r="A238" s="1" t="s">
        <v>941</v>
      </c>
      <c r="B238" s="1" t="n">
        <v>39</v>
      </c>
    </row>
    <row r="239" customFormat="false" ht="15" hidden="false" customHeight="false" outlineLevel="0" collapsed="false">
      <c r="A239" s="1" t="s">
        <v>800</v>
      </c>
      <c r="B239" s="1" t="n">
        <v>43</v>
      </c>
    </row>
    <row r="240" customFormat="false" ht="15" hidden="false" customHeight="false" outlineLevel="0" collapsed="false">
      <c r="A240" s="1" t="s">
        <v>942</v>
      </c>
      <c r="B240" s="1" t="n">
        <v>30</v>
      </c>
    </row>
    <row r="241" customFormat="false" ht="15" hidden="false" customHeight="false" outlineLevel="0" collapsed="false">
      <c r="A241" s="1" t="s">
        <v>943</v>
      </c>
      <c r="B241" s="1" t="n">
        <v>39</v>
      </c>
    </row>
    <row r="242" customFormat="false" ht="15" hidden="false" customHeight="false" outlineLevel="0" collapsed="false">
      <c r="A242" s="1" t="s">
        <v>944</v>
      </c>
      <c r="B242" s="1" t="n">
        <v>39</v>
      </c>
    </row>
    <row r="243" customFormat="false" ht="15" hidden="false" customHeight="false" outlineLevel="0" collapsed="false">
      <c r="A243" s="1" t="s">
        <v>807</v>
      </c>
      <c r="B243" s="1" t="n">
        <v>39</v>
      </c>
    </row>
    <row r="244" customFormat="false" ht="15" hidden="false" customHeight="false" outlineLevel="0" collapsed="false">
      <c r="A244" s="1" t="s">
        <v>809</v>
      </c>
      <c r="B244" s="1" t="n">
        <v>39</v>
      </c>
    </row>
    <row r="245" customFormat="false" ht="15" hidden="false" customHeight="false" outlineLevel="0" collapsed="false">
      <c r="A245" s="1" t="s">
        <v>811</v>
      </c>
      <c r="B245" s="1" t="n">
        <v>39</v>
      </c>
    </row>
    <row r="246" customFormat="false" ht="15" hidden="false" customHeight="false" outlineLevel="0" collapsed="false">
      <c r="A246" s="1" t="s">
        <v>813</v>
      </c>
      <c r="B246" s="1" t="n">
        <v>39</v>
      </c>
    </row>
    <row r="247" customFormat="false" ht="15" hidden="false" customHeight="false" outlineLevel="0" collapsed="false">
      <c r="A247" s="1" t="s">
        <v>815</v>
      </c>
      <c r="B247" s="1" t="n">
        <v>39</v>
      </c>
    </row>
    <row r="248" customFormat="false" ht="15" hidden="false" customHeight="false" outlineLevel="0" collapsed="false">
      <c r="A248" s="1" t="s">
        <v>945</v>
      </c>
      <c r="B248" s="1" t="n">
        <v>39</v>
      </c>
    </row>
    <row r="249" customFormat="false" ht="15" hidden="false" customHeight="false" outlineLevel="0" collapsed="false">
      <c r="A249" s="62" t="s">
        <v>946</v>
      </c>
      <c r="B249" s="1" t="n">
        <v>54</v>
      </c>
    </row>
    <row r="250" customFormat="false" ht="15" hidden="false" customHeight="false" outlineLevel="0" collapsed="false">
      <c r="A250" s="1" t="s">
        <v>947</v>
      </c>
      <c r="B250" s="1" t="n">
        <v>30</v>
      </c>
    </row>
    <row r="251" customFormat="false" ht="15" hidden="false" customHeight="false" outlineLevel="0" collapsed="false">
      <c r="A251" s="1" t="s">
        <v>948</v>
      </c>
      <c r="B251" s="1" t="n">
        <v>39</v>
      </c>
    </row>
    <row r="252" customFormat="false" ht="15" hidden="false" customHeight="false" outlineLevel="0" collapsed="false">
      <c r="A252" s="1" t="s">
        <v>949</v>
      </c>
      <c r="B252" s="1" t="n">
        <v>39</v>
      </c>
    </row>
    <row r="253" customFormat="false" ht="15" hidden="false" customHeight="false" outlineLevel="0" collapsed="false">
      <c r="A253" s="1" t="s">
        <v>950</v>
      </c>
      <c r="B253" s="1" t="n">
        <v>54</v>
      </c>
    </row>
    <row r="254" customFormat="false" ht="15" hidden="false" customHeight="false" outlineLevel="0" collapsed="false">
      <c r="A254" s="1" t="s">
        <v>951</v>
      </c>
      <c r="B254" s="1" t="n">
        <v>39</v>
      </c>
    </row>
    <row r="255" customFormat="false" ht="15" hidden="false" customHeight="false" outlineLevel="0" collapsed="false">
      <c r="A255" s="1" t="s">
        <v>901</v>
      </c>
      <c r="B255" s="1" t="n">
        <v>39</v>
      </c>
    </row>
    <row r="256" customFormat="false" ht="15" hidden="false" customHeight="false" outlineLevel="0" collapsed="false">
      <c r="A256" s="1" t="s">
        <v>952</v>
      </c>
      <c r="B256" s="1" t="n">
        <v>30</v>
      </c>
    </row>
    <row r="257" customFormat="false" ht="15" hidden="false" customHeight="false" outlineLevel="0" collapsed="false">
      <c r="A257" s="1" t="s">
        <v>953</v>
      </c>
      <c r="B257" s="1" t="n">
        <v>39</v>
      </c>
    </row>
    <row r="258" customFormat="false" ht="15" hidden="false" customHeight="false" outlineLevel="0" collapsed="false">
      <c r="A258" s="1" t="s">
        <v>954</v>
      </c>
      <c r="B258" s="1" t="n">
        <v>4</v>
      </c>
    </row>
    <row r="259" customFormat="false" ht="15" hidden="false" customHeight="false" outlineLevel="0" collapsed="false">
      <c r="A259" s="1" t="s">
        <v>955</v>
      </c>
      <c r="B259" s="1" t="n">
        <v>39</v>
      </c>
    </row>
    <row r="260" customFormat="false" ht="15" hidden="false" customHeight="false" outlineLevel="0" collapsed="false">
      <c r="A260" s="1" t="s">
        <v>956</v>
      </c>
      <c r="B260" s="1" t="n">
        <v>39</v>
      </c>
    </row>
    <row r="261" customFormat="false" ht="15" hidden="false" customHeight="false" outlineLevel="0" collapsed="false">
      <c r="A261" s="1" t="s">
        <v>957</v>
      </c>
      <c r="B261" s="1" t="n">
        <v>54</v>
      </c>
    </row>
    <row r="262" customFormat="false" ht="15" hidden="false" customHeight="false" outlineLevel="0" collapsed="false">
      <c r="A262" s="1" t="s">
        <v>958</v>
      </c>
      <c r="B262" s="1" t="n">
        <v>39</v>
      </c>
    </row>
    <row r="263" customFormat="false" ht="15" hidden="false" customHeight="false" outlineLevel="0" collapsed="false">
      <c r="A263" s="1" t="s">
        <v>960</v>
      </c>
      <c r="B263" s="1" t="n">
        <v>39</v>
      </c>
    </row>
    <row r="264" customFormat="false" ht="15" hidden="false" customHeight="false" outlineLevel="0" collapsed="false">
      <c r="A264" s="1" t="s">
        <v>82</v>
      </c>
      <c r="B264" s="1" t="n">
        <v>39</v>
      </c>
    </row>
    <row r="265" customFormat="false" ht="15" hidden="false" customHeight="false" outlineLevel="0" collapsed="false">
      <c r="A265" s="1" t="s">
        <v>961</v>
      </c>
      <c r="B265" s="1" t="n">
        <v>17</v>
      </c>
    </row>
    <row r="266" customFormat="false" ht="15" hidden="false" customHeight="false" outlineLevel="0" collapsed="false">
      <c r="A266" s="1" t="s">
        <v>962</v>
      </c>
      <c r="B266" s="1" t="n">
        <v>43</v>
      </c>
    </row>
    <row r="267" customFormat="false" ht="15" hidden="false" customHeight="false" outlineLevel="0" collapsed="false">
      <c r="A267" s="1" t="s">
        <v>964</v>
      </c>
      <c r="B267" s="1" t="n">
        <v>54</v>
      </c>
    </row>
    <row r="268" customFormat="false" ht="15" hidden="false" customHeight="false" outlineLevel="0" collapsed="false">
      <c r="A268" s="121" t="s">
        <v>965</v>
      </c>
      <c r="B268" s="1" t="n">
        <v>56</v>
      </c>
    </row>
    <row r="269" customFormat="false" ht="15" hidden="false" customHeight="false" outlineLevel="0" collapsed="false">
      <c r="A269" s="121" t="s">
        <v>966</v>
      </c>
      <c r="B269" s="1" t="n">
        <v>54</v>
      </c>
    </row>
    <row r="270" customFormat="false" ht="15" hidden="false" customHeight="false" outlineLevel="0" collapsed="false">
      <c r="A270" s="121" t="s">
        <v>967</v>
      </c>
      <c r="B270" s="1" t="n">
        <v>54</v>
      </c>
    </row>
    <row r="271" customFormat="false" ht="15" hidden="false" customHeight="false" outlineLevel="0" collapsed="false">
      <c r="A271" s="121" t="s">
        <v>968</v>
      </c>
      <c r="B271" s="1" t="n">
        <v>65</v>
      </c>
    </row>
    <row r="272" customFormat="false" ht="15" hidden="false" customHeight="false" outlineLevel="0" collapsed="false">
      <c r="A272" s="121" t="s">
        <v>969</v>
      </c>
      <c r="B272" s="1" t="n">
        <v>65</v>
      </c>
    </row>
    <row r="273" customFormat="false" ht="15" hidden="false" customHeight="false" outlineLevel="0" collapsed="false">
      <c r="A273" s="121" t="s">
        <v>970</v>
      </c>
      <c r="B273" s="1" t="n">
        <v>65</v>
      </c>
    </row>
    <row r="274" customFormat="false" ht="15" hidden="false" customHeight="false" outlineLevel="0" collapsed="false">
      <c r="A274" s="220" t="s">
        <v>971</v>
      </c>
      <c r="B274" s="1" t="n">
        <v>39</v>
      </c>
    </row>
    <row r="275" customFormat="false" ht="15" hidden="false" customHeight="false" outlineLevel="0" collapsed="false">
      <c r="A275" s="121" t="s">
        <v>972</v>
      </c>
      <c r="B275" s="1" t="n">
        <v>56</v>
      </c>
    </row>
    <row r="276" customFormat="false" ht="15" hidden="false" customHeight="false" outlineLevel="0" collapsed="false">
      <c r="A276" s="121" t="s">
        <v>973</v>
      </c>
      <c r="B276" s="1" t="n">
        <v>2</v>
      </c>
    </row>
    <row r="277" customFormat="false" ht="15" hidden="false" customHeight="false" outlineLevel="0" collapsed="false">
      <c r="A277" s="121" t="s">
        <v>974</v>
      </c>
      <c r="B277" s="1" t="n">
        <v>30</v>
      </c>
    </row>
    <row r="278" customFormat="false" ht="15" hidden="false" customHeight="false" outlineLevel="0" collapsed="false">
      <c r="A278" s="1" t="s">
        <v>857</v>
      </c>
      <c r="B278" s="1" t="n">
        <v>39</v>
      </c>
    </row>
    <row r="279" customFormat="false" ht="15" hidden="false" customHeight="false" outlineLevel="0" collapsed="false">
      <c r="A279" s="1" t="s">
        <v>975</v>
      </c>
      <c r="B279" s="1" t="n">
        <v>39</v>
      </c>
    </row>
    <row r="280" customFormat="false" ht="15" hidden="false" customHeight="false" outlineLevel="0" collapsed="false">
      <c r="A280" s="1" t="s">
        <v>900</v>
      </c>
      <c r="B280" s="1" t="n">
        <v>54</v>
      </c>
    </row>
    <row r="281" customFormat="false" ht="15" hidden="false" customHeight="false" outlineLevel="0" collapsed="false">
      <c r="A281" s="1" t="s">
        <v>902</v>
      </c>
      <c r="B281" s="1" t="n">
        <v>60</v>
      </c>
    </row>
    <row r="282" customFormat="false" ht="15" hidden="false" customHeight="false" outlineLevel="0" collapsed="false">
      <c r="A282" s="1" t="s">
        <v>904</v>
      </c>
      <c r="B282" s="1" t="n">
        <v>60</v>
      </c>
    </row>
    <row r="283" customFormat="false" ht="15" hidden="false" customHeight="false" outlineLevel="0" collapsed="false">
      <c r="A283" s="1" t="s">
        <v>905</v>
      </c>
      <c r="B283" s="1" t="n">
        <v>39</v>
      </c>
    </row>
    <row r="284" customFormat="false" ht="15" hidden="false" customHeight="false" outlineLevel="0" collapsed="false">
      <c r="A284" s="1" t="s">
        <v>979</v>
      </c>
      <c r="B284" s="1" t="n">
        <v>10</v>
      </c>
    </row>
    <row r="285" customFormat="false" ht="15" hidden="false" customHeight="false" outlineLevel="0" collapsed="false">
      <c r="A285" s="1" t="s">
        <v>981</v>
      </c>
      <c r="B285" s="1" t="n">
        <v>10</v>
      </c>
    </row>
    <row r="286" customFormat="false" ht="15" hidden="false" customHeight="false" outlineLevel="0" collapsed="false">
      <c r="A286" s="62" t="s">
        <v>983</v>
      </c>
      <c r="B286" s="1" t="n">
        <v>10</v>
      </c>
    </row>
    <row r="287" customFormat="false" ht="15" hidden="false" customHeight="false" outlineLevel="0" collapsed="false">
      <c r="A287" s="1" t="s">
        <v>985</v>
      </c>
      <c r="B287" s="1" t="n">
        <v>10</v>
      </c>
    </row>
    <row r="288" customFormat="false" ht="15" hidden="false" customHeight="false" outlineLevel="0" collapsed="false">
      <c r="A288" s="1" t="s">
        <v>1018</v>
      </c>
      <c r="B288" s="1" t="n">
        <v>30</v>
      </c>
    </row>
    <row r="289" customFormat="false" ht="15" hidden="false" customHeight="false" outlineLevel="0" collapsed="false">
      <c r="A289" s="1" t="s">
        <v>1019</v>
      </c>
      <c r="B289" s="1" t="n">
        <v>72</v>
      </c>
    </row>
    <row r="290" customFormat="false" ht="15" hidden="false" customHeight="false" outlineLevel="0" collapsed="false">
      <c r="A290" s="1" t="s">
        <v>1020</v>
      </c>
      <c r="B290" s="1" t="n">
        <v>72</v>
      </c>
    </row>
    <row r="291" customFormat="false" ht="15" hidden="false" customHeight="false" outlineLevel="0" collapsed="false">
      <c r="A291" s="1" t="s">
        <v>1021</v>
      </c>
      <c r="B291" s="1" t="n">
        <v>72</v>
      </c>
    </row>
    <row r="292" customFormat="false" ht="15" hidden="false" customHeight="false" outlineLevel="0" collapsed="false">
      <c r="A292" s="1" t="s">
        <v>1022</v>
      </c>
      <c r="B292" s="1" t="n">
        <v>30</v>
      </c>
    </row>
    <row r="293" customFormat="false" ht="15" hidden="false" customHeight="false" outlineLevel="0" collapsed="false">
      <c r="A293" s="1" t="s">
        <v>1023</v>
      </c>
      <c r="B293" s="1" t="n">
        <v>72</v>
      </c>
    </row>
    <row r="294" customFormat="false" ht="15" hidden="false" customHeight="false" outlineLevel="0" collapsed="false">
      <c r="A294" s="1" t="s">
        <v>1024</v>
      </c>
      <c r="B294" s="1" t="n">
        <v>72</v>
      </c>
    </row>
    <row r="295" customFormat="false" ht="15" hidden="false" customHeight="false" outlineLevel="0" collapsed="false">
      <c r="A295" s="1" t="s">
        <v>1025</v>
      </c>
      <c r="B295" s="1" t="n">
        <v>72</v>
      </c>
    </row>
    <row r="296" customFormat="false" ht="15" hidden="false" customHeight="false" outlineLevel="0" collapsed="false">
      <c r="A296" s="1" t="s">
        <v>1026</v>
      </c>
      <c r="B296" s="1" t="n">
        <v>72</v>
      </c>
    </row>
    <row r="297" customFormat="false" ht="15" hidden="false" customHeight="false" outlineLevel="0" collapsed="false">
      <c r="A297" s="1" t="s">
        <v>993</v>
      </c>
      <c r="B297" s="1" t="n">
        <v>10</v>
      </c>
    </row>
    <row r="298" customFormat="false" ht="15" hidden="false" customHeight="false" outlineLevel="0" collapsed="false">
      <c r="A298" s="1" t="s">
        <v>1027</v>
      </c>
      <c r="B298" s="1" t="n">
        <v>39</v>
      </c>
    </row>
    <row r="299" customFormat="false" ht="15" hidden="false" customHeight="false" outlineLevel="0" collapsed="false">
      <c r="A299" s="1" t="s">
        <v>1028</v>
      </c>
      <c r="B299" s="1" t="n">
        <v>5</v>
      </c>
    </row>
    <row r="300" customFormat="false" ht="15" hidden="false" customHeight="false" outlineLevel="0" collapsed="false">
      <c r="A300" s="62" t="s">
        <v>1029</v>
      </c>
      <c r="B300" s="1" t="n">
        <v>72</v>
      </c>
    </row>
    <row r="301" customFormat="false" ht="15" hidden="false" customHeight="false" outlineLevel="0" collapsed="false">
      <c r="A301" s="1" t="s">
        <v>1030</v>
      </c>
      <c r="B301" s="1" t="n">
        <v>72</v>
      </c>
    </row>
    <row r="302" customFormat="false" ht="15" hidden="false" customHeight="false" outlineLevel="0" collapsed="false">
      <c r="A302" s="1" t="s">
        <v>1032</v>
      </c>
      <c r="B302" s="1" t="n">
        <v>72</v>
      </c>
    </row>
    <row r="303" customFormat="false" ht="15" hidden="false" customHeight="false" outlineLevel="0" collapsed="false">
      <c r="A303" s="1" t="s">
        <v>1033</v>
      </c>
      <c r="B303" s="1" t="n">
        <v>72</v>
      </c>
    </row>
    <row r="304" customFormat="false" ht="15" hidden="false" customHeight="false" outlineLevel="0" collapsed="false">
      <c r="A304" s="1" t="s">
        <v>1034</v>
      </c>
      <c r="B304" s="1" t="n">
        <v>72</v>
      </c>
    </row>
    <row r="305" customFormat="false" ht="15" hidden="false" customHeight="false" outlineLevel="0" collapsed="false">
      <c r="A305" s="1" t="s">
        <v>1035</v>
      </c>
      <c r="B305" s="1" t="n">
        <v>72</v>
      </c>
    </row>
    <row r="306" customFormat="false" ht="15" hidden="false" customHeight="false" outlineLevel="0" collapsed="false">
      <c r="A306" s="1" t="s">
        <v>1037</v>
      </c>
      <c r="B306" s="1" t="n">
        <v>72</v>
      </c>
    </row>
    <row r="307" customFormat="false" ht="15" hidden="false" customHeight="false" outlineLevel="0" collapsed="false">
      <c r="A307" s="1" t="s">
        <v>1038</v>
      </c>
      <c r="B307" s="1" t="n">
        <v>72</v>
      </c>
    </row>
    <row r="308" customFormat="false" ht="15" hidden="false" customHeight="false" outlineLevel="0" collapsed="false">
      <c r="A308" s="1" t="s">
        <v>1039</v>
      </c>
      <c r="B308" s="1" t="n">
        <v>72</v>
      </c>
    </row>
    <row r="309" customFormat="false" ht="15" hidden="false" customHeight="false" outlineLevel="0" collapsed="false">
      <c r="A309" s="62" t="s">
        <v>1041</v>
      </c>
      <c r="B309" s="1" t="n">
        <v>72</v>
      </c>
    </row>
    <row r="310" customFormat="false" ht="15" hidden="false" customHeight="false" outlineLevel="0" collapsed="false">
      <c r="A310" s="1" t="s">
        <v>1042</v>
      </c>
      <c r="B310" s="1" t="n">
        <v>10</v>
      </c>
    </row>
    <row r="311" customFormat="false" ht="15" hidden="false" customHeight="false" outlineLevel="0" collapsed="false">
      <c r="A311" s="1" t="s">
        <v>1043</v>
      </c>
      <c r="B311" s="1" t="n">
        <v>10</v>
      </c>
    </row>
    <row r="312" customFormat="false" ht="15" hidden="false" customHeight="false" outlineLevel="0" collapsed="false">
      <c r="A312" s="1" t="s">
        <v>1044</v>
      </c>
      <c r="B312" s="1" t="n">
        <v>30</v>
      </c>
    </row>
    <row r="313" customFormat="false" ht="15" hidden="false" customHeight="false" outlineLevel="0" collapsed="false">
      <c r="A313" s="1" t="s">
        <v>1045</v>
      </c>
      <c r="B313" s="1" t="n">
        <v>39</v>
      </c>
    </row>
    <row r="314" customFormat="false" ht="15" hidden="false" customHeight="false" outlineLevel="0" collapsed="false">
      <c r="A314" s="1" t="s">
        <v>1046</v>
      </c>
      <c r="B314" s="1" t="n">
        <v>72</v>
      </c>
    </row>
    <row r="315" customFormat="false" ht="15" hidden="false" customHeight="false" outlineLevel="0" collapsed="false">
      <c r="A315" s="1" t="s">
        <v>114</v>
      </c>
      <c r="B315" s="1" t="n">
        <v>72</v>
      </c>
    </row>
    <row r="316" customFormat="false" ht="15" hidden="false" customHeight="false" outlineLevel="0" collapsed="false">
      <c r="A316" s="1" t="s">
        <v>1071</v>
      </c>
      <c r="B316" s="1" t="n">
        <v>72</v>
      </c>
    </row>
    <row r="317" customFormat="false" ht="15" hidden="false" customHeight="false" outlineLevel="0" collapsed="false">
      <c r="A317" s="1" t="s">
        <v>1072</v>
      </c>
      <c r="B317" s="1" t="n">
        <v>72</v>
      </c>
    </row>
    <row r="318" customFormat="false" ht="15" hidden="false" customHeight="false" outlineLevel="0" collapsed="false">
      <c r="A318" s="1" t="s">
        <v>1073</v>
      </c>
      <c r="B318" s="1" t="n">
        <v>72</v>
      </c>
    </row>
    <row r="319" customFormat="false" ht="15" hidden="false" customHeight="false" outlineLevel="0" collapsed="false">
      <c r="A319" s="1" t="s">
        <v>1074</v>
      </c>
      <c r="B319" s="1" t="n">
        <v>39</v>
      </c>
    </row>
    <row r="320" customFormat="false" ht="15" hidden="false" customHeight="false" outlineLevel="0" collapsed="false">
      <c r="A320" s="1" t="s">
        <v>1075</v>
      </c>
      <c r="B320" s="1" t="n">
        <v>30</v>
      </c>
    </row>
    <row r="321" customFormat="false" ht="15" hidden="false" customHeight="false" outlineLevel="0" collapsed="false">
      <c r="A321" s="62" t="s">
        <v>1076</v>
      </c>
      <c r="B321" s="1" t="n">
        <v>39</v>
      </c>
    </row>
    <row r="322" customFormat="false" ht="15" hidden="false" customHeight="false" outlineLevel="0" collapsed="false">
      <c r="A322" s="1" t="s">
        <v>1077</v>
      </c>
      <c r="B322" s="1" t="n">
        <v>2</v>
      </c>
    </row>
    <row r="323" customFormat="false" ht="15" hidden="false" customHeight="false" outlineLevel="0" collapsed="false">
      <c r="A323" s="1" t="s">
        <v>1079</v>
      </c>
      <c r="B323" s="1" t="n">
        <v>11</v>
      </c>
    </row>
    <row r="324" customFormat="false" ht="15" hidden="false" customHeight="false" outlineLevel="0" collapsed="false">
      <c r="A324" s="1" t="s">
        <v>1080</v>
      </c>
      <c r="B324" s="1" t="n">
        <v>39</v>
      </c>
    </row>
    <row r="325" customFormat="false" ht="15" hidden="false" customHeight="false" outlineLevel="0" collapsed="false">
      <c r="A325" s="1" t="s">
        <v>1082</v>
      </c>
      <c r="B325" s="1" t="n">
        <v>39</v>
      </c>
    </row>
    <row r="326" customFormat="false" ht="15" hidden="false" customHeight="false" outlineLevel="0" collapsed="false">
      <c r="A326" s="1" t="s">
        <v>1083</v>
      </c>
      <c r="B326" s="1" t="n">
        <v>39</v>
      </c>
    </row>
    <row r="327" customFormat="false" ht="15" hidden="false" customHeight="false" outlineLevel="0" collapsed="false">
      <c r="A327" s="62" t="s">
        <v>1086</v>
      </c>
      <c r="B327" s="1" t="n">
        <v>12</v>
      </c>
    </row>
    <row r="328" customFormat="false" ht="15" hidden="false" customHeight="false" outlineLevel="0" collapsed="false">
      <c r="A328" s="1" t="s">
        <v>1087</v>
      </c>
      <c r="B328" s="1" t="n">
        <v>30</v>
      </c>
    </row>
    <row r="329" customFormat="false" ht="15" hidden="false" customHeight="false" outlineLevel="0" collapsed="false">
      <c r="A329" s="1" t="s">
        <v>1088</v>
      </c>
      <c r="B329" s="1" t="n">
        <v>39</v>
      </c>
    </row>
    <row r="330" customFormat="false" ht="15" hidden="false" customHeight="false" outlineLevel="0" collapsed="false">
      <c r="A330" s="1" t="s">
        <v>1089</v>
      </c>
      <c r="B330" s="1" t="n">
        <v>39</v>
      </c>
    </row>
    <row r="331" customFormat="false" ht="15" hidden="false" customHeight="false" outlineLevel="0" collapsed="false">
      <c r="A331" s="1" t="s">
        <v>1091</v>
      </c>
      <c r="B331" s="1" t="n">
        <v>39</v>
      </c>
    </row>
    <row r="332" customFormat="false" ht="15" hidden="false" customHeight="false" outlineLevel="0" collapsed="false">
      <c r="A332" s="1" t="s">
        <v>1093</v>
      </c>
      <c r="B332" s="1" t="n">
        <v>39</v>
      </c>
    </row>
    <row r="333" customFormat="false" ht="15" hidden="false" customHeight="false" outlineLevel="0" collapsed="false">
      <c r="A333" s="1" t="s">
        <v>1094</v>
      </c>
      <c r="B333" s="1" t="n">
        <v>72</v>
      </c>
    </row>
    <row r="334" customFormat="false" ht="15" hidden="false" customHeight="false" outlineLevel="0" collapsed="false">
      <c r="A334" s="62" t="s">
        <v>1095</v>
      </c>
      <c r="B334" s="1" t="n">
        <v>72</v>
      </c>
    </row>
    <row r="335" customFormat="false" ht="15" hidden="false" customHeight="false" outlineLevel="0" collapsed="false">
      <c r="A335" s="1" t="s">
        <v>1096</v>
      </c>
      <c r="B335" s="1" t="n">
        <v>72</v>
      </c>
    </row>
    <row r="336" customFormat="false" ht="15" hidden="false" customHeight="false" outlineLevel="0" collapsed="false">
      <c r="A336" s="1" t="s">
        <v>1067</v>
      </c>
      <c r="B336" s="1" t="n">
        <v>39</v>
      </c>
    </row>
    <row r="337" customFormat="false" ht="15" hidden="false" customHeight="false" outlineLevel="0" collapsed="false">
      <c r="A337" s="1" t="s">
        <v>1069</v>
      </c>
      <c r="B337" s="1" t="n">
        <v>39</v>
      </c>
    </row>
    <row r="338" customFormat="false" ht="15" hidden="false" customHeight="false" outlineLevel="0" collapsed="false">
      <c r="A338" s="1" t="s">
        <v>1170</v>
      </c>
      <c r="B338" s="1" t="n">
        <v>47</v>
      </c>
    </row>
    <row r="339" customFormat="false" ht="15" hidden="false" customHeight="false" outlineLevel="0" collapsed="false">
      <c r="A339" s="1" t="s">
        <v>1171</v>
      </c>
      <c r="B339" s="1" t="n">
        <v>39</v>
      </c>
    </row>
    <row r="340" customFormat="false" ht="15" hidden="false" customHeight="false" outlineLevel="0" collapsed="false">
      <c r="A340" s="1" t="s">
        <v>1172</v>
      </c>
      <c r="B340" s="1" t="n">
        <v>39</v>
      </c>
    </row>
    <row r="341" customFormat="false" ht="15" hidden="false" customHeight="false" outlineLevel="0" collapsed="false">
      <c r="A341" s="1" t="s">
        <v>1173</v>
      </c>
      <c r="B341" s="1" t="n">
        <v>39</v>
      </c>
    </row>
    <row r="342" customFormat="false" ht="15" hidden="false" customHeight="false" outlineLevel="0" collapsed="false">
      <c r="A342" s="1" t="s">
        <v>1174</v>
      </c>
      <c r="B342" s="1" t="n">
        <v>72</v>
      </c>
    </row>
    <row r="343" customFormat="false" ht="15" hidden="false" customHeight="false" outlineLevel="0" collapsed="false">
      <c r="A343" s="1" t="s">
        <v>1175</v>
      </c>
      <c r="B343" s="1" t="n">
        <v>39</v>
      </c>
    </row>
    <row r="344" customFormat="false" ht="15" hidden="false" customHeight="false" outlineLevel="0" collapsed="false">
      <c r="A344" s="1" t="s">
        <v>1176</v>
      </c>
      <c r="B344" s="1" t="n">
        <v>39</v>
      </c>
    </row>
    <row r="345" customFormat="false" ht="15" hidden="false" customHeight="false" outlineLevel="0" collapsed="false">
      <c r="A345" s="1" t="s">
        <v>1177</v>
      </c>
      <c r="B345" s="1" t="n">
        <v>39</v>
      </c>
    </row>
    <row r="346" customFormat="false" ht="15" hidden="false" customHeight="false" outlineLevel="0" collapsed="false">
      <c r="A346" s="1" t="s">
        <v>1178</v>
      </c>
      <c r="B346" s="1" t="n">
        <v>39</v>
      </c>
    </row>
    <row r="347" customFormat="false" ht="15" hidden="false" customHeight="false" outlineLevel="0" collapsed="false">
      <c r="A347" s="1" t="s">
        <v>1179</v>
      </c>
      <c r="B347" s="1" t="n">
        <v>72</v>
      </c>
    </row>
    <row r="348" customFormat="false" ht="15" hidden="false" customHeight="false" outlineLevel="0" collapsed="false">
      <c r="A348" s="62" t="s">
        <v>1180</v>
      </c>
      <c r="B348" s="1" t="n">
        <v>72</v>
      </c>
    </row>
    <row r="349" customFormat="false" ht="15" hidden="false" customHeight="false" outlineLevel="0" collapsed="false">
      <c r="A349" s="1" t="s">
        <v>1181</v>
      </c>
      <c r="B349" s="1" t="n">
        <v>30</v>
      </c>
    </row>
    <row r="350" customFormat="false" ht="15" hidden="false" customHeight="false" outlineLevel="0" collapsed="false">
      <c r="A350" s="1" t="s">
        <v>1182</v>
      </c>
      <c r="B350" s="1" t="n">
        <v>72</v>
      </c>
    </row>
    <row r="351" customFormat="false" ht="15" hidden="false" customHeight="false" outlineLevel="0" collapsed="false">
      <c r="A351" s="1" t="s">
        <v>1183</v>
      </c>
      <c r="B351" s="1" t="n">
        <v>72</v>
      </c>
    </row>
    <row r="352" customFormat="false" ht="15" hidden="false" customHeight="false" outlineLevel="0" collapsed="false">
      <c r="A352" s="1" t="s">
        <v>1184</v>
      </c>
      <c r="B352" s="1" t="n">
        <v>72</v>
      </c>
    </row>
    <row r="353" customFormat="false" ht="15" hidden="false" customHeight="false" outlineLevel="0" collapsed="false">
      <c r="A353" s="1" t="s">
        <v>1185</v>
      </c>
      <c r="B353" s="1" t="n">
        <v>72</v>
      </c>
    </row>
    <row r="354" customFormat="false" ht="15" hidden="false" customHeight="false" outlineLevel="0" collapsed="false">
      <c r="A354" s="1" t="s">
        <v>1186</v>
      </c>
      <c r="B354" s="1" t="n">
        <v>72</v>
      </c>
    </row>
    <row r="355" customFormat="false" ht="15" hidden="false" customHeight="false" outlineLevel="0" collapsed="false">
      <c r="A355" s="1" t="s">
        <v>1187</v>
      </c>
      <c r="B355" s="1" t="n">
        <v>72</v>
      </c>
    </row>
    <row r="356" customFormat="false" ht="15" hidden="false" customHeight="false" outlineLevel="0" collapsed="false">
      <c r="A356" s="1" t="s">
        <v>1188</v>
      </c>
      <c r="B356" s="1" t="n">
        <v>72</v>
      </c>
    </row>
    <row r="357" customFormat="false" ht="15" hidden="false" customHeight="false" outlineLevel="0" collapsed="false">
      <c r="A357" s="1" t="s">
        <v>1189</v>
      </c>
      <c r="B357" s="1" t="n">
        <v>72</v>
      </c>
    </row>
    <row r="358" customFormat="false" ht="15" hidden="false" customHeight="false" outlineLevel="0" collapsed="false">
      <c r="A358" s="1" t="s">
        <v>1190</v>
      </c>
      <c r="B358" s="1" t="n">
        <v>72</v>
      </c>
    </row>
    <row r="359" customFormat="false" ht="15" hidden="false" customHeight="false" outlineLevel="0" collapsed="false">
      <c r="A359" s="1" t="s">
        <v>1114</v>
      </c>
      <c r="B359" s="1" t="n">
        <v>39</v>
      </c>
    </row>
    <row r="360" customFormat="false" ht="15" hidden="false" customHeight="false" outlineLevel="0" collapsed="false">
      <c r="A360" s="1" t="s">
        <v>1116</v>
      </c>
      <c r="B360" s="1" t="n">
        <v>39</v>
      </c>
    </row>
    <row r="361" customFormat="false" ht="15" hidden="false" customHeight="false" outlineLevel="0" collapsed="false">
      <c r="A361" s="1" t="s">
        <v>1118</v>
      </c>
      <c r="B361" s="1" t="n">
        <v>39</v>
      </c>
    </row>
    <row r="362" customFormat="false" ht="15" hidden="false" customHeight="false" outlineLevel="0" collapsed="false">
      <c r="A362" s="1" t="s">
        <v>1191</v>
      </c>
      <c r="B362" s="1" t="n">
        <v>30</v>
      </c>
    </row>
    <row r="363" customFormat="false" ht="15" hidden="false" customHeight="false" outlineLevel="0" collapsed="false">
      <c r="A363" s="1" t="s">
        <v>1192</v>
      </c>
      <c r="B363" s="1" t="n">
        <v>30</v>
      </c>
    </row>
    <row r="364" customFormat="false" ht="15" hidden="false" customHeight="false" outlineLevel="0" collapsed="false">
      <c r="A364" s="1" t="s">
        <v>1193</v>
      </c>
      <c r="B364" s="1" t="n">
        <v>30</v>
      </c>
    </row>
    <row r="365" customFormat="false" ht="15" hidden="false" customHeight="false" outlineLevel="0" collapsed="false">
      <c r="A365" s="62" t="s">
        <v>1194</v>
      </c>
      <c r="B365" s="1" t="n">
        <v>30</v>
      </c>
    </row>
    <row r="366" customFormat="false" ht="15" hidden="false" customHeight="false" outlineLevel="0" collapsed="false">
      <c r="A366" s="1" t="s">
        <v>1195</v>
      </c>
      <c r="B366" s="1" t="n">
        <v>30</v>
      </c>
    </row>
    <row r="367" customFormat="false" ht="15" hidden="false" customHeight="false" outlineLevel="0" collapsed="false">
      <c r="A367" s="1" t="s">
        <v>1196</v>
      </c>
      <c r="B367" s="1" t="n">
        <v>30</v>
      </c>
    </row>
    <row r="368" customFormat="false" ht="15" hidden="false" customHeight="false" outlineLevel="0" collapsed="false">
      <c r="A368" s="1" t="s">
        <v>1197</v>
      </c>
      <c r="B368" s="1" t="n">
        <v>30</v>
      </c>
    </row>
    <row r="369" customFormat="false" ht="15" hidden="false" customHeight="false" outlineLevel="0" collapsed="false">
      <c r="A369" s="1" t="s">
        <v>1198</v>
      </c>
      <c r="B369" s="1" t="n">
        <v>30</v>
      </c>
    </row>
    <row r="370" customFormat="false" ht="15" hidden="false" customHeight="false" outlineLevel="0" collapsed="false">
      <c r="A370" s="1" t="s">
        <v>1199</v>
      </c>
      <c r="B370" s="1" t="n">
        <v>30</v>
      </c>
    </row>
    <row r="371" customFormat="false" ht="15" hidden="false" customHeight="false" outlineLevel="0" collapsed="false">
      <c r="A371" s="1" t="s">
        <v>1200</v>
      </c>
      <c r="B371" s="1" t="n">
        <v>30</v>
      </c>
    </row>
    <row r="372" customFormat="false" ht="15" hidden="false" customHeight="false" outlineLevel="0" collapsed="false">
      <c r="A372" s="122" t="s">
        <v>1201</v>
      </c>
      <c r="B372" s="1" t="n">
        <v>30</v>
      </c>
    </row>
    <row r="373" customFormat="false" ht="15" hidden="false" customHeight="false" outlineLevel="0" collapsed="false">
      <c r="A373" s="1" t="s">
        <v>1202</v>
      </c>
      <c r="B373" s="1" t="n">
        <v>30</v>
      </c>
    </row>
    <row r="374" customFormat="false" ht="15" hidden="false" customHeight="false" outlineLevel="0" collapsed="false">
      <c r="A374" s="62" t="s">
        <v>1204</v>
      </c>
      <c r="B374" s="1" t="n">
        <v>30</v>
      </c>
    </row>
    <row r="375" customFormat="false" ht="15" hidden="false" customHeight="false" outlineLevel="0" collapsed="false">
      <c r="A375" s="1" t="s">
        <v>1205</v>
      </c>
      <c r="B375" s="1" t="n">
        <v>30</v>
      </c>
    </row>
    <row r="376" customFormat="false" ht="15" hidden="false" customHeight="false" outlineLevel="0" collapsed="false">
      <c r="A376" s="1" t="s">
        <v>1206</v>
      </c>
      <c r="B376" s="1" t="n">
        <v>30</v>
      </c>
    </row>
    <row r="377" customFormat="false" ht="15" hidden="false" customHeight="false" outlineLevel="0" collapsed="false">
      <c r="A377" s="1" t="s">
        <v>1207</v>
      </c>
      <c r="B377" s="1" t="n">
        <v>30</v>
      </c>
    </row>
    <row r="378" customFormat="false" ht="15" hidden="false" customHeight="false" outlineLevel="0" collapsed="false">
      <c r="A378" s="1" t="s">
        <v>1208</v>
      </c>
      <c r="B378" s="1" t="n">
        <v>30</v>
      </c>
    </row>
    <row r="379" customFormat="false" ht="15" hidden="false" customHeight="false" outlineLevel="0" collapsed="false">
      <c r="A379" s="1" t="s">
        <v>1209</v>
      </c>
      <c r="B379" s="1" t="n">
        <v>30</v>
      </c>
    </row>
    <row r="380" customFormat="false" ht="15" hidden="false" customHeight="false" outlineLevel="0" collapsed="false">
      <c r="A380" s="1" t="s">
        <v>1210</v>
      </c>
      <c r="B380" s="1" t="n">
        <v>30</v>
      </c>
    </row>
    <row r="381" customFormat="false" ht="15" hidden="false" customHeight="false" outlineLevel="0" collapsed="false">
      <c r="A381" s="62" t="s">
        <v>1211</v>
      </c>
      <c r="B381" s="1" t="n">
        <v>30</v>
      </c>
    </row>
    <row r="382" customFormat="false" ht="15" hidden="false" customHeight="false" outlineLevel="0" collapsed="false">
      <c r="A382" s="1" t="s">
        <v>1212</v>
      </c>
      <c r="B382" s="1" t="n">
        <v>30</v>
      </c>
    </row>
    <row r="383" customFormat="false" ht="15" hidden="false" customHeight="false" outlineLevel="0" collapsed="false">
      <c r="A383" s="1" t="s">
        <v>1213</v>
      </c>
      <c r="B383" s="1" t="n">
        <v>30</v>
      </c>
    </row>
    <row r="384" customFormat="false" ht="15" hidden="false" customHeight="false" outlineLevel="0" collapsed="false">
      <c r="A384" s="1" t="s">
        <v>1214</v>
      </c>
      <c r="B384" s="1" t="n">
        <v>30</v>
      </c>
    </row>
    <row r="385" customFormat="false" ht="15" hidden="false" customHeight="false" outlineLevel="0" collapsed="false">
      <c r="A385" s="1" t="s">
        <v>1215</v>
      </c>
      <c r="B385" s="1" t="n">
        <v>30</v>
      </c>
    </row>
    <row r="386" customFormat="false" ht="15" hidden="false" customHeight="false" outlineLevel="0" collapsed="false">
      <c r="A386" s="1" t="s">
        <v>1216</v>
      </c>
      <c r="B386" s="1" t="n">
        <v>30</v>
      </c>
    </row>
    <row r="387" customFormat="false" ht="15" hidden="false" customHeight="false" outlineLevel="0" collapsed="false">
      <c r="A387" s="1" t="s">
        <v>1217</v>
      </c>
      <c r="B387" s="1" t="n">
        <v>30</v>
      </c>
    </row>
    <row r="388" customFormat="false" ht="15" hidden="false" customHeight="false" outlineLevel="0" collapsed="false">
      <c r="A388" s="1" t="s">
        <v>1162</v>
      </c>
      <c r="B388" s="1" t="n">
        <v>30</v>
      </c>
    </row>
    <row r="389" customFormat="false" ht="15" hidden="false" customHeight="false" outlineLevel="0" collapsed="false">
      <c r="A389" s="1" t="s">
        <v>1218</v>
      </c>
      <c r="B389" s="1" t="n">
        <v>30</v>
      </c>
    </row>
    <row r="390" customFormat="false" ht="15" hidden="false" customHeight="false" outlineLevel="0" collapsed="false">
      <c r="A390" s="1" t="s">
        <v>1219</v>
      </c>
      <c r="B390" s="1" t="n">
        <v>30</v>
      </c>
    </row>
    <row r="391" customFormat="false" ht="15" hidden="false" customHeight="false" outlineLevel="0" collapsed="false">
      <c r="A391" s="1" t="s">
        <v>1220</v>
      </c>
      <c r="B391" s="1" t="n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2.43"/>
    <col collapsed="false" customWidth="true" hidden="false" outlineLevel="0" max="11" min="11" style="1" width="12.57"/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9" t="s">
        <v>1383</v>
      </c>
      <c r="N2" s="221" t="n">
        <f aca="false">IF('Datos iniciales '!D5="zapatas y vigas de cimentación",'Datos iniciales '!B5,0)</f>
        <v>120</v>
      </c>
    </row>
    <row r="3" customFormat="false" ht="15" hidden="false" customHeight="false" outlineLevel="0" collapsed="false">
      <c r="E3" s="38" t="s">
        <v>1222</v>
      </c>
      <c r="F3" s="38" t="s">
        <v>1223</v>
      </c>
      <c r="G3" s="38" t="s">
        <v>121</v>
      </c>
      <c r="H3" s="38" t="s">
        <v>122</v>
      </c>
      <c r="I3" s="38" t="s">
        <v>123</v>
      </c>
      <c r="J3" s="38" t="s">
        <v>452</v>
      </c>
      <c r="K3" s="38" t="s">
        <v>453</v>
      </c>
      <c r="M3" s="159"/>
      <c r="N3" s="159"/>
    </row>
    <row r="4" customFormat="false" ht="15" hidden="false" customHeight="false" outlineLevel="0" collapsed="false">
      <c r="G4" s="160"/>
      <c r="H4" s="76"/>
      <c r="I4" s="30"/>
      <c r="K4" s="1" t="n">
        <f aca="false">SUM(J4:J37)</f>
        <v>118047.81586355</v>
      </c>
      <c r="M4" s="159" t="s">
        <v>1373</v>
      </c>
      <c r="N4" s="159" t="n">
        <f aca="false">K4/N2</f>
        <v>983.731798862921</v>
      </c>
    </row>
    <row r="5" customFormat="false" ht="15" hidden="false" customHeight="false" outlineLevel="0" collapsed="false">
      <c r="K5" s="30"/>
    </row>
    <row r="6" customFormat="false" ht="15" hidden="false" customHeight="false" outlineLevel="0" collapsed="false">
      <c r="A6" s="27"/>
      <c r="B6" s="14"/>
      <c r="G6" s="14"/>
      <c r="Q6" s="14" t="s">
        <v>276</v>
      </c>
      <c r="R6" s="14"/>
      <c r="S6" s="14" t="s">
        <v>1376</v>
      </c>
      <c r="T6" s="14"/>
    </row>
    <row r="7" customFormat="false" ht="15" hidden="false" customHeight="false" outlineLevel="0" collapsed="false">
      <c r="E7" s="222"/>
      <c r="F7" s="30"/>
      <c r="I7" s="30"/>
      <c r="J7" s="30"/>
      <c r="L7" s="75"/>
      <c r="Q7" s="14" t="s">
        <v>277</v>
      </c>
      <c r="R7" s="14" t="s">
        <v>278</v>
      </c>
      <c r="S7" s="38" t="s">
        <v>279</v>
      </c>
      <c r="T7" s="54" t="n">
        <v>500</v>
      </c>
      <c r="U7" s="38" t="s">
        <v>280</v>
      </c>
      <c r="V7" s="54" t="n">
        <f aca="false">T7</f>
        <v>500</v>
      </c>
      <c r="W7" s="14" t="s">
        <v>281</v>
      </c>
      <c r="Y7" s="38" t="s">
        <v>132</v>
      </c>
      <c r="Z7" s="55" t="n">
        <f aca="false">Z13+Z18+Z23</f>
        <v>2.89927064</v>
      </c>
    </row>
    <row r="8" customFormat="false" ht="15" hidden="false" customHeight="false" outlineLevel="0" collapsed="false">
      <c r="A8" s="27" t="s">
        <v>455</v>
      </c>
      <c r="B8" s="14"/>
      <c r="E8" s="222"/>
      <c r="F8" s="30"/>
      <c r="J8" s="30"/>
      <c r="L8" s="223"/>
      <c r="Q8" s="14" t="s">
        <v>282</v>
      </c>
      <c r="R8" s="14" t="s">
        <v>283</v>
      </c>
      <c r="V8" s="38" t="s">
        <v>121</v>
      </c>
      <c r="W8" s="38" t="s">
        <v>284</v>
      </c>
      <c r="X8" s="38" t="s">
        <v>285</v>
      </c>
      <c r="Y8" s="38" t="s">
        <v>286</v>
      </c>
      <c r="Z8" s="38" t="s">
        <v>287</v>
      </c>
    </row>
    <row r="9" customFormat="false" ht="15" hidden="false" customHeight="false" outlineLevel="0" collapsed="false">
      <c r="A9" s="213" t="s">
        <v>457</v>
      </c>
      <c r="E9" s="224" t="n">
        <v>1</v>
      </c>
      <c r="F9" s="30" t="n">
        <v>4.36975929978118</v>
      </c>
      <c r="G9" s="1" t="s">
        <v>202</v>
      </c>
      <c r="H9" s="1" t="n">
        <f aca="false">E9*F9*$N$2</f>
        <v>524.371115973742</v>
      </c>
      <c r="I9" s="30" t="n">
        <f aca="false">Z26</f>
        <v>8.45820448</v>
      </c>
      <c r="J9" s="30" t="n">
        <f aca="false">H9*I9</f>
        <v>4435.2381223117</v>
      </c>
      <c r="L9" s="75"/>
      <c r="M9" s="222"/>
      <c r="R9" s="56" t="s">
        <v>288</v>
      </c>
    </row>
    <row r="10" customFormat="false" ht="15" hidden="false" customHeight="false" outlineLevel="0" collapsed="false">
      <c r="A10" s="213" t="s">
        <v>459</v>
      </c>
      <c r="E10" s="224" t="n">
        <v>1</v>
      </c>
      <c r="F10" s="30" t="n">
        <v>0.0588183807439825</v>
      </c>
      <c r="G10" s="1" t="s">
        <v>202</v>
      </c>
      <c r="H10" s="1" t="n">
        <f aca="false">E10*F10*$N$2</f>
        <v>7.0582056892779</v>
      </c>
      <c r="I10" s="30" t="n">
        <f aca="false">Z42</f>
        <v>49.40498</v>
      </c>
      <c r="J10" s="30" t="n">
        <f aca="false">H10*I10</f>
        <v>348.710510914661</v>
      </c>
      <c r="L10" s="75"/>
      <c r="M10" s="222"/>
      <c r="R10" s="1" t="s">
        <v>1378</v>
      </c>
      <c r="V10" s="57" t="s">
        <v>290</v>
      </c>
      <c r="W10" s="58" t="n">
        <v>1</v>
      </c>
      <c r="X10" s="59" t="n">
        <f aca="false">W10*8/$V$7</f>
        <v>0.016</v>
      </c>
      <c r="Y10" s="1" t="n">
        <v>28.94</v>
      </c>
      <c r="Z10" s="30" t="n">
        <f aca="false">X10*Y10</f>
        <v>0.46304</v>
      </c>
    </row>
    <row r="11" customFormat="false" ht="15" hidden="false" customHeight="false" outlineLevel="0" collapsed="false">
      <c r="A11" s="213" t="s">
        <v>461</v>
      </c>
      <c r="E11" s="224" t="n">
        <v>1</v>
      </c>
      <c r="F11" s="30" t="n">
        <v>0.269540481400438</v>
      </c>
      <c r="G11" s="1" t="s">
        <v>202</v>
      </c>
      <c r="H11" s="1" t="n">
        <f aca="false">E11*F11*$N$2</f>
        <v>32.3448577680525</v>
      </c>
      <c r="I11" s="30" t="n">
        <f aca="false">Z53</f>
        <v>66.2342173333333</v>
      </c>
      <c r="J11" s="30" t="n">
        <f aca="false">H11*I11</f>
        <v>2142.33633902495</v>
      </c>
      <c r="L11" s="75"/>
      <c r="M11" s="222"/>
      <c r="R11" s="1" t="s">
        <v>292</v>
      </c>
      <c r="V11" s="57" t="s">
        <v>290</v>
      </c>
      <c r="W11" s="58" t="n">
        <v>3</v>
      </c>
      <c r="X11" s="59" t="n">
        <f aca="false">W11*8/$V$7</f>
        <v>0.048</v>
      </c>
      <c r="Y11" s="1" t="n">
        <v>20.51</v>
      </c>
      <c r="Z11" s="30" t="n">
        <f aca="false">X11*Y11</f>
        <v>0.98448</v>
      </c>
    </row>
    <row r="12" customFormat="false" ht="15" hidden="false" customHeight="false" outlineLevel="0" collapsed="false">
      <c r="A12" s="213" t="s">
        <v>463</v>
      </c>
      <c r="E12" s="224" t="n">
        <v>1</v>
      </c>
      <c r="F12" s="30" t="n">
        <v>2.57973012399708</v>
      </c>
      <c r="G12" s="1" t="s">
        <v>202</v>
      </c>
      <c r="H12" s="1" t="n">
        <f aca="false">E12*F12*$N$2</f>
        <v>309.56761487965</v>
      </c>
      <c r="I12" s="30" t="n">
        <f aca="false">Z70</f>
        <v>19.29963</v>
      </c>
      <c r="J12" s="30" t="n">
        <f aca="false">H12*I12</f>
        <v>5974.54042715974</v>
      </c>
      <c r="K12" s="160"/>
      <c r="L12" s="75"/>
      <c r="M12" s="222"/>
      <c r="R12" s="1" t="s">
        <v>649</v>
      </c>
      <c r="V12" s="57" t="s">
        <v>290</v>
      </c>
      <c r="W12" s="58" t="n">
        <v>0.1</v>
      </c>
      <c r="X12" s="59" t="n">
        <f aca="false">W12*8/$V$7</f>
        <v>0.0016</v>
      </c>
      <c r="Y12" s="1" t="n">
        <v>34.73</v>
      </c>
      <c r="Z12" s="30" t="n">
        <f aca="false">X12*Y12</f>
        <v>0.055568</v>
      </c>
    </row>
    <row r="13" customFormat="false" ht="15" hidden="false" customHeight="false" outlineLevel="0" collapsed="false">
      <c r="A13" s="213" t="s">
        <v>1384</v>
      </c>
      <c r="E13" s="224" t="n">
        <v>1</v>
      </c>
      <c r="F13" s="30" t="n">
        <v>2.05368344274252</v>
      </c>
      <c r="G13" s="1" t="s">
        <v>132</v>
      </c>
      <c r="H13" s="1" t="n">
        <f aca="false">E13*F13*$N$2</f>
        <v>246.442013129103</v>
      </c>
      <c r="I13" s="30" t="n">
        <f aca="false">Z87</f>
        <v>7.930344</v>
      </c>
      <c r="J13" s="30" t="n">
        <f aca="false">H13*I13</f>
        <v>1954.3699401663</v>
      </c>
      <c r="L13" s="75"/>
      <c r="M13" s="222"/>
      <c r="Z13" s="55" t="n">
        <f aca="false">SUM(Z10:Z12)</f>
        <v>1.503088</v>
      </c>
    </row>
    <row r="14" customFormat="false" ht="15" hidden="false" customHeight="false" outlineLevel="0" collapsed="false">
      <c r="A14" s="213" t="s">
        <v>467</v>
      </c>
      <c r="E14" s="224" t="n">
        <v>1</v>
      </c>
      <c r="F14" s="30" t="n">
        <v>2.3110594456601</v>
      </c>
      <c r="G14" s="1" t="s">
        <v>132</v>
      </c>
      <c r="H14" s="1" t="n">
        <f aca="false">E14*F14*$N$2</f>
        <v>277.327133479212</v>
      </c>
      <c r="I14" s="30" t="n">
        <f aca="false">Z102</f>
        <v>12.11253</v>
      </c>
      <c r="J14" s="30" t="n">
        <f aca="false">H14*I14</f>
        <v>3359.13322408096</v>
      </c>
      <c r="K14" s="225"/>
      <c r="L14" s="75"/>
      <c r="M14" s="222"/>
      <c r="R14" s="56" t="s">
        <v>652</v>
      </c>
    </row>
    <row r="15" customFormat="false" ht="15" hidden="false" customHeight="false" outlineLevel="0" collapsed="false">
      <c r="A15" s="213" t="s">
        <v>469</v>
      </c>
      <c r="E15" s="224" t="n">
        <v>1</v>
      </c>
      <c r="F15" s="30" t="n">
        <v>2.3110594456601</v>
      </c>
      <c r="G15" s="1" t="s">
        <v>202</v>
      </c>
      <c r="H15" s="1" t="n">
        <f aca="false">E15*F15*$N$2</f>
        <v>277.327133479212</v>
      </c>
      <c r="I15" s="30" t="n">
        <f aca="false">Z113</f>
        <v>22.9100074666667</v>
      </c>
      <c r="J15" s="30" t="n">
        <f aca="false">H15*I15</f>
        <v>6353.56669871802</v>
      </c>
      <c r="L15" s="75"/>
      <c r="M15" s="222"/>
      <c r="R15" s="1" t="s">
        <v>300</v>
      </c>
      <c r="V15" s="57" t="s">
        <v>295</v>
      </c>
      <c r="X15" s="59" t="n">
        <v>0.005</v>
      </c>
      <c r="Y15" s="1" t="n">
        <v>5.51</v>
      </c>
      <c r="Z15" s="30" t="n">
        <f aca="false">X15*Y15</f>
        <v>0.02755</v>
      </c>
    </row>
    <row r="16" customFormat="false" ht="15" hidden="false" customHeight="false" outlineLevel="0" collapsed="false">
      <c r="A16" s="27" t="s">
        <v>474</v>
      </c>
      <c r="E16" s="224"/>
      <c r="F16" s="30"/>
      <c r="L16" s="75"/>
      <c r="M16" s="222"/>
      <c r="R16" s="1" t="s">
        <v>1379</v>
      </c>
      <c r="S16" s="226"/>
      <c r="T16" s="226"/>
      <c r="U16" s="226"/>
      <c r="V16" s="57" t="s">
        <v>306</v>
      </c>
      <c r="W16" s="226"/>
      <c r="X16" s="59" t="n">
        <v>0.025</v>
      </c>
      <c r="Y16" s="30" t="n">
        <v>38.9</v>
      </c>
      <c r="Z16" s="30" t="n">
        <f aca="false">X16*Y16</f>
        <v>0.9725</v>
      </c>
    </row>
    <row r="17" customFormat="false" ht="15" hidden="false" customHeight="false" outlineLevel="0" collapsed="false">
      <c r="A17" s="1" t="s">
        <v>1385</v>
      </c>
      <c r="E17" s="224" t="n">
        <v>0.88</v>
      </c>
      <c r="F17" s="30" t="n">
        <v>1</v>
      </c>
      <c r="H17" s="1" t="n">
        <f aca="false">E17*F17*$N$2</f>
        <v>105.6</v>
      </c>
      <c r="I17" s="30" t="n">
        <f aca="false">Z126</f>
        <v>238.3435744</v>
      </c>
      <c r="J17" s="30" t="n">
        <f aca="false">H17*I17</f>
        <v>25169.08145664</v>
      </c>
      <c r="L17" s="75"/>
      <c r="M17" s="222"/>
      <c r="R17" s="1" t="s">
        <v>307</v>
      </c>
      <c r="V17" s="57" t="s">
        <v>304</v>
      </c>
      <c r="X17" s="59" t="n">
        <v>0.02</v>
      </c>
      <c r="Y17" s="30" t="n">
        <v>5.8</v>
      </c>
      <c r="Z17" s="30" t="n">
        <f aca="false">X17*Y17</f>
        <v>0.116</v>
      </c>
    </row>
    <row r="18" customFormat="false" ht="15" hidden="false" customHeight="false" outlineLevel="0" collapsed="false">
      <c r="A18" s="15" t="s">
        <v>484</v>
      </c>
      <c r="E18" s="224"/>
      <c r="F18" s="30"/>
      <c r="L18" s="75"/>
      <c r="M18" s="222"/>
      <c r="Z18" s="55" t="n">
        <f aca="false">SUM(Z15:Z17)</f>
        <v>1.11605</v>
      </c>
    </row>
    <row r="19" customFormat="false" ht="16.4" hidden="false" customHeight="false" outlineLevel="0" collapsed="false">
      <c r="A19" s="213" t="s">
        <v>486</v>
      </c>
      <c r="B19" s="213"/>
      <c r="C19" s="213"/>
      <c r="D19" s="213"/>
      <c r="E19" s="224" t="n">
        <v>0.97</v>
      </c>
      <c r="F19" s="30" t="n">
        <v>0.884609773887673</v>
      </c>
      <c r="G19" s="1" t="s">
        <v>132</v>
      </c>
      <c r="H19" s="1" t="n">
        <f aca="false">E19*F19*$N$2</f>
        <v>102.968577680525</v>
      </c>
      <c r="I19" s="227" t="n">
        <f aca="false">Z152</f>
        <v>39.6208818181818</v>
      </c>
      <c r="J19" s="228" t="n">
        <f aca="false">H19*I19</f>
        <v>4079.70584726636</v>
      </c>
      <c r="L19" s="229"/>
      <c r="M19" s="222"/>
      <c r="R19" s="56" t="s">
        <v>308</v>
      </c>
    </row>
    <row r="20" customFormat="false" ht="15" hidden="false" customHeight="false" outlineLevel="0" collapsed="false">
      <c r="A20" s="15" t="s">
        <v>488</v>
      </c>
      <c r="E20" s="224"/>
      <c r="F20" s="30"/>
      <c r="I20" s="160"/>
      <c r="J20" s="30"/>
      <c r="K20" s="160"/>
      <c r="L20" s="205"/>
      <c r="M20" s="222"/>
      <c r="R20" s="1" t="s">
        <v>309</v>
      </c>
      <c r="V20" s="57" t="s">
        <v>310</v>
      </c>
      <c r="X20" s="59" t="n">
        <v>3</v>
      </c>
      <c r="Y20" s="30" t="n">
        <f aca="false">Z13</f>
        <v>1.503088</v>
      </c>
      <c r="Z20" s="30" t="n">
        <f aca="false">X20%*Y20</f>
        <v>0.04509264</v>
      </c>
    </row>
    <row r="21" customFormat="false" ht="16.4" hidden="false" customHeight="false" outlineLevel="0" collapsed="false">
      <c r="A21" s="1" t="s">
        <v>490</v>
      </c>
      <c r="E21" s="224" t="n">
        <v>0.93</v>
      </c>
      <c r="F21" s="30" t="n">
        <v>0.0510576221735959</v>
      </c>
      <c r="G21" s="1" t="s">
        <v>132</v>
      </c>
      <c r="H21" s="1" t="n">
        <f aca="false">E21*F21*$N$2</f>
        <v>5.69803063457331</v>
      </c>
      <c r="I21" s="209" t="n">
        <f aca="false">Z171</f>
        <v>27.126394</v>
      </c>
      <c r="J21" s="30" t="n">
        <f aca="false">H21*I21</f>
        <v>154.567024017506</v>
      </c>
      <c r="K21" s="225"/>
      <c r="L21" s="205"/>
      <c r="M21" s="222"/>
      <c r="R21" s="1" t="s">
        <v>1380</v>
      </c>
      <c r="V21" s="57" t="s">
        <v>337</v>
      </c>
      <c r="W21" s="58" t="n">
        <v>1</v>
      </c>
      <c r="X21" s="59" t="n">
        <f aca="false">W21*8/$V$7</f>
        <v>0.016</v>
      </c>
      <c r="Y21" s="30" t="n">
        <v>9.69</v>
      </c>
      <c r="Z21" s="30" t="n">
        <f aca="false">X21*Y21</f>
        <v>0.15504</v>
      </c>
    </row>
    <row r="22" customFormat="false" ht="15" hidden="false" customHeight="false" outlineLevel="0" collapsed="false">
      <c r="A22" s="15" t="s">
        <v>1377</v>
      </c>
      <c r="E22" s="224"/>
      <c r="F22" s="30"/>
      <c r="I22" s="160"/>
      <c r="J22" s="30"/>
      <c r="K22" s="225"/>
      <c r="L22" s="205"/>
      <c r="M22" s="222"/>
      <c r="R22" s="1" t="s">
        <v>1381</v>
      </c>
      <c r="V22" s="57" t="s">
        <v>143</v>
      </c>
      <c r="X22" s="1" t="n">
        <v>0.008</v>
      </c>
      <c r="Y22" s="59" t="n">
        <v>10</v>
      </c>
      <c r="Z22" s="30" t="n">
        <f aca="false">X22*Y22</f>
        <v>0.08</v>
      </c>
    </row>
    <row r="23" customFormat="false" ht="15" hidden="false" customHeight="false" outlineLevel="0" collapsed="false">
      <c r="A23" s="15" t="s">
        <v>493</v>
      </c>
      <c r="E23" s="224"/>
      <c r="F23" s="30"/>
      <c r="I23" s="160"/>
      <c r="J23" s="30"/>
      <c r="L23" s="205"/>
      <c r="M23" s="222"/>
      <c r="Q23" s="62"/>
      <c r="R23" s="62"/>
      <c r="S23" s="62"/>
      <c r="T23" s="62"/>
      <c r="U23" s="62"/>
      <c r="V23" s="62"/>
      <c r="W23" s="62"/>
      <c r="X23" s="62"/>
      <c r="Y23" s="83"/>
      <c r="Z23" s="63" t="n">
        <f aca="false">SUM(Z20:Z22)</f>
        <v>0.28013264</v>
      </c>
    </row>
    <row r="24" customFormat="false" ht="16.4" hidden="false" customHeight="false" outlineLevel="0" collapsed="false">
      <c r="A24" s="1" t="s">
        <v>495</v>
      </c>
      <c r="E24" s="224" t="n">
        <v>0.9</v>
      </c>
      <c r="F24" s="30" t="n">
        <v>0.632312180889861</v>
      </c>
      <c r="G24" s="1" t="s">
        <v>202</v>
      </c>
      <c r="H24" s="1" t="n">
        <f aca="false">E24*F24*$N$2</f>
        <v>68.289715536105</v>
      </c>
      <c r="I24" s="209" t="n">
        <f aca="false">Z190</f>
        <v>426.397544</v>
      </c>
      <c r="J24" s="30" t="n">
        <f aca="false">H24*I24</f>
        <v>29118.5669850538</v>
      </c>
      <c r="L24" s="205"/>
      <c r="M24" s="222"/>
    </row>
    <row r="25" customFormat="false" ht="16.4" hidden="false" customHeight="false" outlineLevel="0" collapsed="false">
      <c r="A25" s="1" t="s">
        <v>497</v>
      </c>
      <c r="E25" s="224" t="n">
        <v>0.8</v>
      </c>
      <c r="F25" s="30"/>
      <c r="G25" s="160" t="s">
        <v>295</v>
      </c>
      <c r="H25" s="1" t="n">
        <f aca="false">H24*40*E25</f>
        <v>2185.27089715536</v>
      </c>
      <c r="I25" s="209" t="n">
        <f aca="false">Z229</f>
        <v>5.5639628445</v>
      </c>
      <c r="J25" s="30" t="n">
        <f aca="false">H25*I25</f>
        <v>12158.7660769396</v>
      </c>
      <c r="K25" s="1" t="n">
        <f aca="false">H25/H24</f>
        <v>32</v>
      </c>
      <c r="L25" s="205" t="n">
        <f aca="false">H24*40</f>
        <v>2731.5886214442</v>
      </c>
      <c r="M25" s="222"/>
      <c r="Q25" s="14" t="s">
        <v>276</v>
      </c>
      <c r="R25" s="14"/>
      <c r="S25" s="14" t="s">
        <v>457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30" t="s">
        <v>507</v>
      </c>
      <c r="E26" s="224"/>
      <c r="F26" s="30"/>
      <c r="G26" s="160"/>
      <c r="I26" s="160"/>
      <c r="J26" s="30"/>
      <c r="L26" s="205"/>
      <c r="M26" s="222"/>
      <c r="Q26" s="14" t="s">
        <v>277</v>
      </c>
      <c r="R26" s="14" t="s">
        <v>415</v>
      </c>
      <c r="S26" s="38" t="s">
        <v>279</v>
      </c>
      <c r="T26" s="54" t="n">
        <v>250</v>
      </c>
      <c r="U26" s="38" t="s">
        <v>280</v>
      </c>
      <c r="V26" s="54" t="n">
        <f aca="false">T26</f>
        <v>250</v>
      </c>
      <c r="W26" s="14" t="s">
        <v>281</v>
      </c>
      <c r="Y26" s="38" t="s">
        <v>202</v>
      </c>
      <c r="Z26" s="55" t="n">
        <f aca="false">Z32+Z36</f>
        <v>8.45820448</v>
      </c>
      <c r="AC26" s="14"/>
      <c r="AD26" s="14"/>
      <c r="AE26" s="38"/>
      <c r="AF26" s="54"/>
      <c r="AG26" s="38"/>
      <c r="AH26" s="54"/>
      <c r="AI26" s="14"/>
      <c r="AK26" s="38"/>
      <c r="AL26" s="55"/>
    </row>
    <row r="27" customFormat="false" ht="16.4" hidden="false" customHeight="false" outlineLevel="0" collapsed="false">
      <c r="A27" s="1" t="s">
        <v>509</v>
      </c>
      <c r="E27" s="224" t="n">
        <v>0.92</v>
      </c>
      <c r="F27" s="30" t="n">
        <v>0.120204230488694</v>
      </c>
      <c r="G27" s="160" t="s">
        <v>202</v>
      </c>
      <c r="H27" s="1" t="n">
        <f aca="false">E27*F27*$N$2</f>
        <v>13.2705470459519</v>
      </c>
      <c r="I27" s="209" t="n">
        <f aca="false">Z245</f>
        <v>438.22652</v>
      </c>
      <c r="J27" s="30" t="n">
        <f aca="false">H27*I27</f>
        <v>5815.50565044376</v>
      </c>
      <c r="L27" s="205"/>
      <c r="M27" s="222"/>
      <c r="Q27" s="14" t="s">
        <v>282</v>
      </c>
      <c r="R27" s="14" t="s">
        <v>283</v>
      </c>
      <c r="V27" s="38" t="s">
        <v>121</v>
      </c>
      <c r="W27" s="38" t="s">
        <v>284</v>
      </c>
      <c r="X27" s="38" t="s">
        <v>285</v>
      </c>
      <c r="Y27" s="38" t="s">
        <v>286</v>
      </c>
      <c r="Z27" s="38" t="s">
        <v>287</v>
      </c>
      <c r="AC27" s="14"/>
      <c r="AD27" s="14"/>
      <c r="AH27" s="38"/>
      <c r="AI27" s="38"/>
      <c r="AJ27" s="38"/>
      <c r="AK27" s="38"/>
      <c r="AL27" s="38"/>
    </row>
    <row r="28" customFormat="false" ht="16.4" hidden="false" customHeight="false" outlineLevel="0" collapsed="false">
      <c r="A28" s="1" t="s">
        <v>511</v>
      </c>
      <c r="E28" s="224" t="n">
        <v>0.95</v>
      </c>
      <c r="F28" s="30" t="n">
        <v>0.6490882567469</v>
      </c>
      <c r="G28" s="160" t="s">
        <v>132</v>
      </c>
      <c r="H28" s="1" t="n">
        <f aca="false">E28*F28*$N$2</f>
        <v>73.9960612691466</v>
      </c>
      <c r="I28" s="209" t="n">
        <f aca="false">Z267</f>
        <v>64.02696</v>
      </c>
      <c r="J28" s="30" t="n">
        <f aca="false">H28*I28</f>
        <v>4737.7428550372</v>
      </c>
      <c r="L28" s="205"/>
      <c r="M28" s="222"/>
      <c r="R28" s="56" t="s">
        <v>288</v>
      </c>
      <c r="AD28" s="56"/>
    </row>
    <row r="29" customFormat="false" ht="16.4" hidden="false" customHeight="false" outlineLevel="0" collapsed="false">
      <c r="A29" s="1" t="s">
        <v>513</v>
      </c>
      <c r="E29" s="224" t="n">
        <v>0.77</v>
      </c>
      <c r="F29" s="30"/>
      <c r="G29" s="160" t="s">
        <v>295</v>
      </c>
      <c r="H29" s="1" t="n">
        <f aca="false">H27*50*E29</f>
        <v>510.916061269147</v>
      </c>
      <c r="I29" s="209" t="n">
        <f aca="false">Z283</f>
        <v>5.5639628445</v>
      </c>
      <c r="J29" s="30" t="n">
        <f aca="false">H29*I29</f>
        <v>2842.71798155982</v>
      </c>
      <c r="K29" s="1" t="n">
        <f aca="false">H29/H27</f>
        <v>38.5</v>
      </c>
      <c r="L29" s="205"/>
      <c r="M29" s="222"/>
      <c r="R29" s="1" t="s">
        <v>649</v>
      </c>
      <c r="V29" s="57" t="s">
        <v>290</v>
      </c>
      <c r="W29" s="58" t="n">
        <v>0.1</v>
      </c>
      <c r="X29" s="59" t="n">
        <f aca="false">W29*8/$V$26</f>
        <v>0.0032</v>
      </c>
      <c r="Y29" s="1" t="n">
        <v>34.73</v>
      </c>
      <c r="Z29" s="30" t="n">
        <f aca="false">X29*Y29</f>
        <v>0.111136</v>
      </c>
      <c r="AH29" s="57"/>
      <c r="AI29" s="58"/>
      <c r="AJ29" s="59"/>
      <c r="AL29" s="30"/>
    </row>
    <row r="30" customFormat="false" ht="15" hidden="false" customHeight="false" outlineLevel="0" collapsed="false">
      <c r="A30" s="27" t="s">
        <v>515</v>
      </c>
      <c r="B30" s="14"/>
      <c r="E30" s="224"/>
      <c r="F30" s="30"/>
      <c r="I30" s="160"/>
      <c r="J30" s="30"/>
      <c r="L30" s="205"/>
      <c r="M30" s="222"/>
      <c r="R30" s="1" t="s">
        <v>289</v>
      </c>
      <c r="V30" s="57" t="s">
        <v>290</v>
      </c>
      <c r="W30" s="58" t="n">
        <v>2</v>
      </c>
      <c r="X30" s="59" t="n">
        <f aca="false">W30*8/$V$26</f>
        <v>0.064</v>
      </c>
      <c r="Y30" s="30" t="n">
        <v>28.94</v>
      </c>
      <c r="Z30" s="30" t="n">
        <f aca="false">X30*Y30</f>
        <v>1.85216</v>
      </c>
      <c r="AH30" s="57"/>
      <c r="AI30" s="58"/>
      <c r="AJ30" s="59"/>
      <c r="AL30" s="30"/>
    </row>
    <row r="31" customFormat="false" ht="15" hidden="false" customHeight="false" outlineLevel="0" collapsed="false">
      <c r="A31" s="1" t="s">
        <v>517</v>
      </c>
      <c r="E31" s="224" t="n">
        <v>0.86</v>
      </c>
      <c r="F31" s="30" t="n">
        <v>0.0833698030634573</v>
      </c>
      <c r="G31" s="1" t="s">
        <v>202</v>
      </c>
      <c r="H31" s="1" t="n">
        <f aca="false">E31*F31*$N$2</f>
        <v>8.6037636761488</v>
      </c>
      <c r="I31" s="30" t="n">
        <f aca="false">Z301</f>
        <v>424.9218</v>
      </c>
      <c r="J31" s="30" t="n">
        <f aca="false">H31*I31</f>
        <v>3655.92674804376</v>
      </c>
      <c r="L31" s="75"/>
      <c r="M31" s="222"/>
      <c r="R31" s="1" t="s">
        <v>292</v>
      </c>
      <c r="V31" s="57" t="s">
        <v>290</v>
      </c>
      <c r="W31" s="58" t="n">
        <v>1</v>
      </c>
      <c r="X31" s="59" t="n">
        <f aca="false">W31*8/$V$26</f>
        <v>0.032</v>
      </c>
      <c r="Y31" s="1" t="n">
        <v>20.51</v>
      </c>
      <c r="Z31" s="30" t="n">
        <f aca="false">X31*Y31</f>
        <v>0.65632</v>
      </c>
      <c r="AL31" s="55"/>
    </row>
    <row r="32" customFormat="false" ht="15" hidden="false" customHeight="false" outlineLevel="0" collapsed="false">
      <c r="A32" s="1" t="s">
        <v>519</v>
      </c>
      <c r="E32" s="224" t="n">
        <v>0.89</v>
      </c>
      <c r="F32" s="30" t="n">
        <v>0.416849015317287</v>
      </c>
      <c r="G32" s="1" t="s">
        <v>132</v>
      </c>
      <c r="H32" s="1" t="n">
        <f aca="false">E32*F32*$N$2</f>
        <v>44.5194748358862</v>
      </c>
      <c r="I32" s="30" t="n">
        <f aca="false">Z322</f>
        <v>42.64448</v>
      </c>
      <c r="J32" s="30" t="n">
        <f aca="false">H32*I32</f>
        <v>1898.50985424945</v>
      </c>
      <c r="L32" s="75"/>
      <c r="M32" s="222"/>
      <c r="Z32" s="55" t="n">
        <f aca="false">SUM(Z29:Z31)</f>
        <v>2.619616</v>
      </c>
      <c r="AD32" s="56"/>
    </row>
    <row r="33" customFormat="false" ht="15" hidden="false" customHeight="false" outlineLevel="0" collapsed="false">
      <c r="A33" s="1" t="s">
        <v>521</v>
      </c>
      <c r="E33" s="224" t="n">
        <v>0.67</v>
      </c>
      <c r="F33" s="30"/>
      <c r="G33" s="1" t="s">
        <v>295</v>
      </c>
      <c r="H33" s="1" t="n">
        <f aca="false">H31*120*E33</f>
        <v>691.742599562363</v>
      </c>
      <c r="I33" s="30" t="n">
        <f aca="false">Z338</f>
        <v>5.5639628445</v>
      </c>
      <c r="J33" s="30" t="n">
        <f aca="false">H33*I33</f>
        <v>3848.83012192283</v>
      </c>
      <c r="K33" s="1" t="n">
        <f aca="false">H33/H31</f>
        <v>80.4</v>
      </c>
      <c r="L33" s="75"/>
      <c r="M33" s="222"/>
      <c r="R33" s="56" t="s">
        <v>308</v>
      </c>
      <c r="AH33" s="57"/>
      <c r="AJ33" s="59"/>
      <c r="AK33" s="30"/>
      <c r="AL33" s="30"/>
    </row>
    <row r="34" customFormat="false" ht="15" hidden="false" customHeight="false" outlineLevel="0" collapsed="false">
      <c r="M34" s="222"/>
      <c r="R34" s="1" t="s">
        <v>309</v>
      </c>
      <c r="V34" s="57" t="s">
        <v>310</v>
      </c>
      <c r="X34" s="59" t="n">
        <v>3</v>
      </c>
      <c r="Y34" s="30" t="n">
        <f aca="false">Z32</f>
        <v>2.619616</v>
      </c>
      <c r="Z34" s="30" t="n">
        <f aca="false">X34%*Y34</f>
        <v>0.07858848</v>
      </c>
    </row>
    <row r="35" customFormat="false" ht="15" hidden="false" customHeight="false" outlineLevel="0" collapsed="false">
      <c r="L35" s="75"/>
      <c r="R35" s="1" t="s">
        <v>650</v>
      </c>
      <c r="V35" s="57" t="s">
        <v>337</v>
      </c>
      <c r="W35" s="58" t="n">
        <v>1</v>
      </c>
      <c r="X35" s="59" t="n">
        <f aca="false">W35*8/$V$26</f>
        <v>0.032</v>
      </c>
      <c r="Y35" s="1" t="n">
        <v>180</v>
      </c>
      <c r="Z35" s="30" t="n">
        <f aca="false">X35*Y35</f>
        <v>5.76</v>
      </c>
    </row>
    <row r="36" customFormat="false" ht="15" hidden="false" customHeight="false" outlineLevel="0" collapsed="false">
      <c r="Q36" s="62"/>
      <c r="R36" s="62"/>
      <c r="S36" s="62"/>
      <c r="T36" s="62"/>
      <c r="U36" s="62"/>
      <c r="V36" s="62"/>
      <c r="W36" s="62"/>
      <c r="X36" s="62"/>
      <c r="Y36" s="62"/>
      <c r="Z36" s="63" t="n">
        <f aca="false">SUM(Z34:Z35)</f>
        <v>5.83858848</v>
      </c>
    </row>
    <row r="37" customFormat="false" ht="15" hidden="false" customHeight="false" outlineLevel="0" collapsed="false">
      <c r="A37" s="213"/>
      <c r="G37" s="231"/>
      <c r="H37" s="231"/>
      <c r="I37" s="209"/>
      <c r="R37" s="56"/>
      <c r="V37" s="57"/>
      <c r="W37" s="58"/>
      <c r="X37" s="59"/>
    </row>
    <row r="38" customFormat="false" ht="15" hidden="false" customHeight="false" outlineLevel="0" collapsed="false">
      <c r="Y38" s="30"/>
      <c r="Z38" s="30"/>
    </row>
    <row r="39" customFormat="false" ht="15" hidden="false" customHeight="false" outlineLevel="0" collapsed="false">
      <c r="G39" s="160"/>
      <c r="H39" s="160"/>
      <c r="I39" s="209"/>
      <c r="Y39" s="14"/>
      <c r="Z39" s="55"/>
    </row>
    <row r="40" customFormat="false" ht="15" hidden="false" customHeight="false" outlineLevel="0" collapsed="false">
      <c r="G40" s="160"/>
      <c r="H40" s="160"/>
      <c r="I40" s="209"/>
    </row>
    <row r="41" customFormat="false" ht="15" hidden="false" customHeight="false" outlineLevel="0" collapsed="false">
      <c r="Q41" s="14" t="s">
        <v>276</v>
      </c>
      <c r="R41" s="14"/>
      <c r="S41" s="14" t="s">
        <v>459</v>
      </c>
      <c r="T41" s="14"/>
    </row>
    <row r="42" customFormat="false" ht="15" hidden="false" customHeight="false" outlineLevel="0" collapsed="false">
      <c r="Q42" s="14" t="s">
        <v>277</v>
      </c>
      <c r="R42" s="14" t="s">
        <v>415</v>
      </c>
      <c r="S42" s="38" t="s">
        <v>279</v>
      </c>
      <c r="T42" s="54" t="n">
        <v>4</v>
      </c>
      <c r="U42" s="38" t="s">
        <v>280</v>
      </c>
      <c r="V42" s="54" t="n">
        <f aca="false">T42</f>
        <v>4</v>
      </c>
      <c r="W42" s="14" t="s">
        <v>281</v>
      </c>
      <c r="Y42" s="38" t="s">
        <v>202</v>
      </c>
      <c r="Z42" s="55" t="n">
        <f aca="false">Z47+Z50</f>
        <v>49.40498</v>
      </c>
    </row>
    <row r="43" customFormat="false" ht="15" hidden="false" customHeight="false" outlineLevel="0" collapsed="false">
      <c r="Q43" s="14" t="s">
        <v>282</v>
      </c>
      <c r="R43" s="14" t="s">
        <v>283</v>
      </c>
      <c r="V43" s="38" t="s">
        <v>121</v>
      </c>
      <c r="W43" s="38" t="s">
        <v>284</v>
      </c>
      <c r="X43" s="38" t="s">
        <v>285</v>
      </c>
      <c r="Y43" s="38" t="s">
        <v>286</v>
      </c>
      <c r="Z43" s="38" t="s">
        <v>287</v>
      </c>
    </row>
    <row r="44" customFormat="false" ht="15" hidden="false" customHeight="false" outlineLevel="0" collapsed="false">
      <c r="R44" s="56" t="s">
        <v>288</v>
      </c>
    </row>
    <row r="45" customFormat="false" ht="15" hidden="false" customHeight="false" outlineLevel="0" collapsed="false">
      <c r="R45" s="1" t="s">
        <v>649</v>
      </c>
      <c r="V45" s="57" t="s">
        <v>290</v>
      </c>
      <c r="W45" s="58" t="n">
        <v>0.1</v>
      </c>
      <c r="X45" s="59" t="n">
        <f aca="false">W45*8/$V$42</f>
        <v>0.2</v>
      </c>
      <c r="Y45" s="1" t="n">
        <v>34.73</v>
      </c>
      <c r="Z45" s="30" t="n">
        <f aca="false">X45*Y45</f>
        <v>6.946</v>
      </c>
    </row>
    <row r="46" customFormat="false" ht="15" hidden="false" customHeight="false" outlineLevel="0" collapsed="false">
      <c r="R46" s="1" t="s">
        <v>292</v>
      </c>
      <c r="V46" s="57" t="s">
        <v>290</v>
      </c>
      <c r="W46" s="58" t="n">
        <v>1</v>
      </c>
      <c r="X46" s="59" t="n">
        <f aca="false">W46*8/$V$42</f>
        <v>2</v>
      </c>
      <c r="Y46" s="1" t="n">
        <v>20.51</v>
      </c>
      <c r="Z46" s="30" t="n">
        <f aca="false">X46*Y46</f>
        <v>41.02</v>
      </c>
    </row>
    <row r="47" customFormat="false" ht="15" hidden="false" customHeight="false" outlineLevel="0" collapsed="false">
      <c r="V47" s="57"/>
      <c r="W47" s="58"/>
      <c r="X47" s="59"/>
      <c r="Z47" s="55" t="n">
        <f aca="false">SUM(Z45:Z46)</f>
        <v>47.966</v>
      </c>
    </row>
    <row r="48" customFormat="false" ht="15" hidden="false" customHeight="false" outlineLevel="0" collapsed="false">
      <c r="R48" s="56" t="s">
        <v>308</v>
      </c>
    </row>
    <row r="49" customFormat="false" ht="15" hidden="false" customHeight="false" outlineLevel="0" collapsed="false">
      <c r="R49" s="1" t="s">
        <v>309</v>
      </c>
      <c r="V49" s="57" t="s">
        <v>310</v>
      </c>
      <c r="X49" s="59" t="n">
        <v>3</v>
      </c>
      <c r="Y49" s="30" t="n">
        <f aca="false">Z47</f>
        <v>47.966</v>
      </c>
      <c r="Z49" s="30" t="n">
        <f aca="false">X49%*Y49</f>
        <v>1.43898</v>
      </c>
    </row>
    <row r="50" customFormat="false" ht="15" hidden="false" customHeight="false" outlineLevel="0" collapsed="false">
      <c r="Q50" s="62"/>
      <c r="R50" s="62"/>
      <c r="S50" s="62"/>
      <c r="T50" s="62"/>
      <c r="U50" s="62"/>
      <c r="V50" s="62"/>
      <c r="W50" s="62"/>
      <c r="X50" s="62"/>
      <c r="Y50" s="83"/>
      <c r="Z50" s="63" t="n">
        <f aca="false">SUM(Z49)</f>
        <v>1.43898</v>
      </c>
    </row>
    <row r="52" customFormat="false" ht="15" hidden="false" customHeight="false" outlineLevel="0" collapsed="false">
      <c r="Q52" s="14" t="s">
        <v>276</v>
      </c>
      <c r="R52" s="14"/>
      <c r="S52" s="14" t="s">
        <v>461</v>
      </c>
      <c r="T52" s="14"/>
    </row>
    <row r="53" customFormat="false" ht="15" hidden="false" customHeight="false" outlineLevel="0" collapsed="false">
      <c r="Q53" s="14" t="s">
        <v>277</v>
      </c>
      <c r="R53" s="14" t="s">
        <v>415</v>
      </c>
      <c r="S53" s="38" t="s">
        <v>279</v>
      </c>
      <c r="T53" s="54" t="n">
        <v>30</v>
      </c>
      <c r="U53" s="38" t="s">
        <v>280</v>
      </c>
      <c r="V53" s="54" t="n">
        <f aca="false">T53</f>
        <v>30</v>
      </c>
      <c r="W53" s="14" t="s">
        <v>281</v>
      </c>
      <c r="Y53" s="38" t="s">
        <v>202</v>
      </c>
      <c r="Z53" s="55" t="n">
        <f aca="false">Z59+Z63+Z67</f>
        <v>66.2342173333333</v>
      </c>
    </row>
    <row r="54" customFormat="false" ht="15" hidden="false" customHeight="false" outlineLevel="0" collapsed="false">
      <c r="Q54" s="14" t="s">
        <v>282</v>
      </c>
      <c r="R54" s="14" t="s">
        <v>283</v>
      </c>
      <c r="V54" s="38" t="s">
        <v>121</v>
      </c>
      <c r="W54" s="38" t="s">
        <v>284</v>
      </c>
      <c r="X54" s="38" t="s">
        <v>285</v>
      </c>
      <c r="Y54" s="38" t="s">
        <v>286</v>
      </c>
      <c r="Z54" s="38" t="s">
        <v>287</v>
      </c>
    </row>
    <row r="55" customFormat="false" ht="15" hidden="false" customHeight="false" outlineLevel="0" collapsed="false">
      <c r="R55" s="56" t="s">
        <v>288</v>
      </c>
    </row>
    <row r="56" customFormat="false" ht="15" hidden="false" customHeight="false" outlineLevel="0" collapsed="false">
      <c r="R56" s="1" t="s">
        <v>649</v>
      </c>
      <c r="V56" s="57" t="s">
        <v>290</v>
      </c>
      <c r="W56" s="58" t="n">
        <v>0.1</v>
      </c>
      <c r="X56" s="59" t="n">
        <f aca="false">W56*8/$V$53</f>
        <v>0.0266666666666667</v>
      </c>
      <c r="Y56" s="1" t="n">
        <v>34.73</v>
      </c>
      <c r="Z56" s="30" t="n">
        <f aca="false">X56*Y56</f>
        <v>0.926133333333333</v>
      </c>
    </row>
    <row r="57" customFormat="false" ht="15" hidden="false" customHeight="false" outlineLevel="0" collapsed="false">
      <c r="R57" s="1" t="s">
        <v>292</v>
      </c>
      <c r="V57" s="57" t="s">
        <v>290</v>
      </c>
      <c r="W57" s="58" t="n">
        <v>1</v>
      </c>
      <c r="X57" s="59" t="n">
        <f aca="false">W57*8/$V$53</f>
        <v>0.266666666666667</v>
      </c>
      <c r="Y57" s="1" t="n">
        <v>20.51</v>
      </c>
      <c r="Z57" s="30" t="n">
        <f aca="false">X57*Y57</f>
        <v>5.46933333333333</v>
      </c>
    </row>
    <row r="58" customFormat="false" ht="15" hidden="false" customHeight="false" outlineLevel="0" collapsed="false">
      <c r="R58" s="1" t="s">
        <v>651</v>
      </c>
      <c r="V58" s="57" t="s">
        <v>290</v>
      </c>
      <c r="W58" s="58" t="n">
        <v>1</v>
      </c>
      <c r="X58" s="59" t="n">
        <f aca="false">W58*8/$V$53</f>
        <v>0.266666666666667</v>
      </c>
      <c r="Y58" s="1" t="n">
        <v>29.94</v>
      </c>
      <c r="Z58" s="30" t="n">
        <f aca="false">X58*Y58</f>
        <v>7.984</v>
      </c>
    </row>
    <row r="59" customFormat="false" ht="15" hidden="false" customHeight="false" outlineLevel="0" collapsed="false">
      <c r="V59" s="57"/>
      <c r="W59" s="58"/>
      <c r="X59" s="59"/>
      <c r="Z59" s="55" t="n">
        <f aca="false">SUM(Z56:Z58)</f>
        <v>14.3794666666667</v>
      </c>
    </row>
    <row r="60" customFormat="false" ht="15" hidden="false" customHeight="false" outlineLevel="0" collapsed="false">
      <c r="R60" s="56" t="s">
        <v>652</v>
      </c>
      <c r="V60" s="57"/>
      <c r="W60" s="58"/>
      <c r="X60" s="59"/>
      <c r="Z60" s="30"/>
    </row>
    <row r="61" customFormat="false" ht="15" hidden="false" customHeight="false" outlineLevel="0" collapsed="false">
      <c r="R61" s="1" t="s">
        <v>653</v>
      </c>
      <c r="V61" s="57" t="s">
        <v>202</v>
      </c>
      <c r="W61" s="58"/>
      <c r="X61" s="59" t="n">
        <v>1.05</v>
      </c>
      <c r="Y61" s="65" t="n">
        <v>44.07</v>
      </c>
      <c r="Z61" s="30" t="n">
        <f aca="false">X61*Y61</f>
        <v>46.2735</v>
      </c>
    </row>
    <row r="62" customFormat="false" ht="15" hidden="false" customHeight="false" outlineLevel="0" collapsed="false">
      <c r="R62" s="1" t="s">
        <v>654</v>
      </c>
      <c r="V62" s="57" t="s">
        <v>202</v>
      </c>
      <c r="W62" s="58"/>
      <c r="X62" s="59" t="n">
        <v>0.08</v>
      </c>
      <c r="Y62" s="1" t="n">
        <v>6.14</v>
      </c>
      <c r="Z62" s="30" t="n">
        <f aca="false">X62*Y62</f>
        <v>0.4912</v>
      </c>
    </row>
    <row r="63" customFormat="false" ht="15" hidden="false" customHeight="false" outlineLevel="0" collapsed="false">
      <c r="V63" s="57"/>
      <c r="X63" s="59"/>
      <c r="Z63" s="55" t="n">
        <f aca="false">SUM(Z61:Z62)</f>
        <v>46.7647</v>
      </c>
    </row>
    <row r="64" customFormat="false" ht="15" hidden="false" customHeight="false" outlineLevel="0" collapsed="false">
      <c r="R64" s="56" t="s">
        <v>308</v>
      </c>
    </row>
    <row r="65" customFormat="false" ht="15" hidden="false" customHeight="false" outlineLevel="0" collapsed="false">
      <c r="R65" s="1" t="s">
        <v>309</v>
      </c>
      <c r="V65" s="57" t="s">
        <v>310</v>
      </c>
      <c r="X65" s="59" t="n">
        <v>3</v>
      </c>
      <c r="Y65" s="30" t="n">
        <f aca="false">Z59</f>
        <v>14.3794666666667</v>
      </c>
      <c r="Z65" s="30" t="n">
        <f aca="false">X65%*Y65</f>
        <v>0.431384</v>
      </c>
    </row>
    <row r="66" customFormat="false" ht="15" hidden="false" customHeight="false" outlineLevel="0" collapsed="false">
      <c r="R66" s="1" t="s">
        <v>655</v>
      </c>
      <c r="V66" s="57" t="s">
        <v>337</v>
      </c>
      <c r="W66" s="58" t="n">
        <v>1</v>
      </c>
      <c r="X66" s="59" t="n">
        <f aca="false">W66*8/$V$53</f>
        <v>0.266666666666667</v>
      </c>
      <c r="Y66" s="1" t="n">
        <v>17.47</v>
      </c>
      <c r="Z66" s="30" t="n">
        <f aca="false">X66*Y66</f>
        <v>4.65866666666667</v>
      </c>
    </row>
    <row r="67" customFormat="false" ht="15" hidden="false" customHeight="false" outlineLevel="0" collapsed="false">
      <c r="Q67" s="62"/>
      <c r="R67" s="62"/>
      <c r="S67" s="62"/>
      <c r="T67" s="62"/>
      <c r="U67" s="62"/>
      <c r="V67" s="62"/>
      <c r="W67" s="62"/>
      <c r="X67" s="62"/>
      <c r="Y67" s="83"/>
      <c r="Z67" s="63" t="n">
        <f aca="false">SUM(Z65:Z66)</f>
        <v>5.09005066666667</v>
      </c>
    </row>
    <row r="69" customFormat="false" ht="15" hidden="false" customHeight="false" outlineLevel="0" collapsed="false">
      <c r="Q69" s="14" t="s">
        <v>276</v>
      </c>
      <c r="R69" s="14"/>
      <c r="S69" s="14" t="s">
        <v>463</v>
      </c>
      <c r="T69" s="14"/>
    </row>
    <row r="70" customFormat="false" ht="15" hidden="false" customHeight="false" outlineLevel="0" collapsed="false">
      <c r="Q70" s="14" t="s">
        <v>277</v>
      </c>
      <c r="R70" s="14" t="s">
        <v>415</v>
      </c>
      <c r="S70" s="38" t="s">
        <v>279</v>
      </c>
      <c r="T70" s="54" t="n">
        <v>40</v>
      </c>
      <c r="U70" s="38" t="s">
        <v>280</v>
      </c>
      <c r="V70" s="54" t="n">
        <f aca="false">T70</f>
        <v>40</v>
      </c>
      <c r="W70" s="14" t="s">
        <v>281</v>
      </c>
      <c r="Y70" s="38" t="s">
        <v>202</v>
      </c>
      <c r="Z70" s="55" t="n">
        <f aca="false">Z76+Z84</f>
        <v>19.29963</v>
      </c>
    </row>
    <row r="71" customFormat="false" ht="15" hidden="false" customHeight="false" outlineLevel="0" collapsed="false">
      <c r="Q71" s="14" t="s">
        <v>282</v>
      </c>
      <c r="R71" s="14" t="s">
        <v>283</v>
      </c>
      <c r="V71" s="38" t="s">
        <v>121</v>
      </c>
      <c r="W71" s="38" t="s">
        <v>284</v>
      </c>
      <c r="X71" s="38" t="s">
        <v>285</v>
      </c>
      <c r="Y71" s="38" t="s">
        <v>286</v>
      </c>
      <c r="Z71" s="38" t="s">
        <v>287</v>
      </c>
    </row>
    <row r="72" customFormat="false" ht="15" hidden="false" customHeight="false" outlineLevel="0" collapsed="false">
      <c r="R72" s="56" t="s">
        <v>288</v>
      </c>
    </row>
    <row r="73" customFormat="false" ht="15" hidden="false" customHeight="false" outlineLevel="0" collapsed="false">
      <c r="R73" s="1" t="s">
        <v>649</v>
      </c>
      <c r="V73" s="57" t="s">
        <v>290</v>
      </c>
      <c r="W73" s="58" t="n">
        <v>0.1</v>
      </c>
      <c r="X73" s="59" t="n">
        <f aca="false">W73*8/$V$70</f>
        <v>0.02</v>
      </c>
      <c r="Y73" s="1" t="n">
        <v>34.73</v>
      </c>
      <c r="Z73" s="30" t="n">
        <f aca="false">X73*Y73</f>
        <v>0.6946</v>
      </c>
    </row>
    <row r="74" customFormat="false" ht="15" hidden="false" customHeight="false" outlineLevel="0" collapsed="false">
      <c r="R74" s="1" t="s">
        <v>292</v>
      </c>
      <c r="V74" s="57" t="s">
        <v>290</v>
      </c>
      <c r="W74" s="58" t="n">
        <v>2</v>
      </c>
      <c r="X74" s="59" t="n">
        <f aca="false">W74*8/$V$70</f>
        <v>0.4</v>
      </c>
      <c r="Y74" s="1" t="n">
        <v>20.51</v>
      </c>
      <c r="Z74" s="30" t="n">
        <f aca="false">X74*Y74</f>
        <v>8.204</v>
      </c>
    </row>
    <row r="75" customFormat="false" ht="15" hidden="false" customHeight="false" outlineLevel="0" collapsed="false">
      <c r="R75" s="1" t="s">
        <v>651</v>
      </c>
      <c r="V75" s="57" t="s">
        <v>290</v>
      </c>
      <c r="W75" s="58" t="n">
        <v>1</v>
      </c>
      <c r="X75" s="59" t="n">
        <f aca="false">W75*8/$V$70</f>
        <v>0.2</v>
      </c>
      <c r="Y75" s="1" t="n">
        <v>29.94</v>
      </c>
      <c r="Z75" s="30" t="n">
        <f aca="false">X75*Y75</f>
        <v>5.988</v>
      </c>
    </row>
    <row r="76" customFormat="false" ht="15" hidden="false" customHeight="false" outlineLevel="0" collapsed="false">
      <c r="Z76" s="55" t="n">
        <f aca="false">SUM(Z73:Z75)</f>
        <v>14.8866</v>
      </c>
    </row>
    <row r="77" customFormat="false" ht="15" hidden="false" customHeight="false" outlineLevel="0" collapsed="false">
      <c r="R77" s="56" t="s">
        <v>652</v>
      </c>
      <c r="V77" s="57"/>
      <c r="W77" s="58"/>
      <c r="X77" s="59"/>
      <c r="Z77" s="30"/>
    </row>
    <row r="78" customFormat="false" ht="15" hidden="false" customHeight="false" outlineLevel="0" collapsed="false">
      <c r="R78" s="1" t="s">
        <v>654</v>
      </c>
      <c r="V78" s="57" t="s">
        <v>202</v>
      </c>
      <c r="W78" s="58"/>
      <c r="X78" s="59" t="n">
        <v>0.08</v>
      </c>
      <c r="Y78" s="1" t="n">
        <v>6.14</v>
      </c>
      <c r="Z78" s="30" t="n">
        <f aca="false">X78*Y78</f>
        <v>0.4912</v>
      </c>
    </row>
    <row r="79" customFormat="false" ht="15" hidden="false" customHeight="false" outlineLevel="0" collapsed="false">
      <c r="V79" s="57"/>
      <c r="X79" s="59"/>
      <c r="Z79" s="55" t="n">
        <f aca="false">SUM(Z78:Z78)</f>
        <v>0.4912</v>
      </c>
    </row>
    <row r="80" customFormat="false" ht="15" hidden="false" customHeight="false" outlineLevel="0" collapsed="false">
      <c r="R80" s="56" t="s">
        <v>308</v>
      </c>
    </row>
    <row r="81" customFormat="false" ht="15" hidden="false" customHeight="false" outlineLevel="0" collapsed="false">
      <c r="R81" s="1" t="s">
        <v>309</v>
      </c>
      <c r="V81" s="57" t="s">
        <v>310</v>
      </c>
      <c r="X81" s="59" t="n">
        <v>5</v>
      </c>
      <c r="Y81" s="30" t="n">
        <f aca="false">Z76</f>
        <v>14.8866</v>
      </c>
      <c r="Z81" s="30" t="n">
        <f aca="false">X81%*Y81</f>
        <v>0.74433</v>
      </c>
    </row>
    <row r="82" customFormat="false" ht="15" hidden="false" customHeight="false" outlineLevel="0" collapsed="false">
      <c r="R82" s="1" t="s">
        <v>655</v>
      </c>
      <c r="V82" s="57" t="s">
        <v>337</v>
      </c>
      <c r="W82" s="58" t="n">
        <v>1</v>
      </c>
      <c r="X82" s="59" t="n">
        <f aca="false">W82*8/$V$70</f>
        <v>0.2</v>
      </c>
      <c r="Y82" s="1" t="n">
        <v>17.47</v>
      </c>
      <c r="Z82" s="30" t="n">
        <f aca="false">X82*Y82</f>
        <v>3.494</v>
      </c>
    </row>
    <row r="83" customFormat="false" ht="15" hidden="false" customHeight="false" outlineLevel="0" collapsed="false">
      <c r="R83" s="1" t="s">
        <v>656</v>
      </c>
      <c r="V83" s="57" t="s">
        <v>337</v>
      </c>
      <c r="W83" s="58" t="n">
        <v>0.05</v>
      </c>
      <c r="X83" s="59" t="n">
        <f aca="false">W83*8/$V$70</f>
        <v>0.01</v>
      </c>
      <c r="Y83" s="1" t="n">
        <v>17.47</v>
      </c>
      <c r="Z83" s="30" t="n">
        <f aca="false">X83*Y83</f>
        <v>0.1747</v>
      </c>
    </row>
    <row r="84" customFormat="false" ht="15" hidden="false" customHeight="false" outlineLevel="0" collapsed="false">
      <c r="Q84" s="62"/>
      <c r="R84" s="62"/>
      <c r="S84" s="62"/>
      <c r="T84" s="62"/>
      <c r="U84" s="62"/>
      <c r="V84" s="62"/>
      <c r="W84" s="62"/>
      <c r="X84" s="62"/>
      <c r="Y84" s="83"/>
      <c r="Z84" s="63" t="n">
        <f aca="false">SUM(Z81:Z83)</f>
        <v>4.41303</v>
      </c>
    </row>
    <row r="86" customFormat="false" ht="15" hidden="false" customHeight="false" outlineLevel="0" collapsed="false">
      <c r="Q86" s="14" t="s">
        <v>276</v>
      </c>
      <c r="R86" s="14"/>
      <c r="S86" s="14" t="s">
        <v>1348</v>
      </c>
      <c r="T86" s="14"/>
    </row>
    <row r="87" customFormat="false" ht="15" hidden="false" customHeight="false" outlineLevel="0" collapsed="false">
      <c r="Q87" s="14" t="s">
        <v>277</v>
      </c>
      <c r="R87" s="14" t="s">
        <v>278</v>
      </c>
      <c r="S87" s="38" t="s">
        <v>279</v>
      </c>
      <c r="T87" s="54" t="n">
        <v>500</v>
      </c>
      <c r="U87" s="38" t="s">
        <v>280</v>
      </c>
      <c r="V87" s="54" t="n">
        <f aca="false">T87</f>
        <v>500</v>
      </c>
      <c r="W87" s="14" t="s">
        <v>281</v>
      </c>
      <c r="Y87" s="38" t="s">
        <v>132</v>
      </c>
      <c r="Z87" s="55" t="n">
        <f aca="false">Z93+Z99</f>
        <v>7.930344</v>
      </c>
    </row>
    <row r="88" customFormat="false" ht="15" hidden="false" customHeight="false" outlineLevel="0" collapsed="false">
      <c r="Q88" s="14" t="s">
        <v>282</v>
      </c>
      <c r="R88" s="14" t="s">
        <v>283</v>
      </c>
      <c r="V88" s="38" t="s">
        <v>121</v>
      </c>
      <c r="W88" s="38" t="s">
        <v>284</v>
      </c>
      <c r="X88" s="38" t="s">
        <v>285</v>
      </c>
      <c r="Y88" s="38" t="s">
        <v>286</v>
      </c>
      <c r="Z88" s="38" t="s">
        <v>287</v>
      </c>
    </row>
    <row r="89" customFormat="false" ht="15" hidden="false" customHeight="false" outlineLevel="0" collapsed="false">
      <c r="R89" s="56" t="s">
        <v>288</v>
      </c>
    </row>
    <row r="90" customFormat="false" ht="15" hidden="false" customHeight="false" outlineLevel="0" collapsed="false">
      <c r="R90" s="1" t="s">
        <v>649</v>
      </c>
      <c r="V90" s="57" t="s">
        <v>290</v>
      </c>
      <c r="W90" s="58" t="n">
        <v>1</v>
      </c>
      <c r="X90" s="59" t="n">
        <f aca="false">W90*8/$T$87</f>
        <v>0.016</v>
      </c>
      <c r="Y90" s="1" t="n">
        <v>34.73</v>
      </c>
      <c r="Z90" s="30" t="n">
        <f aca="false">X90*Y90</f>
        <v>0.55568</v>
      </c>
    </row>
    <row r="91" customFormat="false" ht="15" hidden="false" customHeight="false" outlineLevel="0" collapsed="false">
      <c r="R91" s="1" t="s">
        <v>291</v>
      </c>
      <c r="V91" s="57" t="s">
        <v>290</v>
      </c>
      <c r="W91" s="58" t="n">
        <v>1</v>
      </c>
      <c r="X91" s="59" t="n">
        <f aca="false">W91*8/$T$87</f>
        <v>0.016</v>
      </c>
      <c r="Y91" s="1" t="n">
        <v>23.6</v>
      </c>
      <c r="Z91" s="30" t="n">
        <f aca="false">X91*Y91</f>
        <v>0.3776</v>
      </c>
    </row>
    <row r="92" customFormat="false" ht="15" hidden="false" customHeight="false" outlineLevel="0" collapsed="false">
      <c r="R92" s="1" t="s">
        <v>292</v>
      </c>
      <c r="V92" s="57" t="s">
        <v>290</v>
      </c>
      <c r="W92" s="58" t="n">
        <v>3</v>
      </c>
      <c r="X92" s="59" t="n">
        <f aca="false">W92*8/$T$87</f>
        <v>0.048</v>
      </c>
      <c r="Y92" s="1" t="n">
        <v>20.51</v>
      </c>
      <c r="Z92" s="30" t="n">
        <f aca="false">X92*Y92</f>
        <v>0.98448</v>
      </c>
    </row>
    <row r="93" customFormat="false" ht="15" hidden="false" customHeight="false" outlineLevel="0" collapsed="false">
      <c r="Z93" s="55" t="n">
        <f aca="false">SUM(Z90:Z92)</f>
        <v>1.91776</v>
      </c>
    </row>
    <row r="94" customFormat="false" ht="15" hidden="false" customHeight="false" outlineLevel="0" collapsed="false">
      <c r="R94" s="56" t="s">
        <v>308</v>
      </c>
    </row>
    <row r="95" customFormat="false" ht="15" hidden="false" customHeight="false" outlineLevel="0" collapsed="false">
      <c r="R95" s="1" t="s">
        <v>309</v>
      </c>
      <c r="V95" s="57" t="s">
        <v>310</v>
      </c>
      <c r="X95" s="59" t="n">
        <v>5</v>
      </c>
      <c r="Y95" s="30" t="n">
        <f aca="false">Z90</f>
        <v>0.55568</v>
      </c>
      <c r="Z95" s="30" t="n">
        <f aca="false">X95%*Y95</f>
        <v>0.027784</v>
      </c>
    </row>
    <row r="96" customFormat="false" ht="15" hidden="false" customHeight="true" outlineLevel="0" collapsed="false">
      <c r="R96" s="1" t="s">
        <v>655</v>
      </c>
      <c r="V96" s="57" t="s">
        <v>337</v>
      </c>
      <c r="W96" s="58" t="n">
        <v>1</v>
      </c>
      <c r="X96" s="59" t="n">
        <f aca="false">W96*8/$T$87</f>
        <v>0.016</v>
      </c>
      <c r="Y96" s="1" t="n">
        <v>17.47</v>
      </c>
      <c r="Z96" s="30" t="n">
        <f aca="false">X96*Y96</f>
        <v>0.27952</v>
      </c>
    </row>
    <row r="97" customFormat="false" ht="15" hidden="false" customHeight="true" outlineLevel="0" collapsed="false">
      <c r="R97" s="1" t="s">
        <v>657</v>
      </c>
      <c r="V97" s="57" t="s">
        <v>337</v>
      </c>
      <c r="W97" s="58" t="n">
        <v>1</v>
      </c>
      <c r="X97" s="59" t="n">
        <f aca="false">W97*8/$T$87</f>
        <v>0.016</v>
      </c>
      <c r="Y97" s="1" t="n">
        <v>136.06</v>
      </c>
      <c r="Z97" s="30" t="n">
        <f aca="false">X97*Y97</f>
        <v>2.17696</v>
      </c>
    </row>
    <row r="98" customFormat="false" ht="15" hidden="false" customHeight="true" outlineLevel="0" collapsed="false">
      <c r="R98" s="1" t="s">
        <v>658</v>
      </c>
      <c r="S98" s="232"/>
      <c r="T98" s="232"/>
      <c r="U98" s="232"/>
      <c r="V98" s="57" t="s">
        <v>337</v>
      </c>
      <c r="W98" s="58" t="n">
        <v>1</v>
      </c>
      <c r="X98" s="59" t="n">
        <f aca="false">W98*8/$T$87</f>
        <v>0.016</v>
      </c>
      <c r="Y98" s="1" t="n">
        <v>220.52</v>
      </c>
      <c r="Z98" s="30" t="n">
        <f aca="false">X98*Y98</f>
        <v>3.52832</v>
      </c>
    </row>
    <row r="99" customFormat="false" ht="15" hidden="false" customHeight="false" outlineLevel="0" collapsed="false">
      <c r="Q99" s="62"/>
      <c r="R99" s="62"/>
      <c r="S99" s="62"/>
      <c r="T99" s="62"/>
      <c r="U99" s="62"/>
      <c r="V99" s="62"/>
      <c r="W99" s="62"/>
      <c r="X99" s="62"/>
      <c r="Y99" s="83"/>
      <c r="Z99" s="63" t="n">
        <f aca="false">SUM(Z95:Z98)</f>
        <v>6.012584</v>
      </c>
    </row>
    <row r="101" customFormat="false" ht="15" hidden="false" customHeight="false" outlineLevel="0" collapsed="false">
      <c r="Q101" s="14" t="s">
        <v>276</v>
      </c>
      <c r="R101" s="14"/>
      <c r="S101" s="14" t="s">
        <v>467</v>
      </c>
      <c r="T101" s="14"/>
    </row>
    <row r="102" customFormat="false" ht="15" hidden="false" customHeight="false" outlineLevel="0" collapsed="false">
      <c r="Q102" s="14" t="s">
        <v>277</v>
      </c>
      <c r="R102" s="14" t="s">
        <v>313</v>
      </c>
      <c r="S102" s="38" t="s">
        <v>279</v>
      </c>
      <c r="T102" s="54" t="n">
        <v>80</v>
      </c>
      <c r="U102" s="38" t="s">
        <v>280</v>
      </c>
      <c r="V102" s="54" t="n">
        <f aca="false">T102</f>
        <v>80</v>
      </c>
      <c r="W102" s="14" t="s">
        <v>281</v>
      </c>
      <c r="Y102" s="38" t="s">
        <v>143</v>
      </c>
      <c r="Z102" s="55" t="n">
        <f aca="false">Z106+Z110</f>
        <v>12.11253</v>
      </c>
    </row>
    <row r="103" customFormat="false" ht="15" hidden="false" customHeight="false" outlineLevel="0" collapsed="false">
      <c r="Q103" s="14" t="s">
        <v>282</v>
      </c>
      <c r="R103" s="14" t="s">
        <v>283</v>
      </c>
      <c r="V103" s="38" t="s">
        <v>121</v>
      </c>
      <c r="W103" s="38" t="s">
        <v>284</v>
      </c>
      <c r="X103" s="38" t="s">
        <v>285</v>
      </c>
      <c r="Y103" s="38" t="s">
        <v>286</v>
      </c>
      <c r="Z103" s="38" t="s">
        <v>287</v>
      </c>
    </row>
    <row r="104" customFormat="false" ht="15" hidden="false" customHeight="false" outlineLevel="0" collapsed="false">
      <c r="R104" s="56" t="s">
        <v>288</v>
      </c>
    </row>
    <row r="105" customFormat="false" ht="15" hidden="false" customHeight="false" outlineLevel="0" collapsed="false">
      <c r="R105" s="1" t="s">
        <v>292</v>
      </c>
      <c r="V105" s="57" t="s">
        <v>290</v>
      </c>
      <c r="W105" s="58" t="n">
        <v>1</v>
      </c>
      <c r="X105" s="59" t="n">
        <f aca="false">W105*8/$V$102</f>
        <v>0.1</v>
      </c>
      <c r="Y105" s="1" t="n">
        <v>20.51</v>
      </c>
      <c r="Z105" s="30" t="n">
        <f aca="false">X105*Y105</f>
        <v>2.051</v>
      </c>
    </row>
    <row r="106" customFormat="false" ht="15" hidden="false" customHeight="false" outlineLevel="0" collapsed="false">
      <c r="V106" s="57"/>
      <c r="W106" s="58"/>
      <c r="X106" s="59"/>
      <c r="Z106" s="55" t="n">
        <f aca="false">SUM(Z105:Z105)</f>
        <v>2.051</v>
      </c>
    </row>
    <row r="107" customFormat="false" ht="15" hidden="false" customHeight="false" outlineLevel="0" collapsed="false">
      <c r="R107" s="56" t="s">
        <v>308</v>
      </c>
    </row>
    <row r="108" customFormat="false" ht="15" hidden="false" customHeight="false" outlineLevel="0" collapsed="false">
      <c r="R108" s="1" t="s">
        <v>309</v>
      </c>
      <c r="V108" s="57" t="s">
        <v>310</v>
      </c>
      <c r="X108" s="59" t="n">
        <v>3</v>
      </c>
      <c r="Y108" s="30" t="n">
        <f aca="false">Z106</f>
        <v>2.051</v>
      </c>
      <c r="Z108" s="30" t="n">
        <f aca="false">X108%*Y108</f>
        <v>0.06153</v>
      </c>
    </row>
    <row r="109" customFormat="false" ht="15" hidden="false" customHeight="false" outlineLevel="0" collapsed="false">
      <c r="R109" s="1" t="s">
        <v>659</v>
      </c>
      <c r="V109" s="57" t="s">
        <v>337</v>
      </c>
      <c r="W109" s="58" t="n">
        <v>1</v>
      </c>
      <c r="X109" s="59" t="n">
        <f aca="false">W109*8/$V$102</f>
        <v>0.1</v>
      </c>
      <c r="Y109" s="1" t="n">
        <v>100</v>
      </c>
      <c r="Z109" s="30" t="n">
        <f aca="false">X109*Y109</f>
        <v>10</v>
      </c>
    </row>
    <row r="110" customFormat="false" ht="15" hidden="false" customHeight="false" outlineLevel="0" collapsed="false">
      <c r="Q110" s="62"/>
      <c r="R110" s="62"/>
      <c r="S110" s="62"/>
      <c r="T110" s="62"/>
      <c r="U110" s="62"/>
      <c r="V110" s="62"/>
      <c r="W110" s="62"/>
      <c r="X110" s="62"/>
      <c r="Y110" s="83"/>
      <c r="Z110" s="63" t="n">
        <f aca="false">SUM(Z108:Z109)</f>
        <v>10.06153</v>
      </c>
    </row>
    <row r="112" customFormat="false" ht="15" hidden="false" customHeight="false" outlineLevel="0" collapsed="false">
      <c r="Q112" s="14" t="s">
        <v>276</v>
      </c>
      <c r="R112" s="14"/>
      <c r="S112" s="14" t="s">
        <v>469</v>
      </c>
      <c r="T112" s="14"/>
    </row>
    <row r="113" customFormat="false" ht="15" hidden="false" customHeight="false" outlineLevel="0" collapsed="false">
      <c r="Q113" s="14" t="s">
        <v>277</v>
      </c>
      <c r="R113" s="14" t="s">
        <v>415</v>
      </c>
      <c r="S113" s="38" t="s">
        <v>279</v>
      </c>
      <c r="T113" s="54" t="n">
        <v>187.5</v>
      </c>
      <c r="U113" s="38" t="s">
        <v>280</v>
      </c>
      <c r="V113" s="54" t="n">
        <f aca="false">T113</f>
        <v>187.5</v>
      </c>
      <c r="W113" s="14" t="s">
        <v>281</v>
      </c>
      <c r="Y113" s="38" t="s">
        <v>202</v>
      </c>
      <c r="Z113" s="55" t="n">
        <f aca="false">Z118+Z123</f>
        <v>22.9100074666667</v>
      </c>
    </row>
    <row r="114" customFormat="false" ht="15" hidden="false" customHeight="false" outlineLevel="0" collapsed="false">
      <c r="Q114" s="14" t="s">
        <v>282</v>
      </c>
      <c r="R114" s="14" t="s">
        <v>283</v>
      </c>
      <c r="V114" s="38" t="s">
        <v>121</v>
      </c>
      <c r="W114" s="38" t="s">
        <v>284</v>
      </c>
      <c r="X114" s="38" t="s">
        <v>285</v>
      </c>
      <c r="Y114" s="38" t="s">
        <v>286</v>
      </c>
      <c r="Z114" s="38" t="s">
        <v>287</v>
      </c>
    </row>
    <row r="115" customFormat="false" ht="15" hidden="false" customHeight="false" outlineLevel="0" collapsed="false">
      <c r="R115" s="56" t="s">
        <v>288</v>
      </c>
    </row>
    <row r="116" customFormat="false" ht="15" hidden="false" customHeight="false" outlineLevel="0" collapsed="false">
      <c r="R116" s="1" t="s">
        <v>291</v>
      </c>
      <c r="V116" s="57" t="s">
        <v>290</v>
      </c>
      <c r="W116" s="58" t="n">
        <v>1</v>
      </c>
      <c r="X116" s="59" t="n">
        <f aca="false">W116*8/$V$113</f>
        <v>0.0426666666666667</v>
      </c>
      <c r="Y116" s="1" t="n">
        <v>23.6</v>
      </c>
      <c r="Z116" s="30" t="n">
        <f aca="false">X116*Y116</f>
        <v>1.00693333333333</v>
      </c>
    </row>
    <row r="117" customFormat="false" ht="15" hidden="false" customHeight="false" outlineLevel="0" collapsed="false">
      <c r="R117" s="1" t="s">
        <v>292</v>
      </c>
      <c r="V117" s="57" t="s">
        <v>290</v>
      </c>
      <c r="W117" s="58" t="n">
        <v>1</v>
      </c>
      <c r="X117" s="59" t="n">
        <f aca="false">W117*8/$V$113</f>
        <v>0.0426666666666667</v>
      </c>
      <c r="Y117" s="1" t="n">
        <v>20.51</v>
      </c>
      <c r="Z117" s="30" t="n">
        <f aca="false">X117*Y117</f>
        <v>0.875093333333333</v>
      </c>
    </row>
    <row r="118" customFormat="false" ht="15" hidden="false" customHeight="false" outlineLevel="0" collapsed="false">
      <c r="V118" s="57"/>
      <c r="W118" s="58"/>
      <c r="X118" s="59"/>
      <c r="Z118" s="55" t="n">
        <f aca="false">SUM(Z116:Z117)</f>
        <v>1.88202666666667</v>
      </c>
    </row>
    <row r="119" customFormat="false" ht="15" hidden="false" customHeight="false" outlineLevel="0" collapsed="false">
      <c r="R119" s="56" t="s">
        <v>308</v>
      </c>
    </row>
    <row r="120" customFormat="false" ht="15" hidden="false" customHeight="false" outlineLevel="0" collapsed="false">
      <c r="R120" s="1" t="s">
        <v>309</v>
      </c>
      <c r="V120" s="57" t="s">
        <v>310</v>
      </c>
      <c r="X120" s="59" t="n">
        <v>3</v>
      </c>
      <c r="Y120" s="30" t="n">
        <f aca="false">Z118</f>
        <v>1.88202666666667</v>
      </c>
      <c r="Z120" s="30" t="n">
        <f aca="false">X120%*Y120</f>
        <v>0.0564608</v>
      </c>
    </row>
    <row r="121" customFormat="false" ht="15" hidden="false" customHeight="false" outlineLevel="0" collapsed="false">
      <c r="R121" s="1" t="s">
        <v>660</v>
      </c>
      <c r="V121" s="57" t="s">
        <v>337</v>
      </c>
      <c r="W121" s="58" t="n">
        <v>1</v>
      </c>
      <c r="X121" s="59" t="n">
        <f aca="false">W121*8/$V$113</f>
        <v>0.0426666666666667</v>
      </c>
      <c r="Y121" s="65" t="n">
        <v>118.64</v>
      </c>
      <c r="Z121" s="30" t="n">
        <f aca="false">X121*Y121</f>
        <v>5.06197333333333</v>
      </c>
    </row>
    <row r="122" customFormat="false" ht="15" hidden="false" customHeight="false" outlineLevel="0" collapsed="false">
      <c r="R122" s="1" t="s">
        <v>661</v>
      </c>
      <c r="V122" s="57" t="s">
        <v>337</v>
      </c>
      <c r="W122" s="58" t="n">
        <v>2</v>
      </c>
      <c r="X122" s="59" t="n">
        <f aca="false">W122*8/$V$113</f>
        <v>0.0853333333333333</v>
      </c>
      <c r="Y122" s="65" t="n">
        <v>186.44</v>
      </c>
      <c r="Z122" s="30" t="n">
        <f aca="false">X122*Y122</f>
        <v>15.9095466666667</v>
      </c>
    </row>
    <row r="123" customFormat="false" ht="15" hidden="false" customHeight="false" outlineLevel="0" collapsed="false">
      <c r="Q123" s="62"/>
      <c r="R123" s="62"/>
      <c r="S123" s="62"/>
      <c r="T123" s="62"/>
      <c r="U123" s="62"/>
      <c r="V123" s="62"/>
      <c r="W123" s="62"/>
      <c r="X123" s="62"/>
      <c r="Y123" s="83"/>
      <c r="Z123" s="63" t="n">
        <f aca="false">SUM(Z120:Z122)</f>
        <v>21.0279808</v>
      </c>
    </row>
    <row r="125" customFormat="false" ht="15" hidden="false" customHeight="false" outlineLevel="0" collapsed="false">
      <c r="Q125" s="85" t="s">
        <v>276</v>
      </c>
      <c r="R125" s="85"/>
      <c r="S125" s="85" t="s">
        <v>482</v>
      </c>
      <c r="T125" s="85"/>
    </row>
    <row r="126" customFormat="false" ht="15" hidden="false" customHeight="false" outlineLevel="0" collapsed="false">
      <c r="Q126" s="85" t="s">
        <v>277</v>
      </c>
      <c r="R126" s="85" t="s">
        <v>278</v>
      </c>
      <c r="S126" s="87" t="s">
        <v>279</v>
      </c>
      <c r="T126" s="88" t="n">
        <v>50</v>
      </c>
      <c r="U126" s="87" t="s">
        <v>280</v>
      </c>
      <c r="V126" s="88" t="n">
        <f aca="false">T126</f>
        <v>50</v>
      </c>
      <c r="W126" s="85" t="s">
        <v>281</v>
      </c>
      <c r="Y126" s="87" t="s">
        <v>132</v>
      </c>
      <c r="Z126" s="89" t="n">
        <f aca="false">Z134+Z141+Z145</f>
        <v>238.3435744</v>
      </c>
    </row>
    <row r="127" customFormat="false" ht="15" hidden="false" customHeight="false" outlineLevel="0" collapsed="false">
      <c r="Q127" s="85" t="s">
        <v>282</v>
      </c>
      <c r="R127" s="85" t="s">
        <v>283</v>
      </c>
      <c r="V127" s="87" t="s">
        <v>121</v>
      </c>
      <c r="W127" s="87" t="s">
        <v>284</v>
      </c>
      <c r="X127" s="87" t="s">
        <v>285</v>
      </c>
      <c r="Y127" s="87" t="s">
        <v>286</v>
      </c>
      <c r="Z127" s="87" t="s">
        <v>287</v>
      </c>
    </row>
    <row r="128" customFormat="false" ht="15" hidden="false" customHeight="false" outlineLevel="0" collapsed="false">
      <c r="R128" s="90" t="s">
        <v>288</v>
      </c>
    </row>
    <row r="129" customFormat="false" ht="15" hidden="false" customHeight="false" outlineLevel="0" collapsed="false">
      <c r="R129" s="1" t="s">
        <v>649</v>
      </c>
      <c r="V129" s="57" t="s">
        <v>290</v>
      </c>
      <c r="W129" s="58" t="n">
        <v>0.1</v>
      </c>
      <c r="X129" s="59" t="n">
        <f aca="false">W129*8/$T$126</f>
        <v>0.016</v>
      </c>
      <c r="Y129" s="1" t="n">
        <v>34.73</v>
      </c>
      <c r="Z129" s="30" t="n">
        <f aca="false">X129*Y129</f>
        <v>0.55568</v>
      </c>
    </row>
    <row r="130" customFormat="false" ht="15" hidden="false" customHeight="false" outlineLevel="0" collapsed="false">
      <c r="R130" s="1" t="s">
        <v>289</v>
      </c>
      <c r="V130" s="57" t="s">
        <v>290</v>
      </c>
      <c r="W130" s="58" t="n">
        <v>1</v>
      </c>
      <c r="X130" s="59" t="n">
        <f aca="false">W130*8/$T$126</f>
        <v>0.16</v>
      </c>
      <c r="Y130" s="30" t="n">
        <v>28.94</v>
      </c>
      <c r="Z130" s="30" t="n">
        <f aca="false">X130*Y130</f>
        <v>4.6304</v>
      </c>
    </row>
    <row r="131" customFormat="false" ht="15" hidden="false" customHeight="false" outlineLevel="0" collapsed="false">
      <c r="R131" s="1" t="s">
        <v>291</v>
      </c>
      <c r="V131" s="57" t="s">
        <v>290</v>
      </c>
      <c r="W131" s="58" t="n">
        <v>2</v>
      </c>
      <c r="X131" s="59" t="n">
        <f aca="false">W131*8/$T$126</f>
        <v>0.32</v>
      </c>
      <c r="Y131" s="30" t="n">
        <v>23.6</v>
      </c>
      <c r="Z131" s="30" t="n">
        <f aca="false">X131*Y131</f>
        <v>7.552</v>
      </c>
    </row>
    <row r="132" customFormat="false" ht="15" hidden="false" customHeight="false" outlineLevel="0" collapsed="false">
      <c r="R132" s="1" t="s">
        <v>292</v>
      </c>
      <c r="V132" s="57" t="s">
        <v>290</v>
      </c>
      <c r="W132" s="58" t="n">
        <v>5</v>
      </c>
      <c r="X132" s="59" t="n">
        <f aca="false">W132*8/$T$126</f>
        <v>0.8</v>
      </c>
      <c r="Y132" s="30" t="n">
        <v>21.36</v>
      </c>
      <c r="Z132" s="30" t="n">
        <f aca="false">X132*Y132</f>
        <v>17.088</v>
      </c>
    </row>
    <row r="133" customFormat="false" ht="15" hidden="false" customHeight="false" outlineLevel="0" collapsed="false">
      <c r="R133" s="1" t="s">
        <v>651</v>
      </c>
      <c r="V133" s="57" t="s">
        <v>290</v>
      </c>
      <c r="W133" s="58" t="n">
        <v>1</v>
      </c>
      <c r="X133" s="59" t="n">
        <f aca="false">W133*8/$T$126</f>
        <v>0.16</v>
      </c>
      <c r="Y133" s="1" t="n">
        <v>29.94</v>
      </c>
      <c r="Z133" s="30" t="n">
        <f aca="false">X133*Y133</f>
        <v>4.7904</v>
      </c>
    </row>
    <row r="134" customFormat="false" ht="15" hidden="false" customHeight="false" outlineLevel="0" collapsed="false">
      <c r="V134" s="57"/>
      <c r="W134" s="58"/>
      <c r="X134" s="59"/>
      <c r="Z134" s="89" t="n">
        <f aca="false">SUM(Z129:Z133)</f>
        <v>34.61648</v>
      </c>
    </row>
    <row r="135" customFormat="false" ht="15" hidden="false" customHeight="false" outlineLevel="0" collapsed="false">
      <c r="R135" s="90" t="s">
        <v>652</v>
      </c>
      <c r="V135" s="57"/>
      <c r="W135" s="58"/>
      <c r="X135" s="59"/>
      <c r="Z135" s="30"/>
    </row>
    <row r="136" customFormat="false" ht="15" hidden="false" customHeight="false" outlineLevel="0" collapsed="false">
      <c r="R136" s="1" t="s">
        <v>305</v>
      </c>
      <c r="V136" s="57" t="s">
        <v>306</v>
      </c>
      <c r="X136" s="59" t="n">
        <v>3.8</v>
      </c>
      <c r="Y136" s="30" t="n">
        <v>24.52</v>
      </c>
      <c r="Z136" s="30" t="n">
        <f aca="false">X136*Y136</f>
        <v>93.176</v>
      </c>
    </row>
    <row r="137" customFormat="false" ht="15" hidden="false" customHeight="false" outlineLevel="0" collapsed="false">
      <c r="R137" s="1" t="s">
        <v>654</v>
      </c>
      <c r="V137" s="57" t="s">
        <v>202</v>
      </c>
      <c r="X137" s="59" t="n">
        <v>0.08</v>
      </c>
      <c r="Y137" s="1" t="n">
        <v>6.14</v>
      </c>
      <c r="Z137" s="30" t="n">
        <f aca="false">X137*Y137</f>
        <v>0.4912</v>
      </c>
    </row>
    <row r="138" customFormat="false" ht="15" hidden="false" customHeight="false" outlineLevel="0" collapsed="false">
      <c r="R138" s="1" t="s">
        <v>663</v>
      </c>
      <c r="V138" s="57" t="s">
        <v>437</v>
      </c>
      <c r="X138" s="59" t="n">
        <v>0.5</v>
      </c>
      <c r="Y138" s="1" t="n">
        <v>13.93</v>
      </c>
      <c r="Z138" s="30" t="n">
        <f aca="false">X138*Y138</f>
        <v>6.965</v>
      </c>
    </row>
    <row r="139" customFormat="false" ht="15" hidden="false" customHeight="false" outlineLevel="0" collapsed="false">
      <c r="R139" s="1" t="s">
        <v>311</v>
      </c>
      <c r="V139" s="57" t="s">
        <v>202</v>
      </c>
      <c r="X139" s="59" t="n">
        <v>0.93</v>
      </c>
      <c r="Y139" s="71" t="n">
        <v>70.92</v>
      </c>
      <c r="Z139" s="30" t="n">
        <f aca="false">X139*Y139</f>
        <v>65.9556</v>
      </c>
    </row>
    <row r="140" customFormat="false" ht="15" hidden="false" customHeight="false" outlineLevel="0" collapsed="false">
      <c r="R140" s="1" t="s">
        <v>664</v>
      </c>
      <c r="V140" s="57" t="s">
        <v>202</v>
      </c>
      <c r="X140" s="59" t="n">
        <v>0.4</v>
      </c>
      <c r="Y140" s="71" t="n">
        <v>80</v>
      </c>
      <c r="Z140" s="30" t="n">
        <f aca="false">X140*Y140</f>
        <v>32</v>
      </c>
    </row>
    <row r="141" customFormat="false" ht="15" hidden="false" customHeight="false" outlineLevel="0" collapsed="false">
      <c r="V141" s="57"/>
      <c r="X141" s="59"/>
      <c r="Y141" s="30"/>
      <c r="Z141" s="89" t="n">
        <f aca="false">SUM(Z136:Z140)</f>
        <v>198.5878</v>
      </c>
    </row>
    <row r="142" customFormat="false" ht="15" hidden="false" customHeight="false" outlineLevel="0" collapsed="false">
      <c r="R142" s="90" t="s">
        <v>308</v>
      </c>
    </row>
    <row r="143" customFormat="false" ht="15" hidden="false" customHeight="false" outlineLevel="0" collapsed="false">
      <c r="R143" s="1" t="s">
        <v>309</v>
      </c>
      <c r="V143" s="57" t="s">
        <v>310</v>
      </c>
      <c r="X143" s="59" t="n">
        <v>3</v>
      </c>
      <c r="Y143" s="30" t="n">
        <f aca="false">Z134</f>
        <v>34.61648</v>
      </c>
      <c r="Z143" s="30" t="n">
        <f aca="false">X143%*Y143</f>
        <v>1.0384944</v>
      </c>
    </row>
    <row r="144" customFormat="false" ht="15" hidden="false" customHeight="false" outlineLevel="0" collapsed="false">
      <c r="R144" s="1" t="s">
        <v>665</v>
      </c>
      <c r="V144" s="57" t="s">
        <v>337</v>
      </c>
      <c r="W144" s="58" t="n">
        <v>1</v>
      </c>
      <c r="X144" s="59" t="n">
        <f aca="false">W144*8/$T$126</f>
        <v>0.16</v>
      </c>
      <c r="Y144" s="30" t="n">
        <v>25.63</v>
      </c>
      <c r="Z144" s="30" t="n">
        <f aca="false">X144*Y144</f>
        <v>4.1008</v>
      </c>
    </row>
    <row r="145" customFormat="false" ht="15" hidden="false" customHeight="false" outlineLevel="0" collapsed="false">
      <c r="Q145" s="62"/>
      <c r="R145" s="62"/>
      <c r="S145" s="62"/>
      <c r="T145" s="62"/>
      <c r="U145" s="62"/>
      <c r="V145" s="62"/>
      <c r="W145" s="62"/>
      <c r="X145" s="62"/>
      <c r="Y145" s="62"/>
      <c r="Z145" s="91" t="n">
        <f aca="false">SUM(Z143:Z144)</f>
        <v>5.1392944</v>
      </c>
    </row>
    <row r="151" customFormat="false" ht="15" hidden="false" customHeight="false" outlineLevel="0" collapsed="false">
      <c r="Q151" s="85" t="s">
        <v>276</v>
      </c>
      <c r="R151" s="85"/>
      <c r="S151" s="85" t="s">
        <v>666</v>
      </c>
      <c r="T151" s="85"/>
    </row>
    <row r="152" customFormat="false" ht="15" hidden="false" customHeight="false" outlineLevel="0" collapsed="false">
      <c r="Q152" s="85" t="s">
        <v>277</v>
      </c>
      <c r="R152" s="85" t="s">
        <v>278</v>
      </c>
      <c r="S152" s="87" t="s">
        <v>279</v>
      </c>
      <c r="T152" s="88" t="n">
        <v>110</v>
      </c>
      <c r="U152" s="87" t="s">
        <v>280</v>
      </c>
      <c r="V152" s="88" t="n">
        <f aca="false">T152</f>
        <v>110</v>
      </c>
      <c r="W152" s="85" t="s">
        <v>281</v>
      </c>
      <c r="Y152" s="87" t="s">
        <v>132</v>
      </c>
      <c r="Z152" s="89" t="n">
        <f aca="false">Z158+Z164+Z168</f>
        <v>39.6208818181818</v>
      </c>
    </row>
    <row r="153" customFormat="false" ht="15" hidden="false" customHeight="false" outlineLevel="0" collapsed="false">
      <c r="Q153" s="85" t="s">
        <v>282</v>
      </c>
      <c r="R153" s="85" t="s">
        <v>283</v>
      </c>
      <c r="V153" s="87" t="s">
        <v>121</v>
      </c>
      <c r="W153" s="87" t="s">
        <v>284</v>
      </c>
      <c r="X153" s="87" t="s">
        <v>285</v>
      </c>
      <c r="Y153" s="87" t="s">
        <v>286</v>
      </c>
      <c r="Z153" s="87" t="s">
        <v>287</v>
      </c>
    </row>
    <row r="154" customFormat="false" ht="15" hidden="false" customHeight="false" outlineLevel="0" collapsed="false">
      <c r="R154" s="90" t="s">
        <v>288</v>
      </c>
    </row>
    <row r="155" customFormat="false" ht="15" hidden="false" customHeight="false" outlineLevel="0" collapsed="false">
      <c r="R155" s="1" t="s">
        <v>289</v>
      </c>
      <c r="V155" s="57" t="s">
        <v>290</v>
      </c>
      <c r="W155" s="58" t="n">
        <v>2</v>
      </c>
      <c r="X155" s="59" t="n">
        <f aca="false">W155*8/$T$152</f>
        <v>0.145454545454545</v>
      </c>
      <c r="Y155" s="30" t="n">
        <v>28.94</v>
      </c>
      <c r="Z155" s="30" t="n">
        <f aca="false">X155*Y155</f>
        <v>4.20945454545455</v>
      </c>
    </row>
    <row r="156" customFormat="false" ht="15" hidden="false" customHeight="false" outlineLevel="0" collapsed="false">
      <c r="R156" s="1" t="s">
        <v>291</v>
      </c>
      <c r="V156" s="57" t="s">
        <v>290</v>
      </c>
      <c r="W156" s="58" t="n">
        <v>1</v>
      </c>
      <c r="X156" s="59" t="n">
        <f aca="false">W156*8/$T$152</f>
        <v>0.0727272727272727</v>
      </c>
      <c r="Y156" s="30" t="n">
        <v>23.6</v>
      </c>
      <c r="Z156" s="30" t="n">
        <f aca="false">X156*Y156</f>
        <v>1.71636363636364</v>
      </c>
    </row>
    <row r="157" customFormat="false" ht="15" hidden="false" customHeight="false" outlineLevel="0" collapsed="false">
      <c r="R157" s="1" t="s">
        <v>292</v>
      </c>
      <c r="V157" s="57" t="s">
        <v>290</v>
      </c>
      <c r="W157" s="58" t="n">
        <v>6</v>
      </c>
      <c r="X157" s="59" t="n">
        <f aca="false">W157*8/$T$152</f>
        <v>0.436363636363636</v>
      </c>
      <c r="Y157" s="30" t="n">
        <v>21.36</v>
      </c>
      <c r="Z157" s="30" t="n">
        <f aca="false">X157*Y157</f>
        <v>9.32072727272727</v>
      </c>
    </row>
    <row r="158" customFormat="false" ht="15" hidden="false" customHeight="false" outlineLevel="0" collapsed="false">
      <c r="V158" s="57"/>
      <c r="W158" s="58"/>
      <c r="X158" s="59"/>
      <c r="Z158" s="89" t="n">
        <f aca="false">SUM(Z155:Z157)</f>
        <v>15.2465454545455</v>
      </c>
    </row>
    <row r="159" customFormat="false" ht="15" hidden="false" customHeight="false" outlineLevel="0" collapsed="false">
      <c r="R159" s="90" t="s">
        <v>652</v>
      </c>
      <c r="V159" s="57"/>
      <c r="W159" s="58"/>
      <c r="X159" s="59"/>
      <c r="Z159" s="30"/>
    </row>
    <row r="160" customFormat="false" ht="15" hidden="false" customHeight="false" outlineLevel="0" collapsed="false">
      <c r="R160" s="1" t="s">
        <v>305</v>
      </c>
      <c r="V160" s="57" t="s">
        <v>306</v>
      </c>
      <c r="X160" s="59" t="n">
        <v>0.42</v>
      </c>
      <c r="Y160" s="30" t="n">
        <v>24.52</v>
      </c>
      <c r="Z160" s="30" t="n">
        <f aca="false">X160*Y160</f>
        <v>10.2984</v>
      </c>
    </row>
    <row r="161" customFormat="false" ht="15" hidden="false" customHeight="false" outlineLevel="0" collapsed="false">
      <c r="R161" s="1" t="s">
        <v>654</v>
      </c>
      <c r="V161" s="57" t="s">
        <v>202</v>
      </c>
      <c r="X161" s="59" t="n">
        <v>0.025</v>
      </c>
      <c r="Y161" s="1" t="n">
        <v>6.14</v>
      </c>
      <c r="Z161" s="30" t="n">
        <f aca="false">X161*Y161</f>
        <v>0.1535</v>
      </c>
    </row>
    <row r="162" customFormat="false" ht="15" hidden="false" customHeight="false" outlineLevel="0" collapsed="false">
      <c r="R162" s="1" t="s">
        <v>311</v>
      </c>
      <c r="V162" s="57" t="s">
        <v>202</v>
      </c>
      <c r="X162" s="59" t="n">
        <v>0.162</v>
      </c>
      <c r="Y162" s="71" t="n">
        <v>70.92</v>
      </c>
      <c r="Z162" s="30" t="n">
        <f aca="false">X162*Y162</f>
        <v>11.48904</v>
      </c>
    </row>
    <row r="163" customFormat="false" ht="15" hidden="false" customHeight="false" outlineLevel="0" collapsed="false">
      <c r="R163" s="1" t="s">
        <v>667</v>
      </c>
      <c r="V163" s="57" t="s">
        <v>304</v>
      </c>
      <c r="X163" s="59" t="n">
        <v>0.18</v>
      </c>
      <c r="Y163" s="30" t="n">
        <v>5.8</v>
      </c>
      <c r="Z163" s="30" t="n">
        <f aca="false">X163*Y163</f>
        <v>1.044</v>
      </c>
    </row>
    <row r="164" customFormat="false" ht="15" hidden="false" customHeight="false" outlineLevel="0" collapsed="false">
      <c r="V164" s="57"/>
      <c r="X164" s="59"/>
      <c r="Y164" s="30"/>
      <c r="Z164" s="89" t="n">
        <f aca="false">SUM(Z160:Z163)</f>
        <v>22.98494</v>
      </c>
    </row>
    <row r="165" customFormat="false" ht="15" hidden="false" customHeight="false" outlineLevel="0" collapsed="false">
      <c r="R165" s="90" t="s">
        <v>308</v>
      </c>
    </row>
    <row r="166" customFormat="false" ht="15" hidden="false" customHeight="false" outlineLevel="0" collapsed="false">
      <c r="R166" s="1" t="s">
        <v>309</v>
      </c>
      <c r="V166" s="57" t="s">
        <v>310</v>
      </c>
      <c r="X166" s="59" t="n">
        <v>3</v>
      </c>
      <c r="Y166" s="30" t="n">
        <f aca="false">Z158</f>
        <v>15.2465454545455</v>
      </c>
      <c r="Z166" s="30" t="n">
        <f aca="false">X166%*Y166</f>
        <v>0.457396363636364</v>
      </c>
    </row>
    <row r="167" customFormat="false" ht="15" hidden="false" customHeight="false" outlineLevel="0" collapsed="false">
      <c r="R167" s="1" t="s">
        <v>665</v>
      </c>
      <c r="V167" s="57" t="s">
        <v>337</v>
      </c>
      <c r="W167" s="58" t="n">
        <v>0.5</v>
      </c>
      <c r="X167" s="59" t="n">
        <f aca="false">W167*8/$T$152</f>
        <v>0.0363636363636364</v>
      </c>
      <c r="Y167" s="30" t="n">
        <v>25.63</v>
      </c>
      <c r="Z167" s="30" t="n">
        <f aca="false">X167*Y167</f>
        <v>0.932</v>
      </c>
    </row>
    <row r="168" customFormat="false" ht="15" hidden="false" customHeight="false" outlineLevel="0" collapsed="false">
      <c r="Q168" s="62"/>
      <c r="R168" s="62"/>
      <c r="S168" s="62"/>
      <c r="T168" s="62"/>
      <c r="U168" s="62"/>
      <c r="V168" s="62"/>
      <c r="W168" s="62"/>
      <c r="X168" s="62"/>
      <c r="Y168" s="62"/>
      <c r="Z168" s="91" t="n">
        <f aca="false">SUM(Z166:Z167)</f>
        <v>1.38939636363636</v>
      </c>
    </row>
    <row r="170" customFormat="false" ht="15" hidden="false" customHeight="false" outlineLevel="0" collapsed="false">
      <c r="Q170" s="85" t="s">
        <v>276</v>
      </c>
      <c r="R170" s="85"/>
      <c r="S170" s="85" t="s">
        <v>668</v>
      </c>
      <c r="T170" s="85"/>
    </row>
    <row r="171" customFormat="false" ht="15" hidden="false" customHeight="false" outlineLevel="0" collapsed="false">
      <c r="Q171" s="85" t="s">
        <v>277</v>
      </c>
      <c r="R171" s="85" t="s">
        <v>278</v>
      </c>
      <c r="S171" s="87" t="s">
        <v>279</v>
      </c>
      <c r="T171" s="88" t="n">
        <v>120</v>
      </c>
      <c r="U171" s="87" t="s">
        <v>280</v>
      </c>
      <c r="V171" s="88" t="n">
        <f aca="false">T171</f>
        <v>120</v>
      </c>
      <c r="W171" s="85" t="s">
        <v>281</v>
      </c>
      <c r="Y171" s="87" t="s">
        <v>132</v>
      </c>
      <c r="Z171" s="89" t="n">
        <f aca="false">Z177+Z183+Z187</f>
        <v>27.126394</v>
      </c>
    </row>
    <row r="172" customFormat="false" ht="15" hidden="false" customHeight="false" outlineLevel="0" collapsed="false">
      <c r="Q172" s="85" t="s">
        <v>282</v>
      </c>
      <c r="R172" s="85" t="s">
        <v>283</v>
      </c>
      <c r="V172" s="87" t="s">
        <v>121</v>
      </c>
      <c r="W172" s="87" t="s">
        <v>284</v>
      </c>
      <c r="X172" s="87" t="s">
        <v>285</v>
      </c>
      <c r="Y172" s="87" t="s">
        <v>286</v>
      </c>
      <c r="Z172" s="87" t="s">
        <v>287</v>
      </c>
    </row>
    <row r="173" customFormat="false" ht="15" hidden="false" customHeight="false" outlineLevel="0" collapsed="false">
      <c r="R173" s="90" t="s">
        <v>288</v>
      </c>
    </row>
    <row r="174" customFormat="false" ht="15" hidden="false" customHeight="false" outlineLevel="0" collapsed="false">
      <c r="R174" s="1" t="s">
        <v>289</v>
      </c>
      <c r="V174" s="57" t="s">
        <v>290</v>
      </c>
      <c r="W174" s="58" t="n">
        <v>2</v>
      </c>
      <c r="X174" s="59" t="n">
        <f aca="false">W174*8/$T$171</f>
        <v>0.133333333333333</v>
      </c>
      <c r="Y174" s="30" t="n">
        <v>28.94</v>
      </c>
      <c r="Z174" s="30" t="n">
        <f aca="false">X174*Y174</f>
        <v>3.85866666666667</v>
      </c>
    </row>
    <row r="175" customFormat="false" ht="15" hidden="false" customHeight="false" outlineLevel="0" collapsed="false">
      <c r="R175" s="1" t="s">
        <v>291</v>
      </c>
      <c r="V175" s="57" t="s">
        <v>290</v>
      </c>
      <c r="W175" s="58" t="n">
        <v>2</v>
      </c>
      <c r="X175" s="59" t="n">
        <f aca="false">W175*8/$T$171</f>
        <v>0.133333333333333</v>
      </c>
      <c r="Y175" s="30" t="n">
        <v>23.6</v>
      </c>
      <c r="Z175" s="30" t="n">
        <f aca="false">X175*Y175</f>
        <v>3.14666666666667</v>
      </c>
    </row>
    <row r="176" customFormat="false" ht="15" hidden="false" customHeight="false" outlineLevel="0" collapsed="false">
      <c r="R176" s="1" t="s">
        <v>292</v>
      </c>
      <c r="V176" s="57" t="s">
        <v>290</v>
      </c>
      <c r="W176" s="58" t="n">
        <v>6</v>
      </c>
      <c r="X176" s="59" t="n">
        <f aca="false">W176*8/$T$171</f>
        <v>0.4</v>
      </c>
      <c r="Y176" s="30" t="n">
        <v>21.36</v>
      </c>
      <c r="Z176" s="30" t="n">
        <f aca="false">X176*Y176</f>
        <v>8.544</v>
      </c>
    </row>
    <row r="177" customFormat="false" ht="15" hidden="false" customHeight="false" outlineLevel="0" collapsed="false">
      <c r="V177" s="57"/>
      <c r="W177" s="58"/>
      <c r="X177" s="59"/>
      <c r="Z177" s="89" t="n">
        <f aca="false">SUM(Z174:Z176)</f>
        <v>15.5493333333333</v>
      </c>
    </row>
    <row r="178" customFormat="false" ht="15" hidden="false" customHeight="false" outlineLevel="0" collapsed="false">
      <c r="R178" s="90" t="s">
        <v>652</v>
      </c>
      <c r="V178" s="57"/>
      <c r="W178" s="58"/>
      <c r="X178" s="59"/>
      <c r="Z178" s="30"/>
    </row>
    <row r="179" customFormat="false" ht="15" hidden="false" customHeight="false" outlineLevel="0" collapsed="false">
      <c r="R179" s="1" t="s">
        <v>305</v>
      </c>
      <c r="V179" s="57" t="s">
        <v>306</v>
      </c>
      <c r="X179" s="59" t="n">
        <v>0.19</v>
      </c>
      <c r="Y179" s="30" t="n">
        <v>24.52</v>
      </c>
      <c r="Z179" s="30" t="n">
        <f aca="false">X179*Y179</f>
        <v>4.6588</v>
      </c>
    </row>
    <row r="180" customFormat="false" ht="15" hidden="false" customHeight="false" outlineLevel="0" collapsed="false">
      <c r="R180" s="1" t="s">
        <v>654</v>
      </c>
      <c r="V180" s="57" t="s">
        <v>202</v>
      </c>
      <c r="X180" s="59" t="n">
        <v>0.0081</v>
      </c>
      <c r="Y180" s="1" t="n">
        <v>6.14</v>
      </c>
      <c r="Z180" s="30" t="n">
        <f aca="false">X180*Y180</f>
        <v>0.049734</v>
      </c>
    </row>
    <row r="181" customFormat="false" ht="15" hidden="false" customHeight="false" outlineLevel="0" collapsed="false">
      <c r="R181" s="1" t="s">
        <v>663</v>
      </c>
      <c r="V181" s="57" t="s">
        <v>437</v>
      </c>
      <c r="X181" s="59" t="n">
        <v>0.006</v>
      </c>
      <c r="Y181" s="1" t="n">
        <v>13.93</v>
      </c>
      <c r="Z181" s="30" t="n">
        <f aca="false">X181*Y181</f>
        <v>0.08358</v>
      </c>
    </row>
    <row r="182" customFormat="false" ht="15" hidden="false" customHeight="false" outlineLevel="0" collapsed="false">
      <c r="R182" s="1" t="s">
        <v>311</v>
      </c>
      <c r="V182" s="57" t="s">
        <v>202</v>
      </c>
      <c r="X182" s="59" t="n">
        <v>0.065</v>
      </c>
      <c r="Y182" s="71" t="n">
        <v>70.92</v>
      </c>
      <c r="Z182" s="30" t="n">
        <f aca="false">X182*Y182</f>
        <v>4.6098</v>
      </c>
    </row>
    <row r="183" customFormat="false" ht="15" hidden="false" customHeight="false" outlineLevel="0" collapsed="false">
      <c r="V183" s="57"/>
      <c r="X183" s="59"/>
      <c r="Y183" s="30"/>
      <c r="Z183" s="89" t="n">
        <f aca="false">SUM(Z179:Z182)</f>
        <v>9.401914</v>
      </c>
    </row>
    <row r="184" customFormat="false" ht="15" hidden="false" customHeight="false" outlineLevel="0" collapsed="false">
      <c r="R184" s="90" t="s">
        <v>308</v>
      </c>
    </row>
    <row r="185" customFormat="false" ht="15" hidden="false" customHeight="false" outlineLevel="0" collapsed="false">
      <c r="R185" s="1" t="s">
        <v>309</v>
      </c>
      <c r="V185" s="57" t="s">
        <v>310</v>
      </c>
      <c r="X185" s="59" t="n">
        <v>3</v>
      </c>
      <c r="Y185" s="30" t="n">
        <f aca="false">Z177</f>
        <v>15.5493333333333</v>
      </c>
      <c r="Z185" s="30" t="n">
        <f aca="false">X185%*Y185</f>
        <v>0.46648</v>
      </c>
    </row>
    <row r="186" customFormat="false" ht="15" hidden="false" customHeight="false" outlineLevel="0" collapsed="false">
      <c r="R186" s="1" t="s">
        <v>665</v>
      </c>
      <c r="V186" s="57" t="s">
        <v>337</v>
      </c>
      <c r="W186" s="58" t="n">
        <v>1</v>
      </c>
      <c r="X186" s="59" t="n">
        <f aca="false">W186*8/$T$171</f>
        <v>0.0666666666666667</v>
      </c>
      <c r="Y186" s="30" t="n">
        <v>25.63</v>
      </c>
      <c r="Z186" s="30" t="n">
        <f aca="false">X186*Y186</f>
        <v>1.70866666666667</v>
      </c>
    </row>
    <row r="187" customFormat="false" ht="15" hidden="false" customHeight="false" outlineLevel="0" collapsed="false">
      <c r="Q187" s="62"/>
      <c r="R187" s="62"/>
      <c r="S187" s="62"/>
      <c r="T187" s="62"/>
      <c r="U187" s="62"/>
      <c r="V187" s="62"/>
      <c r="W187" s="62"/>
      <c r="X187" s="62"/>
      <c r="Y187" s="62"/>
      <c r="Z187" s="91" t="n">
        <f aca="false">SUM(Z185:Z186)</f>
        <v>2.17514666666667</v>
      </c>
    </row>
    <row r="189" customFormat="false" ht="15" hidden="false" customHeight="false" outlineLevel="0" collapsed="false">
      <c r="Q189" s="85" t="s">
        <v>276</v>
      </c>
      <c r="R189" s="85"/>
      <c r="S189" s="85" t="s">
        <v>495</v>
      </c>
      <c r="T189" s="85"/>
    </row>
    <row r="190" customFormat="false" ht="15" hidden="false" customHeight="false" outlineLevel="0" collapsed="false">
      <c r="Q190" s="85" t="s">
        <v>277</v>
      </c>
      <c r="R190" s="85" t="s">
        <v>415</v>
      </c>
      <c r="S190" s="87" t="s">
        <v>279</v>
      </c>
      <c r="T190" s="88" t="n">
        <v>25</v>
      </c>
      <c r="U190" s="87" t="s">
        <v>280</v>
      </c>
      <c r="V190" s="88" t="n">
        <f aca="false">T190</f>
        <v>25</v>
      </c>
      <c r="W190" s="85" t="s">
        <v>281</v>
      </c>
      <c r="Y190" s="87" t="s">
        <v>202</v>
      </c>
      <c r="Z190" s="89" t="n">
        <f aca="false">Z196+Z204+Z209</f>
        <v>426.397544</v>
      </c>
    </row>
    <row r="191" customFormat="false" ht="15" hidden="false" customHeight="false" outlineLevel="0" collapsed="false">
      <c r="Q191" s="85" t="s">
        <v>282</v>
      </c>
      <c r="R191" s="85" t="s">
        <v>283</v>
      </c>
      <c r="V191" s="87" t="s">
        <v>121</v>
      </c>
      <c r="W191" s="87" t="s">
        <v>284</v>
      </c>
      <c r="X191" s="87" t="s">
        <v>285</v>
      </c>
      <c r="Y191" s="87" t="s">
        <v>286</v>
      </c>
      <c r="Z191" s="87" t="s">
        <v>287</v>
      </c>
    </row>
    <row r="192" customFormat="false" ht="15" hidden="false" customHeight="false" outlineLevel="0" collapsed="false">
      <c r="R192" s="90" t="s">
        <v>288</v>
      </c>
    </row>
    <row r="193" customFormat="false" ht="15" hidden="false" customHeight="false" outlineLevel="0" collapsed="false">
      <c r="R193" s="1" t="s">
        <v>289</v>
      </c>
      <c r="V193" s="57" t="s">
        <v>290</v>
      </c>
      <c r="W193" s="58" t="n">
        <v>2</v>
      </c>
      <c r="X193" s="59" t="n">
        <f aca="false">W193*8/$T$190</f>
        <v>0.64</v>
      </c>
      <c r="Y193" s="30" t="n">
        <v>28.94</v>
      </c>
      <c r="Z193" s="30" t="n">
        <f aca="false">X193*Y193</f>
        <v>18.5216</v>
      </c>
    </row>
    <row r="194" customFormat="false" ht="15" hidden="false" customHeight="false" outlineLevel="0" collapsed="false">
      <c r="R194" s="1" t="s">
        <v>291</v>
      </c>
      <c r="V194" s="57" t="s">
        <v>290</v>
      </c>
      <c r="W194" s="58" t="n">
        <v>2</v>
      </c>
      <c r="X194" s="59" t="n">
        <f aca="false">W194*8/$T$190</f>
        <v>0.64</v>
      </c>
      <c r="Y194" s="30" t="n">
        <v>23.6</v>
      </c>
      <c r="Z194" s="30" t="n">
        <f aca="false">X194*Y194</f>
        <v>15.104</v>
      </c>
    </row>
    <row r="195" customFormat="false" ht="15" hidden="false" customHeight="false" outlineLevel="0" collapsed="false">
      <c r="R195" s="1" t="s">
        <v>292</v>
      </c>
      <c r="V195" s="57" t="s">
        <v>290</v>
      </c>
      <c r="W195" s="58" t="n">
        <v>6</v>
      </c>
      <c r="X195" s="59" t="n">
        <f aca="false">W195*8/$T$190</f>
        <v>1.92</v>
      </c>
      <c r="Y195" s="30" t="n">
        <v>21.36</v>
      </c>
      <c r="Z195" s="30" t="n">
        <f aca="false">X195*Y195</f>
        <v>41.0112</v>
      </c>
    </row>
    <row r="196" customFormat="false" ht="15" hidden="false" customHeight="false" outlineLevel="0" collapsed="false">
      <c r="V196" s="57"/>
      <c r="W196" s="58"/>
      <c r="X196" s="59"/>
      <c r="Z196" s="89" t="n">
        <f aca="false">SUM(Z193:Z195)</f>
        <v>74.6368</v>
      </c>
    </row>
    <row r="197" customFormat="false" ht="15" hidden="false" customHeight="false" outlineLevel="0" collapsed="false">
      <c r="R197" s="90" t="s">
        <v>652</v>
      </c>
      <c r="V197" s="57"/>
      <c r="W197" s="58"/>
      <c r="X197" s="59"/>
      <c r="Z197" s="30"/>
    </row>
    <row r="198" customFormat="false" ht="15" hidden="false" customHeight="false" outlineLevel="0" collapsed="false">
      <c r="R198" s="1" t="s">
        <v>670</v>
      </c>
      <c r="V198" s="57" t="s">
        <v>202</v>
      </c>
      <c r="X198" s="59" t="n">
        <v>0.53</v>
      </c>
      <c r="Y198" s="30" t="n">
        <v>55.08</v>
      </c>
      <c r="Z198" s="30" t="n">
        <f aca="false">X198*Y198</f>
        <v>29.1924</v>
      </c>
    </row>
    <row r="199" customFormat="false" ht="15" hidden="false" customHeight="false" outlineLevel="0" collapsed="false">
      <c r="R199" s="1" t="s">
        <v>671</v>
      </c>
      <c r="V199" s="57" t="s">
        <v>202</v>
      </c>
      <c r="X199" s="59" t="n">
        <v>0.52</v>
      </c>
      <c r="Y199" s="30" t="n">
        <v>47</v>
      </c>
      <c r="Z199" s="30" t="n">
        <f aca="false">X199*Y199</f>
        <v>24.44</v>
      </c>
    </row>
    <row r="200" customFormat="false" ht="15" hidden="false" customHeight="false" outlineLevel="0" collapsed="false">
      <c r="R200" s="1" t="s">
        <v>305</v>
      </c>
      <c r="V200" s="57" t="s">
        <v>306</v>
      </c>
      <c r="X200" s="59" t="n">
        <v>9.73</v>
      </c>
      <c r="Y200" s="30" t="n">
        <v>24.52</v>
      </c>
      <c r="Z200" s="30" t="n">
        <f aca="false">X200*Y200</f>
        <v>238.5796</v>
      </c>
    </row>
    <row r="201" customFormat="false" ht="15" hidden="false" customHeight="false" outlineLevel="0" collapsed="false">
      <c r="R201" s="1" t="s">
        <v>654</v>
      </c>
      <c r="V201" s="57" t="s">
        <v>202</v>
      </c>
      <c r="X201" s="59" t="n">
        <v>0.186</v>
      </c>
      <c r="Y201" s="1" t="n">
        <v>6.14</v>
      </c>
      <c r="Z201" s="30" t="n">
        <f aca="false">X201*Y201</f>
        <v>1.14204</v>
      </c>
    </row>
    <row r="202" customFormat="false" ht="15" hidden="false" customHeight="false" outlineLevel="0" collapsed="false">
      <c r="R202" s="1" t="s">
        <v>663</v>
      </c>
      <c r="V202" s="57" t="s">
        <v>437</v>
      </c>
      <c r="X202" s="59" t="n">
        <v>0.36</v>
      </c>
      <c r="Y202" s="1" t="n">
        <v>13.93</v>
      </c>
      <c r="Z202" s="30" t="n">
        <f aca="false">X202*Y202</f>
        <v>5.0148</v>
      </c>
    </row>
    <row r="203" customFormat="false" ht="15" hidden="false" customHeight="false" outlineLevel="0" collapsed="false">
      <c r="R203" s="1" t="s">
        <v>672</v>
      </c>
      <c r="V203" s="57" t="s">
        <v>437</v>
      </c>
      <c r="X203" s="59" t="n">
        <v>1.5</v>
      </c>
      <c r="Y203" s="71" t="n">
        <v>27.88</v>
      </c>
      <c r="Z203" s="30" t="n">
        <f aca="false">X203*Y203</f>
        <v>41.82</v>
      </c>
    </row>
    <row r="204" customFormat="false" ht="15" hidden="false" customHeight="false" outlineLevel="0" collapsed="false">
      <c r="V204" s="57"/>
      <c r="X204" s="59"/>
      <c r="Y204" s="30"/>
      <c r="Z204" s="89" t="n">
        <f aca="false">SUM(Z198:Z203)</f>
        <v>340.18884</v>
      </c>
    </row>
    <row r="205" customFormat="false" ht="15" hidden="false" customHeight="false" outlineLevel="0" collapsed="false">
      <c r="R205" s="90" t="s">
        <v>308</v>
      </c>
    </row>
    <row r="206" customFormat="false" ht="15" hidden="false" customHeight="false" outlineLevel="0" collapsed="false">
      <c r="R206" s="1" t="s">
        <v>309</v>
      </c>
      <c r="V206" s="57" t="s">
        <v>310</v>
      </c>
      <c r="X206" s="59" t="n">
        <v>3</v>
      </c>
      <c r="Y206" s="30" t="n">
        <f aca="false">Z196</f>
        <v>74.6368</v>
      </c>
      <c r="Z206" s="30" t="n">
        <f aca="false">X206%*Y206</f>
        <v>2.239104</v>
      </c>
    </row>
    <row r="207" customFormat="false" ht="15" hidden="false" customHeight="false" outlineLevel="0" collapsed="false">
      <c r="R207" s="1" t="s">
        <v>665</v>
      </c>
      <c r="V207" s="57" t="s">
        <v>337</v>
      </c>
      <c r="W207" s="58" t="n">
        <v>1</v>
      </c>
      <c r="X207" s="59" t="n">
        <f aca="false">W207*8/$T$190</f>
        <v>0.32</v>
      </c>
      <c r="Y207" s="30" t="n">
        <v>25.63</v>
      </c>
      <c r="Z207" s="30" t="n">
        <f aca="false">X207*Y207</f>
        <v>8.2016</v>
      </c>
    </row>
    <row r="208" customFormat="false" ht="15" hidden="false" customHeight="false" outlineLevel="0" collapsed="false">
      <c r="R208" s="1" t="s">
        <v>673</v>
      </c>
      <c r="V208" s="57" t="s">
        <v>337</v>
      </c>
      <c r="W208" s="58" t="n">
        <v>0.5</v>
      </c>
      <c r="X208" s="59" t="n">
        <f aca="false">W208*8/$T$190</f>
        <v>0.16</v>
      </c>
      <c r="Y208" s="30" t="n">
        <v>7.07</v>
      </c>
      <c r="Z208" s="30" t="n">
        <f aca="false">X208*Y208</f>
        <v>1.1312</v>
      </c>
    </row>
    <row r="209" customFormat="false" ht="15" hidden="false" customHeight="false" outlineLevel="0" collapsed="false">
      <c r="Q209" s="62"/>
      <c r="R209" s="62"/>
      <c r="S209" s="62"/>
      <c r="T209" s="62"/>
      <c r="U209" s="62"/>
      <c r="V209" s="62"/>
      <c r="W209" s="62"/>
      <c r="X209" s="62"/>
      <c r="Y209" s="62"/>
      <c r="Z209" s="91" t="n">
        <f aca="false">SUM(Z206:Z208)</f>
        <v>11.571904</v>
      </c>
    </row>
    <row r="211" customFormat="false" ht="15" hidden="false" customHeight="false" outlineLevel="0" collapsed="false">
      <c r="Q211" s="85" t="s">
        <v>276</v>
      </c>
      <c r="R211" s="85"/>
      <c r="S211" s="85" t="s">
        <v>1382</v>
      </c>
      <c r="T211" s="85"/>
    </row>
    <row r="212" customFormat="false" ht="15" hidden="false" customHeight="false" outlineLevel="0" collapsed="false">
      <c r="Q212" s="85" t="s">
        <v>277</v>
      </c>
      <c r="R212" s="85" t="s">
        <v>278</v>
      </c>
      <c r="S212" s="87" t="s">
        <v>279</v>
      </c>
      <c r="T212" s="88" t="n">
        <v>8</v>
      </c>
      <c r="U212" s="87" t="s">
        <v>280</v>
      </c>
      <c r="V212" s="88" t="n">
        <f aca="false">T212</f>
        <v>8</v>
      </c>
      <c r="W212" s="85" t="s">
        <v>281</v>
      </c>
      <c r="Y212" s="87" t="s">
        <v>132</v>
      </c>
      <c r="Z212" s="89" t="n">
        <f aca="false">Z217+Z222+Z225</f>
        <v>75.1142</v>
      </c>
    </row>
    <row r="213" customFormat="false" ht="15" hidden="false" customHeight="false" outlineLevel="0" collapsed="false">
      <c r="Q213" s="85" t="s">
        <v>282</v>
      </c>
      <c r="R213" s="85" t="s">
        <v>283</v>
      </c>
      <c r="V213" s="87" t="s">
        <v>121</v>
      </c>
      <c r="W213" s="87" t="s">
        <v>284</v>
      </c>
      <c r="X213" s="87" t="s">
        <v>285</v>
      </c>
      <c r="Y213" s="87" t="s">
        <v>286</v>
      </c>
      <c r="Z213" s="87" t="s">
        <v>287</v>
      </c>
    </row>
    <row r="214" customFormat="false" ht="15" hidden="false" customHeight="false" outlineLevel="0" collapsed="false">
      <c r="R214" s="90" t="s">
        <v>288</v>
      </c>
    </row>
    <row r="215" customFormat="false" ht="15" hidden="false" customHeight="false" outlineLevel="0" collapsed="false">
      <c r="R215" s="1" t="s">
        <v>289</v>
      </c>
      <c r="V215" s="57" t="s">
        <v>290</v>
      </c>
      <c r="W215" s="58" t="n">
        <v>1</v>
      </c>
      <c r="X215" s="59" t="n">
        <f aca="false">W215*8/$T$212</f>
        <v>1</v>
      </c>
      <c r="Y215" s="30" t="n">
        <v>28.94</v>
      </c>
      <c r="Z215" s="30" t="n">
        <f aca="false">X215*Y215</f>
        <v>28.94</v>
      </c>
    </row>
    <row r="216" customFormat="false" ht="15" hidden="false" customHeight="false" outlineLevel="0" collapsed="false">
      <c r="R216" s="1" t="s">
        <v>291</v>
      </c>
      <c r="V216" s="57" t="s">
        <v>290</v>
      </c>
      <c r="W216" s="58" t="n">
        <v>1</v>
      </c>
      <c r="X216" s="59" t="n">
        <f aca="false">W216*8/$T$212</f>
        <v>1</v>
      </c>
      <c r="Y216" s="30" t="n">
        <v>23.6</v>
      </c>
      <c r="Z216" s="30" t="n">
        <f aca="false">X216*Y216</f>
        <v>23.6</v>
      </c>
    </row>
    <row r="217" customFormat="false" ht="15" hidden="false" customHeight="false" outlineLevel="0" collapsed="false">
      <c r="V217" s="57"/>
      <c r="W217" s="58"/>
      <c r="X217" s="59"/>
      <c r="Z217" s="89" t="n">
        <f aca="false">SUM(Z215:Z216)</f>
        <v>52.54</v>
      </c>
    </row>
    <row r="218" customFormat="false" ht="15" hidden="false" customHeight="false" outlineLevel="0" collapsed="false">
      <c r="R218" s="90" t="s">
        <v>652</v>
      </c>
      <c r="V218" s="57"/>
      <c r="W218" s="58"/>
      <c r="X218" s="59"/>
      <c r="Z218" s="30"/>
    </row>
    <row r="219" customFormat="false" ht="15" hidden="false" customHeight="false" outlineLevel="0" collapsed="false">
      <c r="R219" s="1" t="s">
        <v>680</v>
      </c>
      <c r="V219" s="57" t="s">
        <v>295</v>
      </c>
      <c r="X219" s="59" t="n">
        <v>0.26</v>
      </c>
      <c r="Y219" s="30" t="n">
        <v>2.64</v>
      </c>
      <c r="Z219" s="30" t="n">
        <f aca="false">X219*Y219</f>
        <v>0.6864</v>
      </c>
    </row>
    <row r="220" customFormat="false" ht="15" hidden="false" customHeight="false" outlineLevel="0" collapsed="false">
      <c r="R220" s="1" t="s">
        <v>300</v>
      </c>
      <c r="V220" s="57" t="s">
        <v>295</v>
      </c>
      <c r="X220" s="59" t="n">
        <v>0.16</v>
      </c>
      <c r="Y220" s="30" t="n">
        <v>5.51</v>
      </c>
      <c r="Z220" s="30" t="n">
        <f aca="false">X220*Y220</f>
        <v>0.8816</v>
      </c>
    </row>
    <row r="221" customFormat="false" ht="15" hidden="false" customHeight="false" outlineLevel="0" collapsed="false">
      <c r="R221" s="1" t="s">
        <v>667</v>
      </c>
      <c r="V221" s="57" t="s">
        <v>304</v>
      </c>
      <c r="X221" s="59" t="n">
        <v>3.35</v>
      </c>
      <c r="Y221" s="30" t="n">
        <v>5.8</v>
      </c>
      <c r="Z221" s="30" t="n">
        <f aca="false">X221*Y221</f>
        <v>19.43</v>
      </c>
    </row>
    <row r="222" customFormat="false" ht="15" hidden="false" customHeight="false" outlineLevel="0" collapsed="false">
      <c r="V222" s="57"/>
      <c r="X222" s="59"/>
      <c r="Y222" s="30"/>
      <c r="Z222" s="89" t="n">
        <f aca="false">SUM(Z219:Z221)</f>
        <v>20.998</v>
      </c>
    </row>
    <row r="223" customFormat="false" ht="15" hidden="false" customHeight="false" outlineLevel="0" collapsed="false">
      <c r="R223" s="90" t="s">
        <v>308</v>
      </c>
    </row>
    <row r="224" customFormat="false" ht="15" hidden="false" customHeight="false" outlineLevel="0" collapsed="false">
      <c r="R224" s="1" t="s">
        <v>309</v>
      </c>
      <c r="V224" s="57" t="s">
        <v>310</v>
      </c>
      <c r="X224" s="59" t="n">
        <v>3</v>
      </c>
      <c r="Y224" s="30" t="n">
        <f aca="false">Z217</f>
        <v>52.54</v>
      </c>
      <c r="Z224" s="30" t="n">
        <f aca="false">X224%*Y224</f>
        <v>1.5762</v>
      </c>
    </row>
    <row r="225" customFormat="false" ht="15" hidden="false" customHeight="false" outlineLevel="0" collapsed="false">
      <c r="Q225" s="62"/>
      <c r="R225" s="62"/>
      <c r="S225" s="62"/>
      <c r="T225" s="62"/>
      <c r="U225" s="62"/>
      <c r="V225" s="62"/>
      <c r="W225" s="62"/>
      <c r="X225" s="62"/>
      <c r="Y225" s="62"/>
      <c r="Z225" s="91" t="n">
        <f aca="false">SUM(Z224)</f>
        <v>1.5762</v>
      </c>
    </row>
    <row r="228" customFormat="false" ht="15" hidden="false" customHeight="false" outlineLevel="0" collapsed="false">
      <c r="Q228" s="85" t="s">
        <v>276</v>
      </c>
      <c r="R228" s="85"/>
      <c r="S228" s="85" t="s">
        <v>497</v>
      </c>
      <c r="T228" s="85"/>
    </row>
    <row r="229" customFormat="false" ht="15" hidden="false" customHeight="false" outlineLevel="0" collapsed="false">
      <c r="Q229" s="85" t="s">
        <v>277</v>
      </c>
      <c r="R229" s="85" t="s">
        <v>674</v>
      </c>
      <c r="S229" s="87" t="s">
        <v>279</v>
      </c>
      <c r="T229" s="88" t="n">
        <v>250</v>
      </c>
      <c r="U229" s="87" t="s">
        <v>280</v>
      </c>
      <c r="V229" s="88" t="n">
        <f aca="false">T229</f>
        <v>250</v>
      </c>
      <c r="W229" s="85" t="s">
        <v>281</v>
      </c>
      <c r="Y229" s="87" t="s">
        <v>295</v>
      </c>
      <c r="Z229" s="89" t="n">
        <f aca="false">Z234+Z238+Z242</f>
        <v>5.5639628445</v>
      </c>
    </row>
    <row r="230" customFormat="false" ht="15" hidden="false" customHeight="false" outlineLevel="0" collapsed="false">
      <c r="Q230" s="85" t="s">
        <v>282</v>
      </c>
      <c r="R230" s="85" t="s">
        <v>283</v>
      </c>
      <c r="V230" s="87" t="s">
        <v>121</v>
      </c>
      <c r="W230" s="87" t="s">
        <v>284</v>
      </c>
      <c r="X230" s="87" t="s">
        <v>285</v>
      </c>
      <c r="Y230" s="87" t="s">
        <v>286</v>
      </c>
      <c r="Z230" s="87" t="s">
        <v>287</v>
      </c>
    </row>
    <row r="231" customFormat="false" ht="15" hidden="false" customHeight="false" outlineLevel="0" collapsed="false">
      <c r="R231" s="90" t="s">
        <v>288</v>
      </c>
      <c r="W231" s="58"/>
    </row>
    <row r="232" customFormat="false" ht="15" hidden="false" customHeight="false" outlineLevel="0" collapsed="false">
      <c r="R232" s="1" t="s">
        <v>289</v>
      </c>
      <c r="V232" s="57" t="s">
        <v>290</v>
      </c>
      <c r="W232" s="58" t="n">
        <v>1</v>
      </c>
      <c r="X232" s="101" t="n">
        <f aca="false">W232*8/$T$229</f>
        <v>0.032</v>
      </c>
      <c r="Y232" s="30" t="n">
        <v>28.94</v>
      </c>
      <c r="Z232" s="30" t="n">
        <f aca="false">X232*Y232</f>
        <v>0.92608</v>
      </c>
    </row>
    <row r="233" customFormat="false" ht="15" hidden="false" customHeight="false" outlineLevel="0" collapsed="false">
      <c r="R233" s="1" t="s">
        <v>675</v>
      </c>
      <c r="V233" s="57" t="s">
        <v>290</v>
      </c>
      <c r="W233" s="58" t="n">
        <v>1</v>
      </c>
      <c r="X233" s="101" t="n">
        <f aca="false">W233*8/$T$229</f>
        <v>0.032</v>
      </c>
      <c r="Y233" s="30" t="n">
        <v>23.6</v>
      </c>
      <c r="Z233" s="30" t="n">
        <f aca="false">X233*Y233</f>
        <v>0.7552</v>
      </c>
    </row>
    <row r="234" customFormat="false" ht="15" hidden="false" customHeight="false" outlineLevel="0" collapsed="false">
      <c r="V234" s="57"/>
      <c r="W234" s="58"/>
      <c r="Z234" s="89" t="n">
        <f aca="false">SUM(Z232:Z233)</f>
        <v>1.68128</v>
      </c>
    </row>
    <row r="235" customFormat="false" ht="15" hidden="false" customHeight="false" outlineLevel="0" collapsed="false">
      <c r="R235" s="90" t="s">
        <v>293</v>
      </c>
      <c r="V235" s="57"/>
      <c r="W235" s="58"/>
      <c r="X235" s="101"/>
    </row>
    <row r="236" customFormat="false" ht="15" hidden="false" customHeight="false" outlineLevel="0" collapsed="false">
      <c r="R236" s="1" t="s">
        <v>294</v>
      </c>
      <c r="V236" s="57" t="s">
        <v>295</v>
      </c>
      <c r="W236" s="58"/>
      <c r="X236" s="101" t="n">
        <v>0.03</v>
      </c>
      <c r="Y236" s="30" t="n">
        <v>2.64</v>
      </c>
      <c r="Z236" s="30" t="n">
        <f aca="false">X236*Y236</f>
        <v>0.0792</v>
      </c>
    </row>
    <row r="237" customFormat="false" ht="15" hidden="false" customHeight="false" outlineLevel="0" collapsed="false">
      <c r="R237" s="1" t="s">
        <v>676</v>
      </c>
      <c r="V237" s="57" t="s">
        <v>295</v>
      </c>
      <c r="W237" s="58"/>
      <c r="X237" s="101" t="n">
        <v>1.05</v>
      </c>
      <c r="Y237" s="30" t="n">
        <f aca="false">1012.71*3.379/1000</f>
        <v>3.42194709</v>
      </c>
      <c r="Z237" s="30" t="n">
        <f aca="false">X237*Y237</f>
        <v>3.5930444445</v>
      </c>
    </row>
    <row r="238" customFormat="false" ht="15" hidden="false" customHeight="false" outlineLevel="0" collapsed="false">
      <c r="V238" s="57"/>
      <c r="W238" s="58"/>
      <c r="Z238" s="89" t="n">
        <f aca="false">SUM(Z236:Z237)</f>
        <v>3.6722444445</v>
      </c>
    </row>
    <row r="239" customFormat="false" ht="15" hidden="false" customHeight="false" outlineLevel="0" collapsed="false">
      <c r="R239" s="90" t="s">
        <v>317</v>
      </c>
      <c r="V239" s="57"/>
      <c r="W239" s="58"/>
    </row>
    <row r="240" customFormat="false" ht="15" hidden="false" customHeight="false" outlineLevel="0" collapsed="false">
      <c r="R240" s="1" t="s">
        <v>309</v>
      </c>
      <c r="V240" s="57" t="s">
        <v>310</v>
      </c>
      <c r="X240" s="59" t="n">
        <v>3</v>
      </c>
      <c r="Y240" s="30" t="n">
        <f aca="false">Z234</f>
        <v>1.68128</v>
      </c>
      <c r="Z240" s="30" t="n">
        <f aca="false">X240%*Y240</f>
        <v>0.0504384</v>
      </c>
    </row>
    <row r="241" customFormat="false" ht="15" hidden="false" customHeight="false" outlineLevel="0" collapsed="false">
      <c r="R241" s="1" t="s">
        <v>677</v>
      </c>
      <c r="V241" s="57" t="s">
        <v>290</v>
      </c>
      <c r="W241" s="58" t="n">
        <v>1</v>
      </c>
      <c r="X241" s="101" t="n">
        <f aca="false">W241*8/$T$229</f>
        <v>0.032</v>
      </c>
      <c r="Y241" s="65" t="n">
        <v>5</v>
      </c>
      <c r="Z241" s="30" t="n">
        <f aca="false">X241*Y241</f>
        <v>0.16</v>
      </c>
    </row>
    <row r="242" customFormat="false" ht="15" hidden="false" customHeight="false" outlineLevel="0" collapsed="false">
      <c r="Q242" s="62"/>
      <c r="R242" s="62"/>
      <c r="S242" s="62"/>
      <c r="T242" s="62"/>
      <c r="U242" s="62"/>
      <c r="V242" s="62"/>
      <c r="W242" s="62"/>
      <c r="X242" s="62"/>
      <c r="Y242" s="62"/>
      <c r="Z242" s="91" t="n">
        <f aca="false">SUM(Z240:Z241)</f>
        <v>0.2104384</v>
      </c>
    </row>
    <row r="244" customFormat="false" ht="15" hidden="false" customHeight="false" outlineLevel="0" collapsed="false">
      <c r="Q244" s="85" t="s">
        <v>276</v>
      </c>
      <c r="R244" s="85"/>
      <c r="S244" s="85" t="s">
        <v>509</v>
      </c>
      <c r="T244" s="85"/>
    </row>
    <row r="245" customFormat="false" ht="15" hidden="false" customHeight="false" outlineLevel="0" collapsed="false">
      <c r="Q245" s="85" t="s">
        <v>277</v>
      </c>
      <c r="R245" s="85" t="s">
        <v>415</v>
      </c>
      <c r="S245" s="87" t="s">
        <v>279</v>
      </c>
      <c r="T245" s="88" t="n">
        <v>20</v>
      </c>
      <c r="U245" s="87" t="s">
        <v>280</v>
      </c>
      <c r="V245" s="88" t="n">
        <f aca="false">T245</f>
        <v>20</v>
      </c>
      <c r="W245" s="85" t="s">
        <v>281</v>
      </c>
      <c r="Y245" s="87" t="s">
        <v>202</v>
      </c>
      <c r="Z245" s="89" t="n">
        <f aca="false">Z251+Z259+Z264</f>
        <v>438.22652</v>
      </c>
    </row>
    <row r="246" customFormat="false" ht="15" hidden="false" customHeight="false" outlineLevel="0" collapsed="false">
      <c r="Q246" s="85" t="s">
        <v>282</v>
      </c>
      <c r="R246" s="85" t="s">
        <v>283</v>
      </c>
      <c r="V246" s="87" t="s">
        <v>121</v>
      </c>
      <c r="W246" s="87" t="s">
        <v>284</v>
      </c>
      <c r="X246" s="87" t="s">
        <v>285</v>
      </c>
      <c r="Y246" s="87" t="s">
        <v>286</v>
      </c>
      <c r="Z246" s="87" t="s">
        <v>287</v>
      </c>
    </row>
    <row r="247" customFormat="false" ht="15" hidden="false" customHeight="false" outlineLevel="0" collapsed="false">
      <c r="R247" s="90" t="s">
        <v>288</v>
      </c>
    </row>
    <row r="248" customFormat="false" ht="15" hidden="false" customHeight="false" outlineLevel="0" collapsed="false">
      <c r="R248" s="1" t="s">
        <v>289</v>
      </c>
      <c r="V248" s="57" t="s">
        <v>290</v>
      </c>
      <c r="W248" s="58" t="n">
        <v>2</v>
      </c>
      <c r="X248" s="59" t="n">
        <f aca="false">W248*8/$T$245</f>
        <v>0.8</v>
      </c>
      <c r="Y248" s="30" t="n">
        <v>28.94</v>
      </c>
      <c r="Z248" s="30" t="n">
        <f aca="false">X248*Y248</f>
        <v>23.152</v>
      </c>
    </row>
    <row r="249" customFormat="false" ht="15" hidden="false" customHeight="false" outlineLevel="0" collapsed="false">
      <c r="R249" s="1" t="s">
        <v>291</v>
      </c>
      <c r="V249" s="57" t="s">
        <v>290</v>
      </c>
      <c r="W249" s="58" t="n">
        <v>1</v>
      </c>
      <c r="X249" s="59" t="n">
        <f aca="false">W249*8/$T$245</f>
        <v>0.4</v>
      </c>
      <c r="Y249" s="30" t="n">
        <v>23.6</v>
      </c>
      <c r="Z249" s="30" t="n">
        <f aca="false">X249*Y249</f>
        <v>9.44</v>
      </c>
    </row>
    <row r="250" customFormat="false" ht="15" hidden="false" customHeight="false" outlineLevel="0" collapsed="false">
      <c r="R250" s="1" t="s">
        <v>292</v>
      </c>
      <c r="V250" s="57" t="s">
        <v>290</v>
      </c>
      <c r="W250" s="58" t="n">
        <v>6</v>
      </c>
      <c r="X250" s="59" t="n">
        <f aca="false">W250*8/$T$245</f>
        <v>2.4</v>
      </c>
      <c r="Y250" s="30" t="n">
        <v>21.36</v>
      </c>
      <c r="Z250" s="30" t="n">
        <f aca="false">X250*Y250</f>
        <v>51.264</v>
      </c>
    </row>
    <row r="251" customFormat="false" ht="15" hidden="false" customHeight="false" outlineLevel="0" collapsed="false">
      <c r="V251" s="57"/>
      <c r="W251" s="58"/>
      <c r="X251" s="59"/>
      <c r="Z251" s="89" t="n">
        <f aca="false">SUM(Z248:Z250)</f>
        <v>83.856</v>
      </c>
    </row>
    <row r="252" customFormat="false" ht="15" hidden="false" customHeight="false" outlineLevel="0" collapsed="false">
      <c r="R252" s="90" t="s">
        <v>652</v>
      </c>
      <c r="V252" s="57"/>
      <c r="W252" s="58"/>
      <c r="X252" s="59"/>
      <c r="Z252" s="30"/>
    </row>
    <row r="253" customFormat="false" ht="15" hidden="false" customHeight="false" outlineLevel="0" collapsed="false">
      <c r="R253" s="1" t="s">
        <v>670</v>
      </c>
      <c r="V253" s="57" t="s">
        <v>202</v>
      </c>
      <c r="X253" s="59" t="n">
        <v>0.53</v>
      </c>
      <c r="Y253" s="30" t="n">
        <v>55.08</v>
      </c>
      <c r="Z253" s="30" t="n">
        <f aca="false">X253*Y253</f>
        <v>29.1924</v>
      </c>
    </row>
    <row r="254" customFormat="false" ht="15" hidden="false" customHeight="false" outlineLevel="0" collapsed="false">
      <c r="R254" s="1" t="s">
        <v>671</v>
      </c>
      <c r="V254" s="57" t="s">
        <v>202</v>
      </c>
      <c r="X254" s="59" t="n">
        <v>0.52</v>
      </c>
      <c r="Y254" s="30" t="n">
        <v>47</v>
      </c>
      <c r="Z254" s="30" t="n">
        <f aca="false">X254*Y254</f>
        <v>24.44</v>
      </c>
    </row>
    <row r="255" customFormat="false" ht="15" hidden="false" customHeight="false" outlineLevel="0" collapsed="false">
      <c r="R255" s="1" t="s">
        <v>305</v>
      </c>
      <c r="V255" s="57" t="s">
        <v>306</v>
      </c>
      <c r="X255" s="59" t="n">
        <v>9.73</v>
      </c>
      <c r="Y255" s="30" t="n">
        <v>24.52</v>
      </c>
      <c r="Z255" s="30" t="n">
        <f aca="false">X255*Y255</f>
        <v>238.5796</v>
      </c>
    </row>
    <row r="256" customFormat="false" ht="15" hidden="false" customHeight="false" outlineLevel="0" collapsed="false">
      <c r="R256" s="1" t="s">
        <v>654</v>
      </c>
      <c r="V256" s="57" t="s">
        <v>202</v>
      </c>
      <c r="X256" s="59" t="n">
        <v>0.186</v>
      </c>
      <c r="Y256" s="1" t="n">
        <v>6.14</v>
      </c>
      <c r="Z256" s="30" t="n">
        <f aca="false">X256*Y256</f>
        <v>1.14204</v>
      </c>
    </row>
    <row r="257" customFormat="false" ht="15" hidden="false" customHeight="false" outlineLevel="0" collapsed="false">
      <c r="R257" s="1" t="s">
        <v>663</v>
      </c>
      <c r="V257" s="57" t="s">
        <v>437</v>
      </c>
      <c r="X257" s="59" t="n">
        <v>0.36</v>
      </c>
      <c r="Y257" s="1" t="n">
        <v>13.93</v>
      </c>
      <c r="Z257" s="30" t="n">
        <f aca="false">X257*Y257</f>
        <v>5.0148</v>
      </c>
    </row>
    <row r="258" customFormat="false" ht="15" hidden="false" customHeight="false" outlineLevel="0" collapsed="false">
      <c r="R258" s="1" t="s">
        <v>672</v>
      </c>
      <c r="V258" s="57" t="s">
        <v>437</v>
      </c>
      <c r="X258" s="59" t="n">
        <v>1.5</v>
      </c>
      <c r="Y258" s="71" t="n">
        <v>27.88</v>
      </c>
      <c r="Z258" s="30" t="n">
        <f aca="false">X258*Y258</f>
        <v>41.82</v>
      </c>
    </row>
    <row r="259" customFormat="false" ht="15" hidden="false" customHeight="false" outlineLevel="0" collapsed="false">
      <c r="V259" s="57"/>
      <c r="X259" s="59"/>
      <c r="Y259" s="30"/>
      <c r="Z259" s="89" t="n">
        <f aca="false">SUM(Z253:Z258)</f>
        <v>340.18884</v>
      </c>
    </row>
    <row r="260" customFormat="false" ht="15" hidden="false" customHeight="false" outlineLevel="0" collapsed="false">
      <c r="R260" s="90" t="s">
        <v>308</v>
      </c>
    </row>
    <row r="261" customFormat="false" ht="15" hidden="false" customHeight="false" outlineLevel="0" collapsed="false">
      <c r="R261" s="1" t="s">
        <v>309</v>
      </c>
      <c r="V261" s="57" t="s">
        <v>310</v>
      </c>
      <c r="X261" s="59" t="n">
        <v>3</v>
      </c>
      <c r="Y261" s="30" t="n">
        <f aca="false">Z251</f>
        <v>83.856</v>
      </c>
      <c r="Z261" s="30" t="n">
        <f aca="false">X261%*Y261</f>
        <v>2.51568</v>
      </c>
    </row>
    <row r="262" customFormat="false" ht="15" hidden="false" customHeight="false" outlineLevel="0" collapsed="false">
      <c r="R262" s="1" t="s">
        <v>665</v>
      </c>
      <c r="V262" s="57" t="s">
        <v>337</v>
      </c>
      <c r="W262" s="58" t="n">
        <v>1</v>
      </c>
      <c r="X262" s="59" t="n">
        <f aca="false">W262*8/$T$245</f>
        <v>0.4</v>
      </c>
      <c r="Y262" s="30" t="n">
        <v>25.63</v>
      </c>
      <c r="Z262" s="30" t="n">
        <f aca="false">X262*Y262</f>
        <v>10.252</v>
      </c>
    </row>
    <row r="263" customFormat="false" ht="15" hidden="false" customHeight="false" outlineLevel="0" collapsed="false">
      <c r="R263" s="1" t="s">
        <v>673</v>
      </c>
      <c r="V263" s="57" t="s">
        <v>337</v>
      </c>
      <c r="W263" s="58" t="n">
        <v>0.5</v>
      </c>
      <c r="X263" s="59" t="n">
        <f aca="false">W263*8/$T$245</f>
        <v>0.2</v>
      </c>
      <c r="Y263" s="30" t="n">
        <v>7.07</v>
      </c>
      <c r="Z263" s="30" t="n">
        <f aca="false">X263*Y263</f>
        <v>1.414</v>
      </c>
    </row>
    <row r="264" customFormat="false" ht="15" hidden="false" customHeight="false" outlineLevel="0" collapsed="false">
      <c r="Q264" s="62"/>
      <c r="R264" s="62"/>
      <c r="S264" s="62"/>
      <c r="T264" s="62"/>
      <c r="U264" s="62"/>
      <c r="V264" s="62"/>
      <c r="W264" s="62"/>
      <c r="X264" s="62"/>
      <c r="Y264" s="62"/>
      <c r="Z264" s="91" t="n">
        <f aca="false">SUM(Z261:Z263)</f>
        <v>14.18168</v>
      </c>
    </row>
    <row r="265" customFormat="false" ht="15" hidden="false" customHeight="false" outlineLevel="0" collapsed="false">
      <c r="Z265" s="89"/>
    </row>
    <row r="266" customFormat="false" ht="15" hidden="false" customHeight="false" outlineLevel="0" collapsed="false">
      <c r="Q266" s="85" t="s">
        <v>276</v>
      </c>
      <c r="R266" s="85"/>
      <c r="S266" s="85" t="s">
        <v>511</v>
      </c>
      <c r="T266" s="85"/>
    </row>
    <row r="267" customFormat="false" ht="15" hidden="false" customHeight="false" outlineLevel="0" collapsed="false">
      <c r="Q267" s="85" t="s">
        <v>277</v>
      </c>
      <c r="R267" s="85" t="s">
        <v>278</v>
      </c>
      <c r="S267" s="87" t="s">
        <v>279</v>
      </c>
      <c r="T267" s="88" t="n">
        <v>20</v>
      </c>
      <c r="U267" s="87" t="s">
        <v>280</v>
      </c>
      <c r="V267" s="88" t="n">
        <f aca="false">T267</f>
        <v>20</v>
      </c>
      <c r="W267" s="85" t="s">
        <v>281</v>
      </c>
      <c r="Y267" s="87" t="s">
        <v>132</v>
      </c>
      <c r="Z267" s="89" t="n">
        <f aca="false">Z272+Z277+Z280</f>
        <v>64.02696</v>
      </c>
    </row>
    <row r="268" customFormat="false" ht="15" hidden="false" customHeight="false" outlineLevel="0" collapsed="false">
      <c r="Q268" s="85" t="s">
        <v>282</v>
      </c>
      <c r="R268" s="85" t="s">
        <v>283</v>
      </c>
      <c r="V268" s="87" t="s">
        <v>121</v>
      </c>
      <c r="W268" s="87" t="s">
        <v>284</v>
      </c>
      <c r="X268" s="87" t="s">
        <v>285</v>
      </c>
      <c r="Y268" s="87" t="s">
        <v>286</v>
      </c>
      <c r="Z268" s="87" t="s">
        <v>287</v>
      </c>
    </row>
    <row r="269" customFormat="false" ht="15" hidden="false" customHeight="false" outlineLevel="0" collapsed="false">
      <c r="R269" s="90" t="s">
        <v>288</v>
      </c>
      <c r="AC269" s="30"/>
    </row>
    <row r="270" customFormat="false" ht="15" hidden="false" customHeight="false" outlineLevel="0" collapsed="false">
      <c r="R270" s="1" t="s">
        <v>289</v>
      </c>
      <c r="V270" s="57" t="s">
        <v>290</v>
      </c>
      <c r="W270" s="58" t="n">
        <v>2</v>
      </c>
      <c r="X270" s="59" t="n">
        <f aca="false">W270*8/$T$267</f>
        <v>0.8</v>
      </c>
      <c r="Y270" s="30" t="n">
        <v>28.94</v>
      </c>
      <c r="Z270" s="30" t="n">
        <f aca="false">X270*Y270</f>
        <v>23.152</v>
      </c>
      <c r="AC270" s="30"/>
    </row>
    <row r="271" customFormat="false" ht="15" hidden="false" customHeight="false" outlineLevel="0" collapsed="false">
      <c r="R271" s="1" t="s">
        <v>291</v>
      </c>
      <c r="V271" s="57" t="s">
        <v>290</v>
      </c>
      <c r="W271" s="58" t="n">
        <v>2</v>
      </c>
      <c r="X271" s="59" t="n">
        <f aca="false">W271*8/$T$267</f>
        <v>0.8</v>
      </c>
      <c r="Y271" s="30" t="n">
        <v>23.6</v>
      </c>
      <c r="Z271" s="30" t="n">
        <f aca="false">X271*Y271</f>
        <v>18.88</v>
      </c>
    </row>
    <row r="272" customFormat="false" ht="15" hidden="false" customHeight="false" outlineLevel="0" collapsed="false">
      <c r="V272" s="57"/>
      <c r="W272" s="58"/>
      <c r="X272" s="59"/>
      <c r="Z272" s="89" t="n">
        <f aca="false">SUM(Z270:Z271)</f>
        <v>42.032</v>
      </c>
    </row>
    <row r="273" customFormat="false" ht="15" hidden="false" customHeight="false" outlineLevel="0" collapsed="false">
      <c r="R273" s="90" t="s">
        <v>652</v>
      </c>
      <c r="V273" s="57"/>
      <c r="W273" s="58"/>
      <c r="X273" s="59"/>
      <c r="Z273" s="30"/>
    </row>
    <row r="274" customFormat="false" ht="15" hidden="false" customHeight="false" outlineLevel="0" collapsed="false">
      <c r="R274" s="1" t="s">
        <v>680</v>
      </c>
      <c r="V274" s="57" t="s">
        <v>295</v>
      </c>
      <c r="X274" s="59" t="n">
        <v>0.16</v>
      </c>
      <c r="Y274" s="30" t="n">
        <v>2.64</v>
      </c>
      <c r="Z274" s="30" t="n">
        <f aca="false">X274*Y274</f>
        <v>0.4224</v>
      </c>
    </row>
    <row r="275" customFormat="false" ht="15" hidden="false" customHeight="false" outlineLevel="0" collapsed="false">
      <c r="R275" s="1" t="s">
        <v>300</v>
      </c>
      <c r="V275" s="57" t="s">
        <v>295</v>
      </c>
      <c r="X275" s="59" t="n">
        <v>0.16</v>
      </c>
      <c r="Y275" s="30" t="n">
        <v>5.51</v>
      </c>
      <c r="Z275" s="30" t="n">
        <f aca="false">X275*Y275</f>
        <v>0.8816</v>
      </c>
    </row>
    <row r="276" customFormat="false" ht="15" hidden="false" customHeight="false" outlineLevel="0" collapsed="false">
      <c r="R276" s="1" t="s">
        <v>667</v>
      </c>
      <c r="V276" s="57" t="s">
        <v>304</v>
      </c>
      <c r="X276" s="59" t="n">
        <v>3.35</v>
      </c>
      <c r="Y276" s="30" t="n">
        <v>5.8</v>
      </c>
      <c r="Z276" s="30" t="n">
        <f aca="false">X276*Y276</f>
        <v>19.43</v>
      </c>
    </row>
    <row r="277" customFormat="false" ht="15" hidden="false" customHeight="false" outlineLevel="0" collapsed="false">
      <c r="V277" s="57"/>
      <c r="X277" s="59"/>
      <c r="Y277" s="30"/>
      <c r="Z277" s="89" t="n">
        <f aca="false">SUM(Z274:Z276)</f>
        <v>20.734</v>
      </c>
    </row>
    <row r="278" customFormat="false" ht="15" hidden="false" customHeight="false" outlineLevel="0" collapsed="false">
      <c r="R278" s="90" t="s">
        <v>308</v>
      </c>
    </row>
    <row r="279" customFormat="false" ht="15" hidden="false" customHeight="false" outlineLevel="0" collapsed="false">
      <c r="R279" s="1" t="s">
        <v>309</v>
      </c>
      <c r="V279" s="57" t="s">
        <v>310</v>
      </c>
      <c r="X279" s="59" t="n">
        <v>3</v>
      </c>
      <c r="Y279" s="30" t="n">
        <f aca="false">Z272</f>
        <v>42.032</v>
      </c>
      <c r="Z279" s="30" t="n">
        <f aca="false">X279%*Y279</f>
        <v>1.26096</v>
      </c>
    </row>
    <row r="280" customFormat="false" ht="15" hidden="false" customHeight="false" outlineLevel="0" collapsed="false">
      <c r="Q280" s="62"/>
      <c r="R280" s="62"/>
      <c r="S280" s="62"/>
      <c r="T280" s="62"/>
      <c r="U280" s="62"/>
      <c r="V280" s="62"/>
      <c r="W280" s="62"/>
      <c r="X280" s="62"/>
      <c r="Y280" s="62"/>
      <c r="Z280" s="91" t="n">
        <f aca="false">SUM(Z279)</f>
        <v>1.26096</v>
      </c>
    </row>
    <row r="281" customFormat="false" ht="15" hidden="false" customHeight="false" outlineLevel="0" collapsed="false">
      <c r="Z281" s="89"/>
    </row>
    <row r="282" customFormat="false" ht="15" hidden="false" customHeight="false" outlineLevel="0" collapsed="false">
      <c r="Q282" s="85" t="s">
        <v>276</v>
      </c>
      <c r="R282" s="85"/>
      <c r="S282" s="85" t="s">
        <v>681</v>
      </c>
      <c r="T282" s="85"/>
    </row>
    <row r="283" customFormat="false" ht="15" hidden="false" customHeight="false" outlineLevel="0" collapsed="false">
      <c r="Q283" s="85" t="s">
        <v>277</v>
      </c>
      <c r="R283" s="85" t="s">
        <v>674</v>
      </c>
      <c r="S283" s="87" t="s">
        <v>279</v>
      </c>
      <c r="T283" s="88" t="n">
        <v>250</v>
      </c>
      <c r="U283" s="87" t="s">
        <v>280</v>
      </c>
      <c r="V283" s="88" t="n">
        <f aca="false">T283</f>
        <v>250</v>
      </c>
      <c r="W283" s="85" t="s">
        <v>281</v>
      </c>
      <c r="Y283" s="87" t="s">
        <v>295</v>
      </c>
      <c r="Z283" s="89" t="n">
        <f aca="false">Z289+Z293+Z297</f>
        <v>5.5639628445</v>
      </c>
    </row>
    <row r="284" customFormat="false" ht="15" hidden="false" customHeight="false" outlineLevel="0" collapsed="false">
      <c r="Q284" s="85" t="s">
        <v>282</v>
      </c>
      <c r="R284" s="85" t="s">
        <v>283</v>
      </c>
      <c r="V284" s="87" t="s">
        <v>121</v>
      </c>
      <c r="W284" s="87" t="s">
        <v>284</v>
      </c>
      <c r="X284" s="87" t="s">
        <v>285</v>
      </c>
      <c r="Y284" s="87" t="s">
        <v>286</v>
      </c>
      <c r="Z284" s="87" t="s">
        <v>287</v>
      </c>
    </row>
    <row r="285" customFormat="false" ht="15" hidden="false" customHeight="false" outlineLevel="0" collapsed="false">
      <c r="R285" s="90" t="s">
        <v>288</v>
      </c>
      <c r="W285" s="58"/>
    </row>
    <row r="286" customFormat="false" ht="15" hidden="false" customHeight="false" outlineLevel="0" collapsed="false">
      <c r="R286" s="1" t="s">
        <v>289</v>
      </c>
      <c r="V286" s="57" t="s">
        <v>290</v>
      </c>
      <c r="W286" s="58" t="n">
        <v>1</v>
      </c>
      <c r="X286" s="101" t="n">
        <f aca="false">W286*8/$T$229</f>
        <v>0.032</v>
      </c>
      <c r="Y286" s="30" t="n">
        <v>28.94</v>
      </c>
      <c r="Z286" s="30" t="n">
        <f aca="false">X286*Y286</f>
        <v>0.92608</v>
      </c>
    </row>
    <row r="287" customFormat="false" ht="15" hidden="false" customHeight="false" outlineLevel="0" collapsed="false">
      <c r="R287" s="1" t="s">
        <v>675</v>
      </c>
      <c r="V287" s="57" t="s">
        <v>290</v>
      </c>
      <c r="W287" s="58" t="n">
        <v>1</v>
      </c>
      <c r="X287" s="101" t="n">
        <f aca="false">W287*8/$T$229</f>
        <v>0.032</v>
      </c>
      <c r="Y287" s="30" t="n">
        <v>23.6</v>
      </c>
      <c r="Z287" s="30" t="n">
        <f aca="false">X287*Y287</f>
        <v>0.7552</v>
      </c>
    </row>
    <row r="288" customFormat="false" ht="15" hidden="false" customHeight="false" outlineLevel="0" collapsed="false">
      <c r="V288" s="57"/>
      <c r="W288" s="58"/>
      <c r="X288" s="101"/>
      <c r="Y288" s="30"/>
      <c r="Z288" s="30"/>
    </row>
    <row r="289" customFormat="false" ht="15" hidden="false" customHeight="false" outlineLevel="0" collapsed="false">
      <c r="V289" s="57"/>
      <c r="W289" s="58"/>
      <c r="Z289" s="89" t="n">
        <f aca="false">SUM(Z286:Z288)</f>
        <v>1.68128</v>
      </c>
    </row>
    <row r="290" customFormat="false" ht="15" hidden="false" customHeight="false" outlineLevel="0" collapsed="false">
      <c r="R290" s="90" t="s">
        <v>293</v>
      </c>
      <c r="V290" s="57"/>
      <c r="W290" s="58"/>
      <c r="X290" s="101"/>
    </row>
    <row r="291" customFormat="false" ht="15" hidden="false" customHeight="false" outlineLevel="0" collapsed="false">
      <c r="R291" s="1" t="s">
        <v>294</v>
      </c>
      <c r="V291" s="57" t="s">
        <v>295</v>
      </c>
      <c r="W291" s="58"/>
      <c r="X291" s="101" t="n">
        <v>0.03</v>
      </c>
      <c r="Y291" s="30" t="n">
        <v>2.64</v>
      </c>
      <c r="Z291" s="30" t="n">
        <f aca="false">X291*Y291</f>
        <v>0.0792</v>
      </c>
    </row>
    <row r="292" customFormat="false" ht="15" hidden="false" customHeight="false" outlineLevel="0" collapsed="false">
      <c r="R292" s="1" t="s">
        <v>676</v>
      </c>
      <c r="V292" s="57" t="s">
        <v>295</v>
      </c>
      <c r="W292" s="58"/>
      <c r="X292" s="101" t="n">
        <v>1.05</v>
      </c>
      <c r="Y292" s="30" t="n">
        <f aca="false">1012.71*3.379/1000</f>
        <v>3.42194709</v>
      </c>
      <c r="Z292" s="30" t="n">
        <f aca="false">X292*Y292</f>
        <v>3.5930444445</v>
      </c>
    </row>
    <row r="293" customFormat="false" ht="15" hidden="false" customHeight="false" outlineLevel="0" collapsed="false">
      <c r="V293" s="57"/>
      <c r="W293" s="58"/>
      <c r="Z293" s="89" t="n">
        <f aca="false">SUM(Z291:Z292)</f>
        <v>3.6722444445</v>
      </c>
    </row>
    <row r="294" customFormat="false" ht="15" hidden="false" customHeight="false" outlineLevel="0" collapsed="false">
      <c r="R294" s="90" t="s">
        <v>317</v>
      </c>
      <c r="V294" s="57"/>
      <c r="W294" s="58"/>
    </row>
    <row r="295" customFormat="false" ht="15" hidden="false" customHeight="false" outlineLevel="0" collapsed="false">
      <c r="R295" s="1" t="s">
        <v>309</v>
      </c>
      <c r="V295" s="57" t="s">
        <v>310</v>
      </c>
      <c r="X295" s="59" t="n">
        <v>3</v>
      </c>
      <c r="Y295" s="30" t="n">
        <f aca="false">Z289</f>
        <v>1.68128</v>
      </c>
      <c r="Z295" s="30" t="n">
        <f aca="false">X295%*Y295</f>
        <v>0.0504384</v>
      </c>
    </row>
    <row r="296" customFormat="false" ht="15" hidden="false" customHeight="false" outlineLevel="0" collapsed="false">
      <c r="R296" s="1" t="s">
        <v>677</v>
      </c>
      <c r="V296" s="57" t="s">
        <v>290</v>
      </c>
      <c r="W296" s="58" t="n">
        <v>1</v>
      </c>
      <c r="X296" s="59" t="n">
        <f aca="false">W296*8/$T$283</f>
        <v>0.032</v>
      </c>
      <c r="Y296" s="65" t="n">
        <v>5</v>
      </c>
      <c r="Z296" s="30" t="n">
        <f aca="false">X296*Y296</f>
        <v>0.16</v>
      </c>
    </row>
    <row r="297" customFormat="false" ht="15" hidden="false" customHeight="false" outlineLevel="0" collapsed="false">
      <c r="Q297" s="62"/>
      <c r="R297" s="62"/>
      <c r="S297" s="62"/>
      <c r="T297" s="62"/>
      <c r="U297" s="62"/>
      <c r="V297" s="62"/>
      <c r="W297" s="62"/>
      <c r="X297" s="62"/>
      <c r="Y297" s="62"/>
      <c r="Z297" s="91" t="n">
        <f aca="false">SUM(Z295:Z296)</f>
        <v>0.2104384</v>
      </c>
    </row>
    <row r="300" customFormat="false" ht="15" hidden="false" customHeight="false" outlineLevel="0" collapsed="false">
      <c r="Q300" s="85" t="s">
        <v>276</v>
      </c>
      <c r="R300" s="85"/>
      <c r="S300" s="85" t="s">
        <v>682</v>
      </c>
      <c r="T300" s="85"/>
    </row>
    <row r="301" customFormat="false" ht="15" hidden="false" customHeight="false" outlineLevel="0" collapsed="false">
      <c r="Q301" s="85" t="s">
        <v>277</v>
      </c>
      <c r="R301" s="85" t="s">
        <v>415</v>
      </c>
      <c r="S301" s="87" t="s">
        <v>279</v>
      </c>
      <c r="T301" s="88" t="n">
        <v>15</v>
      </c>
      <c r="U301" s="87" t="s">
        <v>280</v>
      </c>
      <c r="V301" s="88" t="n">
        <f aca="false">T301</f>
        <v>15</v>
      </c>
      <c r="W301" s="85" t="s">
        <v>281</v>
      </c>
      <c r="Y301" s="87" t="s">
        <v>202</v>
      </c>
      <c r="Z301" s="89" t="n">
        <f aca="false">Z307+Z314+Z319</f>
        <v>424.9218</v>
      </c>
    </row>
    <row r="302" customFormat="false" ht="15" hidden="false" customHeight="false" outlineLevel="0" collapsed="false">
      <c r="Q302" s="85" t="s">
        <v>282</v>
      </c>
      <c r="R302" s="85" t="s">
        <v>283</v>
      </c>
      <c r="V302" s="87" t="s">
        <v>121</v>
      </c>
      <c r="W302" s="87" t="s">
        <v>284</v>
      </c>
      <c r="X302" s="87" t="s">
        <v>285</v>
      </c>
      <c r="Y302" s="87" t="s">
        <v>286</v>
      </c>
      <c r="Z302" s="87" t="s">
        <v>287</v>
      </c>
    </row>
    <row r="303" customFormat="false" ht="15" hidden="false" customHeight="false" outlineLevel="0" collapsed="false">
      <c r="R303" s="90" t="s">
        <v>288</v>
      </c>
    </row>
    <row r="304" customFormat="false" ht="15" hidden="false" customHeight="false" outlineLevel="0" collapsed="false">
      <c r="R304" s="1" t="s">
        <v>289</v>
      </c>
      <c r="V304" s="57" t="s">
        <v>290</v>
      </c>
      <c r="W304" s="58" t="n">
        <v>1</v>
      </c>
      <c r="X304" s="59" t="n">
        <f aca="false">W304*8/$T$301</f>
        <v>0.533333333333333</v>
      </c>
      <c r="Y304" s="30" t="n">
        <v>28.94</v>
      </c>
      <c r="Z304" s="30" t="n">
        <f aca="false">X304*Y304</f>
        <v>15.4346666666667</v>
      </c>
    </row>
    <row r="305" customFormat="false" ht="15" hidden="false" customHeight="false" outlineLevel="0" collapsed="false">
      <c r="R305" s="1" t="s">
        <v>291</v>
      </c>
      <c r="V305" s="57" t="s">
        <v>290</v>
      </c>
      <c r="W305" s="58" t="n">
        <v>1</v>
      </c>
      <c r="X305" s="59" t="n">
        <f aca="false">W305*8/$T$301</f>
        <v>0.533333333333333</v>
      </c>
      <c r="Y305" s="30" t="n">
        <v>23.6</v>
      </c>
      <c r="Z305" s="30" t="n">
        <f aca="false">X305*Y305</f>
        <v>12.5866666666667</v>
      </c>
    </row>
    <row r="306" customFormat="false" ht="15" hidden="false" customHeight="false" outlineLevel="0" collapsed="false">
      <c r="R306" s="1" t="s">
        <v>292</v>
      </c>
      <c r="V306" s="57" t="s">
        <v>290</v>
      </c>
      <c r="W306" s="58" t="n">
        <v>7</v>
      </c>
      <c r="X306" s="59" t="n">
        <f aca="false">W306*8/$T$301</f>
        <v>3.73333333333333</v>
      </c>
      <c r="Y306" s="30" t="n">
        <v>21.36</v>
      </c>
      <c r="Z306" s="30" t="n">
        <f aca="false">X306*Y306</f>
        <v>79.744</v>
      </c>
    </row>
    <row r="307" customFormat="false" ht="15" hidden="false" customHeight="false" outlineLevel="0" collapsed="false">
      <c r="V307" s="57"/>
      <c r="W307" s="58"/>
      <c r="X307" s="59"/>
      <c r="Z307" s="89" t="n">
        <f aca="false">SUM(Z304:Z306)</f>
        <v>107.765333333333</v>
      </c>
    </row>
    <row r="308" customFormat="false" ht="15" hidden="false" customHeight="false" outlineLevel="0" collapsed="false">
      <c r="R308" s="90" t="s">
        <v>652</v>
      </c>
      <c r="V308" s="57"/>
      <c r="W308" s="58"/>
      <c r="X308" s="59"/>
      <c r="Z308" s="30"/>
    </row>
    <row r="309" customFormat="false" ht="15" hidden="false" customHeight="false" outlineLevel="0" collapsed="false">
      <c r="R309" s="1" t="s">
        <v>670</v>
      </c>
      <c r="V309" s="57" t="s">
        <v>202</v>
      </c>
      <c r="X309" s="59" t="n">
        <v>0.53</v>
      </c>
      <c r="Y309" s="30" t="n">
        <v>55.08</v>
      </c>
      <c r="Z309" s="30" t="n">
        <f aca="false">X309*Y309</f>
        <v>29.1924</v>
      </c>
    </row>
    <row r="310" customFormat="false" ht="15" hidden="false" customHeight="false" outlineLevel="0" collapsed="false">
      <c r="R310" s="1" t="s">
        <v>671</v>
      </c>
      <c r="V310" s="57" t="s">
        <v>202</v>
      </c>
      <c r="X310" s="59" t="n">
        <v>0.52</v>
      </c>
      <c r="Y310" s="30" t="n">
        <v>47</v>
      </c>
      <c r="Z310" s="30" t="n">
        <f aca="false">X310*Y310</f>
        <v>24.44</v>
      </c>
    </row>
    <row r="311" customFormat="false" ht="15" hidden="false" customHeight="false" outlineLevel="0" collapsed="false">
      <c r="R311" s="1" t="s">
        <v>305</v>
      </c>
      <c r="V311" s="57" t="s">
        <v>306</v>
      </c>
      <c r="X311" s="59" t="n">
        <v>9.73</v>
      </c>
      <c r="Y311" s="30" t="n">
        <v>24.52</v>
      </c>
      <c r="Z311" s="30" t="n">
        <f aca="false">X311*Y311</f>
        <v>238.5796</v>
      </c>
    </row>
    <row r="312" customFormat="false" ht="15" hidden="false" customHeight="false" outlineLevel="0" collapsed="false">
      <c r="R312" s="1" t="s">
        <v>654</v>
      </c>
      <c r="V312" s="57" t="s">
        <v>202</v>
      </c>
      <c r="X312" s="59" t="n">
        <v>0.186</v>
      </c>
      <c r="Y312" s="1" t="n">
        <v>6.14</v>
      </c>
      <c r="Z312" s="30" t="n">
        <f aca="false">X312*Y312</f>
        <v>1.14204</v>
      </c>
    </row>
    <row r="313" customFormat="false" ht="15" hidden="false" customHeight="false" outlineLevel="0" collapsed="false">
      <c r="R313" s="1" t="s">
        <v>663</v>
      </c>
      <c r="V313" s="57" t="s">
        <v>437</v>
      </c>
      <c r="X313" s="59" t="n">
        <v>0.36</v>
      </c>
      <c r="Y313" s="1" t="n">
        <v>13.93</v>
      </c>
      <c r="Z313" s="30" t="n">
        <f aca="false">X313*Y313</f>
        <v>5.0148</v>
      </c>
    </row>
    <row r="314" customFormat="false" ht="15" hidden="false" customHeight="false" outlineLevel="0" collapsed="false">
      <c r="V314" s="57"/>
      <c r="X314" s="59"/>
      <c r="Y314" s="30"/>
      <c r="Z314" s="89" t="n">
        <f aca="false">SUM(Z309:Z313)</f>
        <v>298.36884</v>
      </c>
    </row>
    <row r="315" customFormat="false" ht="15" hidden="false" customHeight="false" outlineLevel="0" collapsed="false">
      <c r="R315" s="90" t="s">
        <v>308</v>
      </c>
    </row>
    <row r="316" customFormat="false" ht="15" hidden="false" customHeight="false" outlineLevel="0" collapsed="false">
      <c r="R316" s="1" t="s">
        <v>309</v>
      </c>
      <c r="V316" s="57" t="s">
        <v>310</v>
      </c>
      <c r="X316" s="59" t="n">
        <v>3</v>
      </c>
      <c r="Y316" s="30" t="n">
        <f aca="false">Z307</f>
        <v>107.765333333333</v>
      </c>
      <c r="Z316" s="30" t="n">
        <f aca="false">X316%*Y316</f>
        <v>3.23296</v>
      </c>
    </row>
    <row r="317" customFormat="false" ht="15" hidden="false" customHeight="false" outlineLevel="0" collapsed="false">
      <c r="R317" s="1" t="s">
        <v>665</v>
      </c>
      <c r="V317" s="57" t="s">
        <v>337</v>
      </c>
      <c r="W317" s="58" t="n">
        <v>1</v>
      </c>
      <c r="X317" s="59" t="n">
        <f aca="false">W317*8/$T$301</f>
        <v>0.533333333333333</v>
      </c>
      <c r="Y317" s="30" t="n">
        <v>25.63</v>
      </c>
      <c r="Z317" s="30" t="n">
        <f aca="false">X317*Y317</f>
        <v>13.6693333333333</v>
      </c>
    </row>
    <row r="318" customFormat="false" ht="15" hidden="false" customHeight="false" outlineLevel="0" collapsed="false">
      <c r="R318" s="1" t="s">
        <v>673</v>
      </c>
      <c r="V318" s="57" t="s">
        <v>337</v>
      </c>
      <c r="W318" s="58" t="n">
        <v>0.5</v>
      </c>
      <c r="X318" s="59" t="n">
        <f aca="false">W318*8/$T$301</f>
        <v>0.266666666666667</v>
      </c>
      <c r="Y318" s="30" t="n">
        <v>7.07</v>
      </c>
      <c r="Z318" s="30" t="n">
        <f aca="false">X318*Y318</f>
        <v>1.88533333333333</v>
      </c>
    </row>
    <row r="319" customFormat="false" ht="15" hidden="false" customHeight="false" outlineLevel="0" collapsed="false">
      <c r="Q319" s="62"/>
      <c r="R319" s="62"/>
      <c r="S319" s="62"/>
      <c r="T319" s="62"/>
      <c r="U319" s="62"/>
      <c r="V319" s="62"/>
      <c r="W319" s="62"/>
      <c r="X319" s="62"/>
      <c r="Y319" s="62"/>
      <c r="Z319" s="91" t="n">
        <f aca="false">SUM(Z316:Z318)</f>
        <v>18.7876266666667</v>
      </c>
    </row>
    <row r="321" customFormat="false" ht="15" hidden="false" customHeight="false" outlineLevel="0" collapsed="false">
      <c r="Q321" s="85" t="s">
        <v>276</v>
      </c>
      <c r="R321" s="85"/>
      <c r="S321" s="85" t="s">
        <v>683</v>
      </c>
      <c r="T321" s="85"/>
    </row>
    <row r="322" customFormat="false" ht="15" hidden="false" customHeight="false" outlineLevel="0" collapsed="false">
      <c r="Q322" s="85" t="s">
        <v>277</v>
      </c>
      <c r="R322" s="85" t="s">
        <v>278</v>
      </c>
      <c r="S322" s="87" t="s">
        <v>279</v>
      </c>
      <c r="T322" s="88" t="n">
        <v>20</v>
      </c>
      <c r="U322" s="87" t="s">
        <v>280</v>
      </c>
      <c r="V322" s="88" t="n">
        <f aca="false">T322</f>
        <v>20</v>
      </c>
      <c r="W322" s="85" t="s">
        <v>281</v>
      </c>
      <c r="Y322" s="87" t="s">
        <v>132</v>
      </c>
      <c r="Z322" s="89" t="n">
        <f aca="false">Z327+Z332+Z335</f>
        <v>42.64448</v>
      </c>
    </row>
    <row r="323" customFormat="false" ht="15" hidden="false" customHeight="false" outlineLevel="0" collapsed="false">
      <c r="Q323" s="85" t="s">
        <v>282</v>
      </c>
      <c r="R323" s="85" t="s">
        <v>283</v>
      </c>
      <c r="V323" s="87" t="s">
        <v>121</v>
      </c>
      <c r="W323" s="87" t="s">
        <v>284</v>
      </c>
      <c r="X323" s="87" t="s">
        <v>285</v>
      </c>
      <c r="Y323" s="87" t="s">
        <v>286</v>
      </c>
      <c r="Z323" s="87" t="s">
        <v>287</v>
      </c>
    </row>
    <row r="324" customFormat="false" ht="15" hidden="false" customHeight="false" outlineLevel="0" collapsed="false">
      <c r="R324" s="90" t="s">
        <v>288</v>
      </c>
    </row>
    <row r="325" customFormat="false" ht="15" hidden="false" customHeight="false" outlineLevel="0" collapsed="false">
      <c r="R325" s="1" t="s">
        <v>289</v>
      </c>
      <c r="V325" s="57" t="s">
        <v>290</v>
      </c>
      <c r="W325" s="58" t="n">
        <v>1</v>
      </c>
      <c r="X325" s="59" t="n">
        <f aca="false">W325*8/$T$322</f>
        <v>0.4</v>
      </c>
      <c r="Y325" s="30" t="n">
        <v>28.94</v>
      </c>
      <c r="Z325" s="30" t="n">
        <f aca="false">X325*Y325</f>
        <v>11.576</v>
      </c>
    </row>
    <row r="326" customFormat="false" ht="15" hidden="false" customHeight="false" outlineLevel="0" collapsed="false">
      <c r="R326" s="1" t="s">
        <v>291</v>
      </c>
      <c r="V326" s="57" t="s">
        <v>290</v>
      </c>
      <c r="W326" s="58" t="n">
        <v>1</v>
      </c>
      <c r="X326" s="59" t="n">
        <f aca="false">W326*8/$T$322</f>
        <v>0.4</v>
      </c>
      <c r="Y326" s="30" t="n">
        <v>23.6</v>
      </c>
      <c r="Z326" s="30" t="n">
        <f aca="false">X326*Y326</f>
        <v>9.44</v>
      </c>
    </row>
    <row r="327" customFormat="false" ht="15" hidden="false" customHeight="false" outlineLevel="0" collapsed="false">
      <c r="V327" s="57"/>
      <c r="W327" s="58"/>
      <c r="X327" s="59"/>
      <c r="Z327" s="89" t="n">
        <f aca="false">SUM(Z325:Z326)</f>
        <v>21.016</v>
      </c>
    </row>
    <row r="328" customFormat="false" ht="15" hidden="false" customHeight="false" outlineLevel="0" collapsed="false">
      <c r="R328" s="90" t="s">
        <v>652</v>
      </c>
      <c r="V328" s="57"/>
      <c r="W328" s="58"/>
      <c r="X328" s="59"/>
      <c r="Z328" s="30"/>
    </row>
    <row r="329" customFormat="false" ht="15" hidden="false" customHeight="false" outlineLevel="0" collapsed="false">
      <c r="R329" s="1" t="s">
        <v>680</v>
      </c>
      <c r="V329" s="57" t="s">
        <v>295</v>
      </c>
      <c r="X329" s="59" t="n">
        <v>0.26</v>
      </c>
      <c r="Y329" s="30" t="n">
        <v>2.64</v>
      </c>
      <c r="Z329" s="30" t="n">
        <f aca="false">X329*Y329</f>
        <v>0.6864</v>
      </c>
    </row>
    <row r="330" customFormat="false" ht="15" hidden="false" customHeight="false" outlineLevel="0" collapsed="false">
      <c r="R330" s="1" t="s">
        <v>300</v>
      </c>
      <c r="V330" s="57" t="s">
        <v>295</v>
      </c>
      <c r="X330" s="59" t="n">
        <v>0.16</v>
      </c>
      <c r="Y330" s="30" t="n">
        <v>5.51</v>
      </c>
      <c r="Z330" s="30" t="n">
        <f aca="false">X330*Y330</f>
        <v>0.8816</v>
      </c>
    </row>
    <row r="331" customFormat="false" ht="15" hidden="false" customHeight="false" outlineLevel="0" collapsed="false">
      <c r="R331" s="1" t="s">
        <v>667</v>
      </c>
      <c r="V331" s="57" t="s">
        <v>304</v>
      </c>
      <c r="X331" s="59" t="n">
        <v>3.35</v>
      </c>
      <c r="Y331" s="30" t="n">
        <v>5.8</v>
      </c>
      <c r="Z331" s="30" t="n">
        <f aca="false">X331*Y331</f>
        <v>19.43</v>
      </c>
    </row>
    <row r="332" customFormat="false" ht="15" hidden="false" customHeight="false" outlineLevel="0" collapsed="false">
      <c r="V332" s="57"/>
      <c r="X332" s="59"/>
      <c r="Y332" s="30"/>
      <c r="Z332" s="89" t="n">
        <f aca="false">SUM(Z329:Z331)</f>
        <v>20.998</v>
      </c>
    </row>
    <row r="333" customFormat="false" ht="15" hidden="false" customHeight="false" outlineLevel="0" collapsed="false">
      <c r="R333" s="90" t="s">
        <v>308</v>
      </c>
    </row>
    <row r="334" customFormat="false" ht="15" hidden="false" customHeight="false" outlineLevel="0" collapsed="false">
      <c r="R334" s="1" t="s">
        <v>309</v>
      </c>
      <c r="V334" s="57" t="s">
        <v>310</v>
      </c>
      <c r="X334" s="59" t="n">
        <v>3</v>
      </c>
      <c r="Y334" s="30" t="n">
        <f aca="false">Z327</f>
        <v>21.016</v>
      </c>
      <c r="Z334" s="30" t="n">
        <f aca="false">X334%*Y334</f>
        <v>0.63048</v>
      </c>
    </row>
    <row r="335" customFormat="false" ht="15" hidden="false" customHeight="false" outlineLevel="0" collapsed="false">
      <c r="Q335" s="62"/>
      <c r="R335" s="62"/>
      <c r="S335" s="62"/>
      <c r="T335" s="62"/>
      <c r="U335" s="62"/>
      <c r="V335" s="62"/>
      <c r="W335" s="62"/>
      <c r="X335" s="62"/>
      <c r="Y335" s="62"/>
      <c r="Z335" s="91" t="n">
        <f aca="false">SUM(Z334)</f>
        <v>0.63048</v>
      </c>
    </row>
    <row r="337" customFormat="false" ht="15" hidden="false" customHeight="false" outlineLevel="0" collapsed="false">
      <c r="Q337" s="85" t="s">
        <v>276</v>
      </c>
      <c r="R337" s="85"/>
      <c r="S337" s="85" t="s">
        <v>684</v>
      </c>
      <c r="T337" s="85"/>
    </row>
    <row r="338" customFormat="false" ht="15" hidden="false" customHeight="false" outlineLevel="0" collapsed="false">
      <c r="Q338" s="85" t="s">
        <v>277</v>
      </c>
      <c r="R338" s="85" t="s">
        <v>674</v>
      </c>
      <c r="S338" s="87" t="s">
        <v>279</v>
      </c>
      <c r="T338" s="88" t="n">
        <v>250</v>
      </c>
      <c r="U338" s="87" t="s">
        <v>280</v>
      </c>
      <c r="V338" s="88" t="n">
        <f aca="false">T338</f>
        <v>250</v>
      </c>
      <c r="W338" s="85" t="s">
        <v>281</v>
      </c>
      <c r="Y338" s="87" t="s">
        <v>295</v>
      </c>
      <c r="Z338" s="89" t="n">
        <f aca="false">Z343+Z347+Z351</f>
        <v>5.5639628445</v>
      </c>
    </row>
    <row r="339" customFormat="false" ht="15" hidden="false" customHeight="false" outlineLevel="0" collapsed="false">
      <c r="Q339" s="85" t="s">
        <v>282</v>
      </c>
      <c r="R339" s="85" t="s">
        <v>283</v>
      </c>
      <c r="V339" s="87" t="s">
        <v>121</v>
      </c>
      <c r="W339" s="87" t="s">
        <v>284</v>
      </c>
      <c r="X339" s="87" t="s">
        <v>285</v>
      </c>
      <c r="Y339" s="87" t="s">
        <v>286</v>
      </c>
      <c r="Z339" s="87" t="s">
        <v>287</v>
      </c>
    </row>
    <row r="340" customFormat="false" ht="15" hidden="false" customHeight="false" outlineLevel="0" collapsed="false">
      <c r="R340" s="90" t="s">
        <v>288</v>
      </c>
      <c r="W340" s="58"/>
    </row>
    <row r="341" customFormat="false" ht="15" hidden="false" customHeight="false" outlineLevel="0" collapsed="false">
      <c r="R341" s="1" t="s">
        <v>289</v>
      </c>
      <c r="V341" s="57" t="s">
        <v>290</v>
      </c>
      <c r="W341" s="58" t="n">
        <v>1</v>
      </c>
      <c r="X341" s="59" t="n">
        <f aca="false">W341*8/$T$338</f>
        <v>0.032</v>
      </c>
      <c r="Y341" s="30" t="n">
        <v>28.94</v>
      </c>
      <c r="Z341" s="30" t="n">
        <f aca="false">X341*Y341</f>
        <v>0.92608</v>
      </c>
    </row>
    <row r="342" customFormat="false" ht="15" hidden="false" customHeight="false" outlineLevel="0" collapsed="false">
      <c r="R342" s="1" t="s">
        <v>675</v>
      </c>
      <c r="V342" s="57" t="s">
        <v>290</v>
      </c>
      <c r="W342" s="58" t="n">
        <v>1</v>
      </c>
      <c r="X342" s="59" t="n">
        <f aca="false">W342*8/$T$338</f>
        <v>0.032</v>
      </c>
      <c r="Y342" s="30" t="n">
        <v>23.6</v>
      </c>
      <c r="Z342" s="30" t="n">
        <f aca="false">X342*Y342</f>
        <v>0.7552</v>
      </c>
    </row>
    <row r="343" customFormat="false" ht="15" hidden="false" customHeight="false" outlineLevel="0" collapsed="false">
      <c r="V343" s="57"/>
      <c r="W343" s="58"/>
      <c r="Z343" s="89" t="n">
        <f aca="false">SUM(Z341:Z342)</f>
        <v>1.68128</v>
      </c>
    </row>
    <row r="344" customFormat="false" ht="15" hidden="false" customHeight="false" outlineLevel="0" collapsed="false">
      <c r="R344" s="90" t="s">
        <v>293</v>
      </c>
      <c r="V344" s="57"/>
      <c r="W344" s="58"/>
      <c r="X344" s="101"/>
    </row>
    <row r="345" customFormat="false" ht="15" hidden="false" customHeight="false" outlineLevel="0" collapsed="false">
      <c r="R345" s="1" t="s">
        <v>294</v>
      </c>
      <c r="V345" s="57" t="s">
        <v>295</v>
      </c>
      <c r="W345" s="58"/>
      <c r="X345" s="101" t="n">
        <v>0.03</v>
      </c>
      <c r="Y345" s="30" t="n">
        <v>2.64</v>
      </c>
      <c r="Z345" s="30" t="n">
        <f aca="false">X345*Y345</f>
        <v>0.0792</v>
      </c>
    </row>
    <row r="346" customFormat="false" ht="15" hidden="false" customHeight="false" outlineLevel="0" collapsed="false">
      <c r="R346" s="1" t="s">
        <v>676</v>
      </c>
      <c r="V346" s="57" t="s">
        <v>295</v>
      </c>
      <c r="W346" s="58"/>
      <c r="X346" s="101" t="n">
        <v>1.05</v>
      </c>
      <c r="Y346" s="30" t="n">
        <f aca="false">1012.71*3.379/1000</f>
        <v>3.42194709</v>
      </c>
      <c r="Z346" s="30" t="n">
        <f aca="false">X346*Y346</f>
        <v>3.5930444445</v>
      </c>
    </row>
    <row r="347" customFormat="false" ht="15" hidden="false" customHeight="false" outlineLevel="0" collapsed="false">
      <c r="V347" s="57"/>
      <c r="W347" s="58"/>
      <c r="Z347" s="89" t="n">
        <f aca="false">SUM(Z345:Z346)</f>
        <v>3.6722444445</v>
      </c>
    </row>
    <row r="348" customFormat="false" ht="15" hidden="false" customHeight="false" outlineLevel="0" collapsed="false">
      <c r="R348" s="90" t="s">
        <v>317</v>
      </c>
      <c r="V348" s="57"/>
      <c r="W348" s="58"/>
    </row>
    <row r="349" customFormat="false" ht="15" hidden="false" customHeight="false" outlineLevel="0" collapsed="false">
      <c r="R349" s="1" t="s">
        <v>309</v>
      </c>
      <c r="V349" s="57" t="s">
        <v>310</v>
      </c>
      <c r="X349" s="59" t="n">
        <v>3</v>
      </c>
      <c r="Y349" s="30" t="n">
        <f aca="false">Z343</f>
        <v>1.68128</v>
      </c>
      <c r="Z349" s="30" t="n">
        <f aca="false">X349%*Y349</f>
        <v>0.0504384</v>
      </c>
    </row>
    <row r="350" customFormat="false" ht="15" hidden="false" customHeight="false" outlineLevel="0" collapsed="false">
      <c r="R350" s="1" t="s">
        <v>677</v>
      </c>
      <c r="V350" s="57" t="s">
        <v>290</v>
      </c>
      <c r="W350" s="58" t="n">
        <v>1</v>
      </c>
      <c r="X350" s="59" t="n">
        <f aca="false">W350*8/$T$338</f>
        <v>0.032</v>
      </c>
      <c r="Y350" s="65" t="n">
        <v>5</v>
      </c>
      <c r="Z350" s="30" t="n">
        <f aca="false">X350*Y350</f>
        <v>0.16</v>
      </c>
    </row>
    <row r="351" customFormat="false" ht="15" hidden="false" customHeight="false" outlineLevel="0" collapsed="false">
      <c r="Q351" s="62"/>
      <c r="R351" s="62"/>
      <c r="S351" s="62"/>
      <c r="T351" s="62"/>
      <c r="U351" s="62"/>
      <c r="V351" s="62"/>
      <c r="W351" s="62"/>
      <c r="X351" s="62"/>
      <c r="Y351" s="62"/>
      <c r="Z351" s="91" t="n">
        <f aca="false">SUM(Z349:Z350)</f>
        <v>0.2104384</v>
      </c>
    </row>
    <row r="352" customFormat="false" ht="15" hidden="false" customHeight="false" outlineLevel="0" collapsed="false">
      <c r="Z352" s="89"/>
    </row>
    <row r="354" customFormat="false" ht="15" hidden="false" customHeight="false" outlineLevel="0" collapsed="false">
      <c r="Q354" s="85"/>
      <c r="R354" s="85"/>
      <c r="S354" s="85"/>
      <c r="T354" s="85"/>
    </row>
    <row r="355" customFormat="false" ht="15" hidden="false" customHeight="false" outlineLevel="0" collapsed="false">
      <c r="Q355" s="85"/>
      <c r="R355" s="85"/>
      <c r="S355" s="87"/>
      <c r="T355" s="88"/>
      <c r="U355" s="87"/>
      <c r="V355" s="88"/>
      <c r="W355" s="85"/>
      <c r="Y355" s="87"/>
      <c r="Z355" s="8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2.72"/>
    <col collapsed="false" customWidth="true" hidden="false" outlineLevel="0" max="11" min="11" style="1" width="12.86"/>
    <col collapsed="false" customWidth="true" hidden="false" outlineLevel="0" max="12" min="12" style="1" width="9.3"/>
    <col collapsed="false" customWidth="true" hidden="false" outlineLevel="0" max="13" min="13" style="1" width="10.86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9" t="s">
        <v>1383</v>
      </c>
      <c r="N2" s="221" t="n">
        <f aca="false">IF('Datos iniciales '!D6="zapatas y vigas de cimentación",'Datos iniciales '!B6,0)</f>
        <v>120</v>
      </c>
    </row>
    <row r="3" customFormat="false" ht="15" hidden="false" customHeight="false" outlineLevel="0" collapsed="false">
      <c r="E3" s="38" t="s">
        <v>1222</v>
      </c>
      <c r="F3" s="38" t="s">
        <v>1223</v>
      </c>
      <c r="G3" s="38" t="s">
        <v>121</v>
      </c>
      <c r="H3" s="38" t="s">
        <v>122</v>
      </c>
      <c r="I3" s="38" t="s">
        <v>123</v>
      </c>
      <c r="J3" s="38" t="s">
        <v>452</v>
      </c>
      <c r="K3" s="38" t="s">
        <v>453</v>
      </c>
      <c r="M3" s="159"/>
      <c r="N3" s="159"/>
    </row>
    <row r="4" customFormat="false" ht="15" hidden="false" customHeight="false" outlineLevel="0" collapsed="false">
      <c r="G4" s="160"/>
      <c r="H4" s="76"/>
      <c r="I4" s="30"/>
      <c r="K4" s="1" t="n">
        <f aca="false">SUM(J4:J37)</f>
        <v>123275.751226124</v>
      </c>
      <c r="M4" s="159" t="s">
        <v>1373</v>
      </c>
      <c r="N4" s="159" t="n">
        <f aca="false">K4/N2</f>
        <v>1027.29792688436</v>
      </c>
    </row>
    <row r="5" customFormat="false" ht="15" hidden="false" customHeight="false" outlineLevel="0" collapsed="false">
      <c r="K5" s="30"/>
    </row>
    <row r="6" customFormat="false" ht="15" hidden="false" customHeight="false" outlineLevel="0" collapsed="false">
      <c r="A6" s="27"/>
      <c r="B6" s="14"/>
      <c r="G6" s="14"/>
      <c r="Q6" s="14" t="s">
        <v>276</v>
      </c>
      <c r="R6" s="14"/>
      <c r="S6" s="14" t="s">
        <v>1376</v>
      </c>
      <c r="T6" s="14"/>
    </row>
    <row r="7" customFormat="false" ht="15" hidden="false" customHeight="false" outlineLevel="0" collapsed="false">
      <c r="E7" s="222"/>
      <c r="F7" s="30"/>
      <c r="I7" s="30"/>
      <c r="J7" s="30"/>
      <c r="Q7" s="14" t="s">
        <v>277</v>
      </c>
      <c r="R7" s="14" t="s">
        <v>278</v>
      </c>
      <c r="S7" s="38" t="s">
        <v>279</v>
      </c>
      <c r="T7" s="54" t="n">
        <v>500</v>
      </c>
      <c r="U7" s="38" t="s">
        <v>280</v>
      </c>
      <c r="V7" s="54" t="n">
        <f aca="false">T7</f>
        <v>500</v>
      </c>
      <c r="W7" s="14" t="s">
        <v>281</v>
      </c>
      <c r="Y7" s="38" t="s">
        <v>132</v>
      </c>
      <c r="Z7" s="55" t="n">
        <f aca="false">Z13+Z18+Z23</f>
        <v>2.89927064</v>
      </c>
    </row>
    <row r="8" customFormat="false" ht="15" hidden="false" customHeight="false" outlineLevel="0" collapsed="false">
      <c r="A8" s="27" t="s">
        <v>455</v>
      </c>
      <c r="B8" s="14"/>
      <c r="E8" s="222"/>
      <c r="F8" s="30"/>
      <c r="J8" s="30"/>
      <c r="Q8" s="14" t="s">
        <v>282</v>
      </c>
      <c r="R8" s="14" t="s">
        <v>283</v>
      </c>
      <c r="V8" s="38" t="s">
        <v>121</v>
      </c>
      <c r="W8" s="38" t="s">
        <v>284</v>
      </c>
      <c r="X8" s="38" t="s">
        <v>285</v>
      </c>
      <c r="Y8" s="38" t="s">
        <v>286</v>
      </c>
      <c r="Z8" s="38" t="s">
        <v>287</v>
      </c>
    </row>
    <row r="9" customFormat="false" ht="15" hidden="false" customHeight="false" outlineLevel="0" collapsed="false">
      <c r="A9" s="213" t="s">
        <v>457</v>
      </c>
      <c r="E9" s="224" t="n">
        <v>1</v>
      </c>
      <c r="F9" s="30" t="n">
        <v>4.36975929978118</v>
      </c>
      <c r="G9" s="1" t="s">
        <v>202</v>
      </c>
      <c r="H9" s="1" t="n">
        <f aca="false">E9*F9*$N$2</f>
        <v>524.371115973742</v>
      </c>
      <c r="I9" s="30" t="n">
        <f aca="false">Z26</f>
        <v>8.45820448</v>
      </c>
      <c r="J9" s="30" t="n">
        <f aca="false">H9*I9</f>
        <v>4435.2381223117</v>
      </c>
      <c r="M9" s="30" t="n">
        <f aca="false">SUM(J9:J15)</f>
        <v>24567.8952623763</v>
      </c>
      <c r="R9" s="56" t="s">
        <v>288</v>
      </c>
    </row>
    <row r="10" customFormat="false" ht="15" hidden="false" customHeight="false" outlineLevel="0" collapsed="false">
      <c r="A10" s="213" t="s">
        <v>459</v>
      </c>
      <c r="E10" s="224" t="n">
        <v>1</v>
      </c>
      <c r="F10" s="30" t="n">
        <v>0.0588183807439825</v>
      </c>
      <c r="G10" s="1" t="s">
        <v>202</v>
      </c>
      <c r="H10" s="1" t="n">
        <f aca="false">E10*F10*$N$2</f>
        <v>7.0582056892779</v>
      </c>
      <c r="I10" s="30" t="n">
        <f aca="false">Z42</f>
        <v>49.40498</v>
      </c>
      <c r="J10" s="30" t="n">
        <f aca="false">H10*I10</f>
        <v>348.710510914661</v>
      </c>
      <c r="R10" s="1" t="s">
        <v>1378</v>
      </c>
      <c r="V10" s="57" t="s">
        <v>290</v>
      </c>
      <c r="W10" s="58" t="n">
        <v>1</v>
      </c>
      <c r="X10" s="59" t="n">
        <f aca="false">W10*8/$V$7</f>
        <v>0.016</v>
      </c>
      <c r="Y10" s="1" t="n">
        <v>28.94</v>
      </c>
      <c r="Z10" s="30" t="n">
        <f aca="false">X10*Y10</f>
        <v>0.46304</v>
      </c>
    </row>
    <row r="11" customFormat="false" ht="15" hidden="false" customHeight="false" outlineLevel="0" collapsed="false">
      <c r="A11" s="213" t="s">
        <v>461</v>
      </c>
      <c r="E11" s="224" t="n">
        <v>1</v>
      </c>
      <c r="F11" s="30" t="n">
        <v>0.269540481400438</v>
      </c>
      <c r="G11" s="1" t="s">
        <v>202</v>
      </c>
      <c r="H11" s="1" t="n">
        <f aca="false">E11*F11*$N$2</f>
        <v>32.3448577680525</v>
      </c>
      <c r="I11" s="30" t="n">
        <f aca="false">Z53</f>
        <v>66.2342173333333</v>
      </c>
      <c r="J11" s="30" t="n">
        <f aca="false">H11*I11</f>
        <v>2142.33633902495</v>
      </c>
      <c r="R11" s="1" t="s">
        <v>292</v>
      </c>
      <c r="V11" s="57" t="s">
        <v>290</v>
      </c>
      <c r="W11" s="58" t="n">
        <v>3</v>
      </c>
      <c r="X11" s="59" t="n">
        <f aca="false">W11*8/$V$7</f>
        <v>0.048</v>
      </c>
      <c r="Y11" s="1" t="n">
        <v>20.51</v>
      </c>
      <c r="Z11" s="30" t="n">
        <f aca="false">X11*Y11</f>
        <v>0.98448</v>
      </c>
    </row>
    <row r="12" customFormat="false" ht="15" hidden="false" customHeight="false" outlineLevel="0" collapsed="false">
      <c r="A12" s="213" t="s">
        <v>463</v>
      </c>
      <c r="E12" s="224" t="n">
        <v>1</v>
      </c>
      <c r="F12" s="30" t="n">
        <v>2.57973012399708</v>
      </c>
      <c r="G12" s="1" t="s">
        <v>202</v>
      </c>
      <c r="H12" s="1" t="n">
        <f aca="false">E12*F12*$N$2</f>
        <v>309.56761487965</v>
      </c>
      <c r="I12" s="30" t="n">
        <f aca="false">Z70</f>
        <v>19.29963</v>
      </c>
      <c r="J12" s="30" t="n">
        <f aca="false">H12*I12</f>
        <v>5974.54042715974</v>
      </c>
      <c r="K12" s="160"/>
      <c r="R12" s="1" t="s">
        <v>649</v>
      </c>
      <c r="V12" s="57" t="s">
        <v>290</v>
      </c>
      <c r="W12" s="58" t="n">
        <v>0.1</v>
      </c>
      <c r="X12" s="59" t="n">
        <f aca="false">W12*8/$V$7</f>
        <v>0.0016</v>
      </c>
      <c r="Y12" s="1" t="n">
        <v>34.73</v>
      </c>
      <c r="Z12" s="30" t="n">
        <f aca="false">X12*Y12</f>
        <v>0.055568</v>
      </c>
    </row>
    <row r="13" customFormat="false" ht="15" hidden="false" customHeight="false" outlineLevel="0" collapsed="false">
      <c r="A13" s="213" t="s">
        <v>1384</v>
      </c>
      <c r="E13" s="224" t="n">
        <v>1</v>
      </c>
      <c r="F13" s="30" t="n">
        <v>2.05368344274252</v>
      </c>
      <c r="G13" s="1" t="s">
        <v>132</v>
      </c>
      <c r="H13" s="1" t="n">
        <f aca="false">E13*F13*$N$2</f>
        <v>246.442013129103</v>
      </c>
      <c r="I13" s="30" t="n">
        <f aca="false">Z87</f>
        <v>7.930344</v>
      </c>
      <c r="J13" s="30" t="n">
        <f aca="false">H13*I13</f>
        <v>1954.3699401663</v>
      </c>
      <c r="Z13" s="55" t="n">
        <f aca="false">SUM(Z10:Z12)</f>
        <v>1.503088</v>
      </c>
    </row>
    <row r="14" customFormat="false" ht="15" hidden="false" customHeight="false" outlineLevel="0" collapsed="false">
      <c r="A14" s="213" t="s">
        <v>467</v>
      </c>
      <c r="E14" s="224" t="n">
        <v>1</v>
      </c>
      <c r="F14" s="30" t="n">
        <v>2.3110594456601</v>
      </c>
      <c r="G14" s="1" t="s">
        <v>132</v>
      </c>
      <c r="H14" s="1" t="n">
        <f aca="false">E14*F14*$N$2</f>
        <v>277.327133479212</v>
      </c>
      <c r="I14" s="30" t="n">
        <f aca="false">Z102</f>
        <v>12.11253</v>
      </c>
      <c r="J14" s="30" t="n">
        <f aca="false">H14*I14</f>
        <v>3359.13322408096</v>
      </c>
      <c r="K14" s="225"/>
      <c r="R14" s="56" t="s">
        <v>652</v>
      </c>
    </row>
    <row r="15" customFormat="false" ht="15" hidden="false" customHeight="false" outlineLevel="0" collapsed="false">
      <c r="A15" s="213" t="s">
        <v>469</v>
      </c>
      <c r="E15" s="224" t="n">
        <v>1</v>
      </c>
      <c r="F15" s="30" t="n">
        <v>2.3110594456601</v>
      </c>
      <c r="G15" s="1" t="s">
        <v>202</v>
      </c>
      <c r="H15" s="1" t="n">
        <f aca="false">E15*F15*$N$2</f>
        <v>277.327133479212</v>
      </c>
      <c r="I15" s="30" t="n">
        <f aca="false">Z113</f>
        <v>22.9100074666667</v>
      </c>
      <c r="J15" s="30" t="n">
        <f aca="false">H15*I15</f>
        <v>6353.56669871802</v>
      </c>
      <c r="R15" s="1" t="s">
        <v>300</v>
      </c>
      <c r="V15" s="57" t="s">
        <v>295</v>
      </c>
      <c r="X15" s="59" t="n">
        <v>0.005</v>
      </c>
      <c r="Y15" s="1" t="n">
        <v>5.51</v>
      </c>
      <c r="Z15" s="30" t="n">
        <f aca="false">X15*Y15</f>
        <v>0.02755</v>
      </c>
    </row>
    <row r="16" customFormat="false" ht="15" hidden="false" customHeight="false" outlineLevel="0" collapsed="false">
      <c r="A16" s="27" t="s">
        <v>474</v>
      </c>
      <c r="E16" s="224"/>
      <c r="F16" s="30"/>
      <c r="R16" s="1" t="s">
        <v>1379</v>
      </c>
      <c r="S16" s="226"/>
      <c r="T16" s="226"/>
      <c r="U16" s="226"/>
      <c r="V16" s="57" t="s">
        <v>306</v>
      </c>
      <c r="W16" s="226"/>
      <c r="X16" s="59" t="n">
        <v>0.025</v>
      </c>
      <c r="Y16" s="30" t="n">
        <v>38.9</v>
      </c>
      <c r="Z16" s="30" t="n">
        <f aca="false">X16*Y16</f>
        <v>0.9725</v>
      </c>
    </row>
    <row r="17" customFormat="false" ht="15" hidden="false" customHeight="false" outlineLevel="0" collapsed="false">
      <c r="A17" s="1" t="s">
        <v>482</v>
      </c>
      <c r="E17" s="224" t="n">
        <v>0.92</v>
      </c>
      <c r="F17" s="30" t="n">
        <v>1</v>
      </c>
      <c r="H17" s="1" t="n">
        <f aca="false">E17*F17*$N$2</f>
        <v>110.4</v>
      </c>
      <c r="I17" s="30" t="n">
        <f aca="false">Z126</f>
        <v>238.3435744</v>
      </c>
      <c r="J17" s="30" t="n">
        <f aca="false">H17*I17</f>
        <v>26313.13061376</v>
      </c>
      <c r="R17" s="1" t="s">
        <v>307</v>
      </c>
      <c r="V17" s="57" t="s">
        <v>304</v>
      </c>
      <c r="X17" s="59" t="n">
        <v>0.02</v>
      </c>
      <c r="Y17" s="30" t="n">
        <v>5.8</v>
      </c>
      <c r="Z17" s="30" t="n">
        <f aca="false">X17*Y17</f>
        <v>0.116</v>
      </c>
    </row>
    <row r="18" customFormat="false" ht="15" hidden="false" customHeight="false" outlineLevel="0" collapsed="false">
      <c r="A18" s="15" t="s">
        <v>484</v>
      </c>
      <c r="E18" s="224"/>
      <c r="F18" s="30"/>
      <c r="Z18" s="55" t="n">
        <f aca="false">SUM(Z15:Z17)</f>
        <v>1.11605</v>
      </c>
    </row>
    <row r="19" customFormat="false" ht="16.4" hidden="false" customHeight="false" outlineLevel="0" collapsed="false">
      <c r="A19" s="213" t="s">
        <v>486</v>
      </c>
      <c r="B19" s="213"/>
      <c r="C19" s="213"/>
      <c r="D19" s="213"/>
      <c r="E19" s="224" t="n">
        <v>0.98</v>
      </c>
      <c r="F19" s="30" t="n">
        <v>0.884609773887673</v>
      </c>
      <c r="G19" s="1" t="s">
        <v>132</v>
      </c>
      <c r="H19" s="1" t="n">
        <f aca="false">E19*F19*$N$2</f>
        <v>104.03010940919</v>
      </c>
      <c r="I19" s="227" t="n">
        <f aca="false">Z152</f>
        <v>39.6208818181818</v>
      </c>
      <c r="J19" s="228" t="n">
        <f aca="false">H19*I19</f>
        <v>4121.76467043406</v>
      </c>
      <c r="R19" s="56" t="s">
        <v>308</v>
      </c>
    </row>
    <row r="20" customFormat="false" ht="15" hidden="false" customHeight="false" outlineLevel="0" collapsed="false">
      <c r="A20" s="15" t="s">
        <v>488</v>
      </c>
      <c r="E20" s="224"/>
      <c r="F20" s="30"/>
      <c r="I20" s="160"/>
      <c r="J20" s="30"/>
      <c r="K20" s="160"/>
      <c r="R20" s="1" t="s">
        <v>309</v>
      </c>
      <c r="V20" s="57" t="s">
        <v>310</v>
      </c>
      <c r="X20" s="59" t="n">
        <v>3</v>
      </c>
      <c r="Y20" s="30" t="n">
        <f aca="false">Z13</f>
        <v>1.503088</v>
      </c>
      <c r="Z20" s="30" t="n">
        <f aca="false">X20%*Y20</f>
        <v>0.04509264</v>
      </c>
    </row>
    <row r="21" customFormat="false" ht="16.4" hidden="false" customHeight="false" outlineLevel="0" collapsed="false">
      <c r="A21" s="1" t="s">
        <v>490</v>
      </c>
      <c r="E21" s="224" t="n">
        <v>0.95</v>
      </c>
      <c r="F21" s="30" t="n">
        <v>0.0510576221735959</v>
      </c>
      <c r="G21" s="1" t="s">
        <v>132</v>
      </c>
      <c r="H21" s="1" t="n">
        <f aca="false">E21*F21*$N$2</f>
        <v>5.82056892778993</v>
      </c>
      <c r="I21" s="209" t="n">
        <f aca="false">Z171</f>
        <v>27.126394</v>
      </c>
      <c r="J21" s="30" t="n">
        <f aca="false">H21*I21</f>
        <v>157.891046039387</v>
      </c>
      <c r="K21" s="225"/>
      <c r="R21" s="1" t="s">
        <v>1380</v>
      </c>
      <c r="V21" s="57" t="s">
        <v>337</v>
      </c>
      <c r="W21" s="58" t="n">
        <v>1</v>
      </c>
      <c r="X21" s="59" t="n">
        <f aca="false">W21*8/$V$7</f>
        <v>0.016</v>
      </c>
      <c r="Y21" s="30" t="n">
        <v>9.69</v>
      </c>
      <c r="Z21" s="30" t="n">
        <f aca="false">X21*Y21</f>
        <v>0.15504</v>
      </c>
    </row>
    <row r="22" customFormat="false" ht="15" hidden="false" customHeight="false" outlineLevel="0" collapsed="false">
      <c r="A22" s="15" t="s">
        <v>1377</v>
      </c>
      <c r="E22" s="224"/>
      <c r="F22" s="30"/>
      <c r="I22" s="160"/>
      <c r="J22" s="30"/>
      <c r="K22" s="225"/>
      <c r="R22" s="1" t="s">
        <v>1381</v>
      </c>
      <c r="V22" s="57" t="s">
        <v>143</v>
      </c>
      <c r="X22" s="1" t="n">
        <v>0.008</v>
      </c>
      <c r="Y22" s="59" t="n">
        <v>10</v>
      </c>
      <c r="Z22" s="30" t="n">
        <f aca="false">X22*Y22</f>
        <v>0.08</v>
      </c>
    </row>
    <row r="23" customFormat="false" ht="15" hidden="false" customHeight="false" outlineLevel="0" collapsed="false">
      <c r="A23" s="15" t="s">
        <v>493</v>
      </c>
      <c r="E23" s="224"/>
      <c r="F23" s="30"/>
      <c r="I23" s="160"/>
      <c r="J23" s="30"/>
      <c r="Q23" s="62"/>
      <c r="R23" s="62"/>
      <c r="S23" s="62"/>
      <c r="T23" s="62"/>
      <c r="U23" s="62"/>
      <c r="V23" s="62"/>
      <c r="W23" s="62"/>
      <c r="X23" s="62"/>
      <c r="Y23" s="83"/>
      <c r="Z23" s="63" t="n">
        <f aca="false">SUM(Z20:Z22)</f>
        <v>0.28013264</v>
      </c>
    </row>
    <row r="24" customFormat="false" ht="16.4" hidden="false" customHeight="false" outlineLevel="0" collapsed="false">
      <c r="A24" s="1" t="s">
        <v>495</v>
      </c>
      <c r="E24" s="224" t="n">
        <v>0.93</v>
      </c>
      <c r="F24" s="30" t="n">
        <v>0.632312180889861</v>
      </c>
      <c r="G24" s="1" t="s">
        <v>202</v>
      </c>
      <c r="H24" s="1" t="n">
        <f aca="false">E24*F24*$N$2</f>
        <v>70.5660393873086</v>
      </c>
      <c r="I24" s="209" t="n">
        <f aca="false">Z190</f>
        <v>426.397544</v>
      </c>
      <c r="J24" s="30" t="n">
        <f aca="false">H24*I24</f>
        <v>30089.1858845556</v>
      </c>
    </row>
    <row r="25" customFormat="false" ht="16.4" hidden="false" customHeight="false" outlineLevel="0" collapsed="false">
      <c r="A25" s="1" t="s">
        <v>497</v>
      </c>
      <c r="E25" s="224" t="n">
        <v>0.85</v>
      </c>
      <c r="F25" s="30"/>
      <c r="G25" s="160" t="s">
        <v>295</v>
      </c>
      <c r="H25" s="1" t="n">
        <f aca="false">H24*40*E25</f>
        <v>2399.24533916849</v>
      </c>
      <c r="I25" s="209" t="n">
        <f aca="false">Z229</f>
        <v>5.5639628445</v>
      </c>
      <c r="J25" s="30" t="n">
        <f aca="false">H25*I25</f>
        <v>13349.3119219733</v>
      </c>
      <c r="Q25" s="14" t="s">
        <v>276</v>
      </c>
      <c r="R25" s="14"/>
      <c r="S25" s="14" t="s">
        <v>457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30" t="s">
        <v>507</v>
      </c>
      <c r="E26" s="224"/>
      <c r="F26" s="30"/>
      <c r="G26" s="160"/>
      <c r="I26" s="160"/>
      <c r="J26" s="30"/>
      <c r="K26" s="160"/>
      <c r="L26" s="1" t="n">
        <f aca="false">H25/H24</f>
        <v>34</v>
      </c>
      <c r="Q26" s="14" t="s">
        <v>277</v>
      </c>
      <c r="R26" s="14" t="s">
        <v>415</v>
      </c>
      <c r="S26" s="38" t="s">
        <v>279</v>
      </c>
      <c r="T26" s="54" t="n">
        <v>250</v>
      </c>
      <c r="U26" s="38" t="s">
        <v>280</v>
      </c>
      <c r="V26" s="54" t="n">
        <f aca="false">T26</f>
        <v>250</v>
      </c>
      <c r="W26" s="14" t="s">
        <v>281</v>
      </c>
      <c r="Y26" s="38" t="s">
        <v>202</v>
      </c>
      <c r="Z26" s="55" t="n">
        <f aca="false">Z32+Z36</f>
        <v>8.45820448</v>
      </c>
      <c r="AC26" s="14"/>
      <c r="AD26" s="14"/>
      <c r="AE26" s="38"/>
      <c r="AF26" s="54"/>
      <c r="AG26" s="38"/>
      <c r="AH26" s="54"/>
      <c r="AI26" s="14"/>
      <c r="AK26" s="38"/>
      <c r="AL26" s="55"/>
    </row>
    <row r="27" customFormat="false" ht="16.4" hidden="false" customHeight="false" outlineLevel="0" collapsed="false">
      <c r="A27" s="1" t="s">
        <v>509</v>
      </c>
      <c r="E27" s="224" t="n">
        <v>0.95</v>
      </c>
      <c r="F27" s="30" t="n">
        <v>0.120204230488694</v>
      </c>
      <c r="G27" s="160" t="s">
        <v>202</v>
      </c>
      <c r="H27" s="1" t="n">
        <f aca="false">E27*F27*$N$2</f>
        <v>13.7032822757112</v>
      </c>
      <c r="I27" s="209" t="n">
        <f aca="false">Z245</f>
        <v>438.22652</v>
      </c>
      <c r="J27" s="30" t="n">
        <f aca="false">H27*I27</f>
        <v>6005.14170426258</v>
      </c>
      <c r="Q27" s="14" t="s">
        <v>282</v>
      </c>
      <c r="R27" s="14" t="s">
        <v>283</v>
      </c>
      <c r="V27" s="38" t="s">
        <v>121</v>
      </c>
      <c r="W27" s="38" t="s">
        <v>284</v>
      </c>
      <c r="X27" s="38" t="s">
        <v>285</v>
      </c>
      <c r="Y27" s="38" t="s">
        <v>286</v>
      </c>
      <c r="Z27" s="38" t="s">
        <v>287</v>
      </c>
      <c r="AC27" s="14"/>
      <c r="AD27" s="14"/>
      <c r="AH27" s="38"/>
      <c r="AI27" s="38"/>
      <c r="AJ27" s="38"/>
      <c r="AK27" s="38"/>
      <c r="AL27" s="38"/>
    </row>
    <row r="28" customFormat="false" ht="16.4" hidden="false" customHeight="false" outlineLevel="0" collapsed="false">
      <c r="A28" s="1" t="s">
        <v>511</v>
      </c>
      <c r="E28" s="224" t="n">
        <v>0.97</v>
      </c>
      <c r="F28" s="30" t="n">
        <v>0.6490882567469</v>
      </c>
      <c r="G28" s="160" t="s">
        <v>132</v>
      </c>
      <c r="H28" s="1" t="n">
        <f aca="false">E28*F28*$N$2</f>
        <v>75.5538730853392</v>
      </c>
      <c r="I28" s="209" t="n">
        <f aca="false">Z267</f>
        <v>64.02696</v>
      </c>
      <c r="J28" s="30" t="n">
        <f aca="false">H28*I28</f>
        <v>4837.48480988009</v>
      </c>
      <c r="R28" s="56" t="s">
        <v>288</v>
      </c>
      <c r="AD28" s="56"/>
    </row>
    <row r="29" customFormat="false" ht="16.4" hidden="false" customHeight="false" outlineLevel="0" collapsed="false">
      <c r="A29" s="1" t="s">
        <v>513</v>
      </c>
      <c r="E29" s="224" t="n">
        <v>0.85</v>
      </c>
      <c r="F29" s="30"/>
      <c r="G29" s="160" t="s">
        <v>295</v>
      </c>
      <c r="H29" s="1" t="n">
        <f aca="false">H27*50*E29</f>
        <v>582.389496717724</v>
      </c>
      <c r="I29" s="209" t="n">
        <f aca="false">Z283</f>
        <v>5.5639628445</v>
      </c>
      <c r="J29" s="30" t="n">
        <f aca="false">H29*I29</f>
        <v>3240.39352076447</v>
      </c>
      <c r="R29" s="1" t="s">
        <v>649</v>
      </c>
      <c r="V29" s="57" t="s">
        <v>290</v>
      </c>
      <c r="W29" s="58" t="n">
        <v>0.1</v>
      </c>
      <c r="X29" s="59" t="n">
        <f aca="false">W29*8/$V$26</f>
        <v>0.0032</v>
      </c>
      <c r="Y29" s="1" t="n">
        <v>34.73</v>
      </c>
      <c r="Z29" s="30" t="n">
        <f aca="false">X29*Y29</f>
        <v>0.111136</v>
      </c>
      <c r="AH29" s="57"/>
      <c r="AI29" s="58"/>
      <c r="AJ29" s="59"/>
      <c r="AL29" s="30"/>
    </row>
    <row r="30" customFormat="false" ht="15" hidden="false" customHeight="false" outlineLevel="0" collapsed="false">
      <c r="A30" s="27" t="s">
        <v>515</v>
      </c>
      <c r="B30" s="14"/>
      <c r="E30" s="224"/>
      <c r="F30" s="30"/>
      <c r="I30" s="160"/>
      <c r="J30" s="30"/>
      <c r="R30" s="1" t="s">
        <v>289</v>
      </c>
      <c r="V30" s="57" t="s">
        <v>290</v>
      </c>
      <c r="W30" s="58" t="n">
        <v>2</v>
      </c>
      <c r="X30" s="59" t="n">
        <f aca="false">W30*8/$V$26</f>
        <v>0.064</v>
      </c>
      <c r="Y30" s="30" t="n">
        <v>28.94</v>
      </c>
      <c r="Z30" s="30" t="n">
        <f aca="false">X30*Y30</f>
        <v>1.85216</v>
      </c>
      <c r="AH30" s="57"/>
      <c r="AI30" s="58"/>
      <c r="AJ30" s="59"/>
      <c r="AL30" s="30"/>
    </row>
    <row r="31" customFormat="false" ht="15" hidden="false" customHeight="false" outlineLevel="0" collapsed="false">
      <c r="A31" s="1" t="s">
        <v>517</v>
      </c>
      <c r="E31" s="224" t="n">
        <v>0.91</v>
      </c>
      <c r="F31" s="30" t="n">
        <v>0.0833698030634573</v>
      </c>
      <c r="G31" s="1" t="s">
        <v>202</v>
      </c>
      <c r="H31" s="1" t="n">
        <f aca="false">E31*F31*$N$2</f>
        <v>9.10398249452954</v>
      </c>
      <c r="I31" s="30" t="n">
        <f aca="false">Z301</f>
        <v>424.9218</v>
      </c>
      <c r="J31" s="30" t="n">
        <f aca="false">H31*I31</f>
        <v>3868.48062874398</v>
      </c>
      <c r="R31" s="1" t="s">
        <v>292</v>
      </c>
      <c r="V31" s="57" t="s">
        <v>290</v>
      </c>
      <c r="W31" s="58" t="n">
        <v>1</v>
      </c>
      <c r="X31" s="59" t="n">
        <f aca="false">W31*8/$V$26</f>
        <v>0.032</v>
      </c>
      <c r="Y31" s="1" t="n">
        <v>20.51</v>
      </c>
      <c r="Z31" s="30" t="n">
        <f aca="false">X31*Y31</f>
        <v>0.65632</v>
      </c>
      <c r="AL31" s="55"/>
    </row>
    <row r="32" customFormat="false" ht="15" hidden="false" customHeight="false" outlineLevel="0" collapsed="false">
      <c r="A32" s="1" t="s">
        <v>519</v>
      </c>
      <c r="E32" s="224" t="n">
        <v>0.93</v>
      </c>
      <c r="F32" s="30" t="n">
        <v>0.416849015317287</v>
      </c>
      <c r="G32" s="1" t="s">
        <v>132</v>
      </c>
      <c r="H32" s="1" t="n">
        <f aca="false">E32*F32*$N$2</f>
        <v>46.5203501094092</v>
      </c>
      <c r="I32" s="30" t="n">
        <f aca="false">Z322</f>
        <v>42.64448</v>
      </c>
      <c r="J32" s="30" t="n">
        <f aca="false">H32*I32</f>
        <v>1983.8361398337</v>
      </c>
      <c r="Z32" s="55" t="n">
        <f aca="false">SUM(Z29:Z31)</f>
        <v>2.619616</v>
      </c>
      <c r="AD32" s="56"/>
    </row>
    <row r="33" customFormat="false" ht="15" hidden="false" customHeight="false" outlineLevel="0" collapsed="false">
      <c r="A33" s="1" t="s">
        <v>521</v>
      </c>
      <c r="E33" s="224" t="n">
        <v>0.78</v>
      </c>
      <c r="F33" s="30"/>
      <c r="G33" s="1" t="s">
        <v>295</v>
      </c>
      <c r="H33" s="1" t="n">
        <f aca="false">H31*120*E33</f>
        <v>852.132761487965</v>
      </c>
      <c r="I33" s="30" t="n">
        <f aca="false">Z338</f>
        <v>5.5639628445</v>
      </c>
      <c r="J33" s="30" t="n">
        <f aca="false">H33*I33</f>
        <v>4741.23502350022</v>
      </c>
      <c r="R33" s="56" t="s">
        <v>308</v>
      </c>
      <c r="AH33" s="57"/>
      <c r="AJ33" s="59"/>
      <c r="AK33" s="30"/>
      <c r="AL33" s="30"/>
    </row>
    <row r="34" customFormat="false" ht="15" hidden="false" customHeight="false" outlineLevel="0" collapsed="false">
      <c r="R34" s="1" t="s">
        <v>309</v>
      </c>
      <c r="V34" s="57" t="s">
        <v>310</v>
      </c>
      <c r="X34" s="59" t="n">
        <v>3</v>
      </c>
      <c r="Y34" s="30" t="n">
        <f aca="false">Z32</f>
        <v>2.619616</v>
      </c>
      <c r="Z34" s="30" t="n">
        <f aca="false">X34%*Y34</f>
        <v>0.07858848</v>
      </c>
    </row>
    <row r="35" customFormat="false" ht="15" hidden="false" customHeight="false" outlineLevel="0" collapsed="false">
      <c r="R35" s="1" t="s">
        <v>650</v>
      </c>
      <c r="V35" s="57" t="s">
        <v>337</v>
      </c>
      <c r="W35" s="58" t="n">
        <v>1</v>
      </c>
      <c r="X35" s="59" t="n">
        <f aca="false">W35*8/$V$26</f>
        <v>0.032</v>
      </c>
      <c r="Y35" s="1" t="n">
        <v>180</v>
      </c>
      <c r="Z35" s="30" t="n">
        <f aca="false">X35*Y35</f>
        <v>5.76</v>
      </c>
    </row>
    <row r="36" customFormat="false" ht="15" hidden="false" customHeight="false" outlineLevel="0" collapsed="false">
      <c r="Q36" s="62"/>
      <c r="R36" s="62"/>
      <c r="S36" s="62"/>
      <c r="T36" s="62"/>
      <c r="U36" s="62"/>
      <c r="V36" s="62"/>
      <c r="W36" s="62"/>
      <c r="X36" s="62"/>
      <c r="Y36" s="62"/>
      <c r="Z36" s="63" t="n">
        <f aca="false">SUM(Z34:Z35)</f>
        <v>5.83858848</v>
      </c>
    </row>
    <row r="37" customFormat="false" ht="15" hidden="false" customHeight="false" outlineLevel="0" collapsed="false">
      <c r="A37" s="213"/>
      <c r="G37" s="231"/>
      <c r="H37" s="231"/>
      <c r="I37" s="209"/>
      <c r="R37" s="56"/>
      <c r="V37" s="57"/>
      <c r="W37" s="58"/>
      <c r="X37" s="59"/>
    </row>
    <row r="38" customFormat="false" ht="15" hidden="false" customHeight="false" outlineLevel="0" collapsed="false">
      <c r="Y38" s="30"/>
      <c r="Z38" s="30"/>
    </row>
    <row r="39" customFormat="false" ht="15" hidden="false" customHeight="false" outlineLevel="0" collapsed="false">
      <c r="G39" s="160"/>
      <c r="H39" s="160"/>
      <c r="I39" s="209"/>
      <c r="Y39" s="14"/>
      <c r="Z39" s="55"/>
    </row>
    <row r="40" customFormat="false" ht="15" hidden="false" customHeight="false" outlineLevel="0" collapsed="false">
      <c r="G40" s="160"/>
      <c r="H40" s="160"/>
      <c r="I40" s="209"/>
    </row>
    <row r="41" customFormat="false" ht="15" hidden="false" customHeight="false" outlineLevel="0" collapsed="false">
      <c r="Q41" s="14" t="s">
        <v>276</v>
      </c>
      <c r="R41" s="14"/>
      <c r="S41" s="14" t="s">
        <v>459</v>
      </c>
      <c r="T41" s="14"/>
    </row>
    <row r="42" customFormat="false" ht="15" hidden="false" customHeight="false" outlineLevel="0" collapsed="false">
      <c r="Q42" s="14" t="s">
        <v>277</v>
      </c>
      <c r="R42" s="14" t="s">
        <v>415</v>
      </c>
      <c r="S42" s="38" t="s">
        <v>279</v>
      </c>
      <c r="T42" s="54" t="n">
        <v>4</v>
      </c>
      <c r="U42" s="38" t="s">
        <v>280</v>
      </c>
      <c r="V42" s="54" t="n">
        <f aca="false">T42</f>
        <v>4</v>
      </c>
      <c r="W42" s="14" t="s">
        <v>281</v>
      </c>
      <c r="Y42" s="38" t="s">
        <v>202</v>
      </c>
      <c r="Z42" s="55" t="n">
        <f aca="false">Z47+Z50</f>
        <v>49.40498</v>
      </c>
    </row>
    <row r="43" customFormat="false" ht="15" hidden="false" customHeight="false" outlineLevel="0" collapsed="false">
      <c r="Q43" s="14" t="s">
        <v>282</v>
      </c>
      <c r="R43" s="14" t="s">
        <v>283</v>
      </c>
      <c r="V43" s="38" t="s">
        <v>121</v>
      </c>
      <c r="W43" s="38" t="s">
        <v>284</v>
      </c>
      <c r="X43" s="38" t="s">
        <v>285</v>
      </c>
      <c r="Y43" s="38" t="s">
        <v>286</v>
      </c>
      <c r="Z43" s="38" t="s">
        <v>287</v>
      </c>
    </row>
    <row r="44" customFormat="false" ht="15" hidden="false" customHeight="false" outlineLevel="0" collapsed="false">
      <c r="R44" s="56" t="s">
        <v>288</v>
      </c>
    </row>
    <row r="45" customFormat="false" ht="15" hidden="false" customHeight="false" outlineLevel="0" collapsed="false">
      <c r="R45" s="1" t="s">
        <v>649</v>
      </c>
      <c r="V45" s="57" t="s">
        <v>290</v>
      </c>
      <c r="W45" s="58" t="n">
        <v>0.1</v>
      </c>
      <c r="X45" s="59" t="n">
        <f aca="false">W45*8/$V$42</f>
        <v>0.2</v>
      </c>
      <c r="Y45" s="1" t="n">
        <v>34.73</v>
      </c>
      <c r="Z45" s="30" t="n">
        <f aca="false">X45*Y45</f>
        <v>6.946</v>
      </c>
    </row>
    <row r="46" customFormat="false" ht="15" hidden="false" customHeight="false" outlineLevel="0" collapsed="false">
      <c r="R46" s="1" t="s">
        <v>292</v>
      </c>
      <c r="V46" s="57" t="s">
        <v>290</v>
      </c>
      <c r="W46" s="58" t="n">
        <v>1</v>
      </c>
      <c r="X46" s="59" t="n">
        <f aca="false">W46*8/$V$42</f>
        <v>2</v>
      </c>
      <c r="Y46" s="1" t="n">
        <v>20.51</v>
      </c>
      <c r="Z46" s="30" t="n">
        <f aca="false">X46*Y46</f>
        <v>41.02</v>
      </c>
    </row>
    <row r="47" customFormat="false" ht="15" hidden="false" customHeight="false" outlineLevel="0" collapsed="false">
      <c r="V47" s="57"/>
      <c r="W47" s="58"/>
      <c r="X47" s="59"/>
      <c r="Z47" s="55" t="n">
        <f aca="false">SUM(Z45:Z46)</f>
        <v>47.966</v>
      </c>
    </row>
    <row r="48" customFormat="false" ht="15" hidden="false" customHeight="false" outlineLevel="0" collapsed="false">
      <c r="R48" s="56" t="s">
        <v>308</v>
      </c>
    </row>
    <row r="49" customFormat="false" ht="15" hidden="false" customHeight="false" outlineLevel="0" collapsed="false">
      <c r="R49" s="1" t="s">
        <v>309</v>
      </c>
      <c r="V49" s="57" t="s">
        <v>310</v>
      </c>
      <c r="X49" s="59" t="n">
        <v>3</v>
      </c>
      <c r="Y49" s="30" t="n">
        <f aca="false">Z47</f>
        <v>47.966</v>
      </c>
      <c r="Z49" s="30" t="n">
        <f aca="false">X49%*Y49</f>
        <v>1.43898</v>
      </c>
    </row>
    <row r="50" customFormat="false" ht="15" hidden="false" customHeight="false" outlineLevel="0" collapsed="false">
      <c r="Q50" s="62"/>
      <c r="R50" s="62"/>
      <c r="S50" s="62"/>
      <c r="T50" s="62"/>
      <c r="U50" s="62"/>
      <c r="V50" s="62"/>
      <c r="W50" s="62"/>
      <c r="X50" s="62"/>
      <c r="Y50" s="83"/>
      <c r="Z50" s="63" t="n">
        <f aca="false">SUM(Z49)</f>
        <v>1.43898</v>
      </c>
    </row>
    <row r="52" customFormat="false" ht="15" hidden="false" customHeight="false" outlineLevel="0" collapsed="false">
      <c r="Q52" s="14" t="s">
        <v>276</v>
      </c>
      <c r="R52" s="14"/>
      <c r="S52" s="14" t="s">
        <v>461</v>
      </c>
      <c r="T52" s="14"/>
    </row>
    <row r="53" customFormat="false" ht="15" hidden="false" customHeight="false" outlineLevel="0" collapsed="false">
      <c r="Q53" s="14" t="s">
        <v>277</v>
      </c>
      <c r="R53" s="14" t="s">
        <v>415</v>
      </c>
      <c r="S53" s="38" t="s">
        <v>279</v>
      </c>
      <c r="T53" s="54" t="n">
        <v>30</v>
      </c>
      <c r="U53" s="38" t="s">
        <v>280</v>
      </c>
      <c r="V53" s="54" t="n">
        <f aca="false">T53</f>
        <v>30</v>
      </c>
      <c r="W53" s="14" t="s">
        <v>281</v>
      </c>
      <c r="Y53" s="38" t="s">
        <v>202</v>
      </c>
      <c r="Z53" s="55" t="n">
        <f aca="false">Z59+Z63+Z67</f>
        <v>66.2342173333333</v>
      </c>
    </row>
    <row r="54" customFormat="false" ht="15" hidden="false" customHeight="false" outlineLevel="0" collapsed="false">
      <c r="Q54" s="14" t="s">
        <v>282</v>
      </c>
      <c r="R54" s="14" t="s">
        <v>283</v>
      </c>
      <c r="V54" s="38" t="s">
        <v>121</v>
      </c>
      <c r="W54" s="38" t="s">
        <v>284</v>
      </c>
      <c r="X54" s="38" t="s">
        <v>285</v>
      </c>
      <c r="Y54" s="38" t="s">
        <v>286</v>
      </c>
      <c r="Z54" s="38" t="s">
        <v>287</v>
      </c>
    </row>
    <row r="55" customFormat="false" ht="15" hidden="false" customHeight="false" outlineLevel="0" collapsed="false">
      <c r="R55" s="56" t="s">
        <v>288</v>
      </c>
    </row>
    <row r="56" customFormat="false" ht="15" hidden="false" customHeight="false" outlineLevel="0" collapsed="false">
      <c r="R56" s="1" t="s">
        <v>649</v>
      </c>
      <c r="V56" s="57" t="s">
        <v>290</v>
      </c>
      <c r="W56" s="58" t="n">
        <v>0.1</v>
      </c>
      <c r="X56" s="59" t="n">
        <f aca="false">W56*8/$V$53</f>
        <v>0.0266666666666667</v>
      </c>
      <c r="Y56" s="1" t="n">
        <v>34.73</v>
      </c>
      <c r="Z56" s="30" t="n">
        <f aca="false">X56*Y56</f>
        <v>0.926133333333333</v>
      </c>
    </row>
    <row r="57" customFormat="false" ht="15" hidden="false" customHeight="false" outlineLevel="0" collapsed="false">
      <c r="R57" s="1" t="s">
        <v>292</v>
      </c>
      <c r="V57" s="57" t="s">
        <v>290</v>
      </c>
      <c r="W57" s="58" t="n">
        <v>1</v>
      </c>
      <c r="X57" s="59" t="n">
        <f aca="false">W57*8/$V$53</f>
        <v>0.266666666666667</v>
      </c>
      <c r="Y57" s="1" t="n">
        <v>20.51</v>
      </c>
      <c r="Z57" s="30" t="n">
        <f aca="false">X57*Y57</f>
        <v>5.46933333333333</v>
      </c>
    </row>
    <row r="58" customFormat="false" ht="15" hidden="false" customHeight="false" outlineLevel="0" collapsed="false">
      <c r="R58" s="1" t="s">
        <v>651</v>
      </c>
      <c r="V58" s="57" t="s">
        <v>290</v>
      </c>
      <c r="W58" s="58" t="n">
        <v>1</v>
      </c>
      <c r="X58" s="59" t="n">
        <f aca="false">W58*8/$V$53</f>
        <v>0.266666666666667</v>
      </c>
      <c r="Y58" s="1" t="n">
        <v>29.94</v>
      </c>
      <c r="Z58" s="30" t="n">
        <f aca="false">X58*Y58</f>
        <v>7.984</v>
      </c>
    </row>
    <row r="59" customFormat="false" ht="15" hidden="false" customHeight="false" outlineLevel="0" collapsed="false">
      <c r="V59" s="57"/>
      <c r="W59" s="58"/>
      <c r="X59" s="59"/>
      <c r="Z59" s="55" t="n">
        <f aca="false">SUM(Z56:Z58)</f>
        <v>14.3794666666667</v>
      </c>
    </row>
    <row r="60" customFormat="false" ht="15" hidden="false" customHeight="false" outlineLevel="0" collapsed="false">
      <c r="R60" s="56" t="s">
        <v>652</v>
      </c>
      <c r="V60" s="57"/>
      <c r="W60" s="58"/>
      <c r="X60" s="59"/>
      <c r="Z60" s="30"/>
    </row>
    <row r="61" customFormat="false" ht="15" hidden="false" customHeight="false" outlineLevel="0" collapsed="false">
      <c r="R61" s="1" t="s">
        <v>653</v>
      </c>
      <c r="V61" s="57" t="s">
        <v>202</v>
      </c>
      <c r="W61" s="58"/>
      <c r="X61" s="59" t="n">
        <v>1.05</v>
      </c>
      <c r="Y61" s="65" t="n">
        <v>44.07</v>
      </c>
      <c r="Z61" s="30" t="n">
        <f aca="false">X61*Y61</f>
        <v>46.2735</v>
      </c>
    </row>
    <row r="62" customFormat="false" ht="15" hidden="false" customHeight="false" outlineLevel="0" collapsed="false">
      <c r="R62" s="1" t="s">
        <v>654</v>
      </c>
      <c r="V62" s="57" t="s">
        <v>202</v>
      </c>
      <c r="W62" s="58"/>
      <c r="X62" s="59" t="n">
        <v>0.08</v>
      </c>
      <c r="Y62" s="1" t="n">
        <v>6.14</v>
      </c>
      <c r="Z62" s="30" t="n">
        <f aca="false">X62*Y62</f>
        <v>0.4912</v>
      </c>
    </row>
    <row r="63" customFormat="false" ht="15" hidden="false" customHeight="false" outlineLevel="0" collapsed="false">
      <c r="V63" s="57"/>
      <c r="X63" s="59"/>
      <c r="Z63" s="55" t="n">
        <f aca="false">SUM(Z61:Z62)</f>
        <v>46.7647</v>
      </c>
    </row>
    <row r="64" customFormat="false" ht="15" hidden="false" customHeight="false" outlineLevel="0" collapsed="false">
      <c r="R64" s="56" t="s">
        <v>308</v>
      </c>
    </row>
    <row r="65" customFormat="false" ht="15" hidden="false" customHeight="false" outlineLevel="0" collapsed="false">
      <c r="R65" s="1" t="s">
        <v>309</v>
      </c>
      <c r="V65" s="57" t="s">
        <v>310</v>
      </c>
      <c r="X65" s="59" t="n">
        <v>3</v>
      </c>
      <c r="Y65" s="30" t="n">
        <f aca="false">Z59</f>
        <v>14.3794666666667</v>
      </c>
      <c r="Z65" s="30" t="n">
        <f aca="false">X65%*Y65</f>
        <v>0.431384</v>
      </c>
    </row>
    <row r="66" customFormat="false" ht="15" hidden="false" customHeight="false" outlineLevel="0" collapsed="false">
      <c r="R66" s="1" t="s">
        <v>655</v>
      </c>
      <c r="V66" s="57" t="s">
        <v>337</v>
      </c>
      <c r="W66" s="58" t="n">
        <v>1</v>
      </c>
      <c r="X66" s="59" t="n">
        <f aca="false">W66*8/$V$53</f>
        <v>0.266666666666667</v>
      </c>
      <c r="Y66" s="1" t="n">
        <v>17.47</v>
      </c>
      <c r="Z66" s="30" t="n">
        <f aca="false">X66*Y66</f>
        <v>4.65866666666667</v>
      </c>
    </row>
    <row r="67" customFormat="false" ht="15" hidden="false" customHeight="false" outlineLevel="0" collapsed="false">
      <c r="Q67" s="62"/>
      <c r="R67" s="62"/>
      <c r="S67" s="62"/>
      <c r="T67" s="62"/>
      <c r="U67" s="62"/>
      <c r="V67" s="62"/>
      <c r="W67" s="62"/>
      <c r="X67" s="62"/>
      <c r="Y67" s="83"/>
      <c r="Z67" s="63" t="n">
        <f aca="false">SUM(Z65:Z66)</f>
        <v>5.09005066666667</v>
      </c>
    </row>
    <row r="69" customFormat="false" ht="15" hidden="false" customHeight="false" outlineLevel="0" collapsed="false">
      <c r="Q69" s="14" t="s">
        <v>276</v>
      </c>
      <c r="R69" s="14"/>
      <c r="S69" s="14" t="s">
        <v>463</v>
      </c>
      <c r="T69" s="14"/>
    </row>
    <row r="70" customFormat="false" ht="15" hidden="false" customHeight="false" outlineLevel="0" collapsed="false">
      <c r="Q70" s="14" t="s">
        <v>277</v>
      </c>
      <c r="R70" s="14" t="s">
        <v>415</v>
      </c>
      <c r="S70" s="38" t="s">
        <v>279</v>
      </c>
      <c r="T70" s="54" t="n">
        <v>40</v>
      </c>
      <c r="U70" s="38" t="s">
        <v>280</v>
      </c>
      <c r="V70" s="54" t="n">
        <f aca="false">T70</f>
        <v>40</v>
      </c>
      <c r="W70" s="14" t="s">
        <v>281</v>
      </c>
      <c r="Y70" s="38" t="s">
        <v>202</v>
      </c>
      <c r="Z70" s="55" t="n">
        <f aca="false">Z76+Z84</f>
        <v>19.29963</v>
      </c>
    </row>
    <row r="71" customFormat="false" ht="15" hidden="false" customHeight="false" outlineLevel="0" collapsed="false">
      <c r="Q71" s="14" t="s">
        <v>282</v>
      </c>
      <c r="R71" s="14" t="s">
        <v>283</v>
      </c>
      <c r="V71" s="38" t="s">
        <v>121</v>
      </c>
      <c r="W71" s="38" t="s">
        <v>284</v>
      </c>
      <c r="X71" s="38" t="s">
        <v>285</v>
      </c>
      <c r="Y71" s="38" t="s">
        <v>286</v>
      </c>
      <c r="Z71" s="38" t="s">
        <v>287</v>
      </c>
    </row>
    <row r="72" customFormat="false" ht="15" hidden="false" customHeight="false" outlineLevel="0" collapsed="false">
      <c r="R72" s="56" t="s">
        <v>288</v>
      </c>
    </row>
    <row r="73" customFormat="false" ht="15" hidden="false" customHeight="false" outlineLevel="0" collapsed="false">
      <c r="R73" s="1" t="s">
        <v>649</v>
      </c>
      <c r="V73" s="57" t="s">
        <v>290</v>
      </c>
      <c r="W73" s="58" t="n">
        <v>0.1</v>
      </c>
      <c r="X73" s="59" t="n">
        <f aca="false">W73*8/$V$70</f>
        <v>0.02</v>
      </c>
      <c r="Y73" s="1" t="n">
        <v>34.73</v>
      </c>
      <c r="Z73" s="30" t="n">
        <f aca="false">X73*Y73</f>
        <v>0.6946</v>
      </c>
    </row>
    <row r="74" customFormat="false" ht="15" hidden="false" customHeight="false" outlineLevel="0" collapsed="false">
      <c r="R74" s="1" t="s">
        <v>292</v>
      </c>
      <c r="V74" s="57" t="s">
        <v>290</v>
      </c>
      <c r="W74" s="58" t="n">
        <v>2</v>
      </c>
      <c r="X74" s="59" t="n">
        <f aca="false">W74*8/$V$70</f>
        <v>0.4</v>
      </c>
      <c r="Y74" s="1" t="n">
        <v>20.51</v>
      </c>
      <c r="Z74" s="30" t="n">
        <f aca="false">X74*Y74</f>
        <v>8.204</v>
      </c>
    </row>
    <row r="75" customFormat="false" ht="15" hidden="false" customHeight="false" outlineLevel="0" collapsed="false">
      <c r="R75" s="1" t="s">
        <v>651</v>
      </c>
      <c r="V75" s="57" t="s">
        <v>290</v>
      </c>
      <c r="W75" s="58" t="n">
        <v>1</v>
      </c>
      <c r="X75" s="59" t="n">
        <f aca="false">W75*8/$V$70</f>
        <v>0.2</v>
      </c>
      <c r="Y75" s="1" t="n">
        <v>29.94</v>
      </c>
      <c r="Z75" s="30" t="n">
        <f aca="false">X75*Y75</f>
        <v>5.988</v>
      </c>
    </row>
    <row r="76" customFormat="false" ht="15" hidden="false" customHeight="false" outlineLevel="0" collapsed="false">
      <c r="Z76" s="55" t="n">
        <f aca="false">SUM(Z73:Z75)</f>
        <v>14.8866</v>
      </c>
    </row>
    <row r="77" customFormat="false" ht="15" hidden="false" customHeight="false" outlineLevel="0" collapsed="false">
      <c r="R77" s="56" t="s">
        <v>652</v>
      </c>
      <c r="V77" s="57"/>
      <c r="W77" s="58"/>
      <c r="X77" s="59"/>
      <c r="Z77" s="30"/>
    </row>
    <row r="78" customFormat="false" ht="15" hidden="false" customHeight="false" outlineLevel="0" collapsed="false">
      <c r="R78" s="1" t="s">
        <v>654</v>
      </c>
      <c r="V78" s="57" t="s">
        <v>202</v>
      </c>
      <c r="W78" s="58"/>
      <c r="X78" s="59" t="n">
        <v>0.08</v>
      </c>
      <c r="Y78" s="1" t="n">
        <v>6.14</v>
      </c>
      <c r="Z78" s="30" t="n">
        <f aca="false">X78*Y78</f>
        <v>0.4912</v>
      </c>
    </row>
    <row r="79" customFormat="false" ht="15" hidden="false" customHeight="false" outlineLevel="0" collapsed="false">
      <c r="V79" s="57"/>
      <c r="X79" s="59"/>
      <c r="Z79" s="55" t="n">
        <f aca="false">SUM(Z78:Z78)</f>
        <v>0.4912</v>
      </c>
    </row>
    <row r="80" customFormat="false" ht="15" hidden="false" customHeight="false" outlineLevel="0" collapsed="false">
      <c r="R80" s="56" t="s">
        <v>308</v>
      </c>
    </row>
    <row r="81" customFormat="false" ht="15" hidden="false" customHeight="false" outlineLevel="0" collapsed="false">
      <c r="R81" s="1" t="s">
        <v>309</v>
      </c>
      <c r="V81" s="57" t="s">
        <v>310</v>
      </c>
      <c r="X81" s="59" t="n">
        <v>5</v>
      </c>
      <c r="Y81" s="30" t="n">
        <f aca="false">Z76</f>
        <v>14.8866</v>
      </c>
      <c r="Z81" s="30" t="n">
        <f aca="false">X81%*Y81</f>
        <v>0.74433</v>
      </c>
    </row>
    <row r="82" customFormat="false" ht="15" hidden="false" customHeight="false" outlineLevel="0" collapsed="false">
      <c r="R82" s="1" t="s">
        <v>655</v>
      </c>
      <c r="V82" s="57" t="s">
        <v>337</v>
      </c>
      <c r="W82" s="58" t="n">
        <v>1</v>
      </c>
      <c r="X82" s="59" t="n">
        <f aca="false">W82*8/$V$70</f>
        <v>0.2</v>
      </c>
      <c r="Y82" s="1" t="n">
        <v>17.47</v>
      </c>
      <c r="Z82" s="30" t="n">
        <f aca="false">X82*Y82</f>
        <v>3.494</v>
      </c>
    </row>
    <row r="83" customFormat="false" ht="15" hidden="false" customHeight="false" outlineLevel="0" collapsed="false">
      <c r="R83" s="1" t="s">
        <v>656</v>
      </c>
      <c r="V83" s="57" t="s">
        <v>337</v>
      </c>
      <c r="W83" s="58" t="n">
        <v>0.05</v>
      </c>
      <c r="X83" s="59" t="n">
        <f aca="false">W83*8/$V$70</f>
        <v>0.01</v>
      </c>
      <c r="Y83" s="1" t="n">
        <v>17.47</v>
      </c>
      <c r="Z83" s="30" t="n">
        <f aca="false">X83*Y83</f>
        <v>0.1747</v>
      </c>
    </row>
    <row r="84" customFormat="false" ht="15" hidden="false" customHeight="false" outlineLevel="0" collapsed="false">
      <c r="Q84" s="62"/>
      <c r="R84" s="62"/>
      <c r="S84" s="62"/>
      <c r="T84" s="62"/>
      <c r="U84" s="62"/>
      <c r="V84" s="62"/>
      <c r="W84" s="62"/>
      <c r="X84" s="62"/>
      <c r="Y84" s="83"/>
      <c r="Z84" s="63" t="n">
        <f aca="false">SUM(Z81:Z83)</f>
        <v>4.41303</v>
      </c>
    </row>
    <row r="86" customFormat="false" ht="15" hidden="false" customHeight="false" outlineLevel="0" collapsed="false">
      <c r="Q86" s="14" t="s">
        <v>276</v>
      </c>
      <c r="R86" s="14"/>
      <c r="S86" s="14" t="s">
        <v>1348</v>
      </c>
      <c r="T86" s="14"/>
    </row>
    <row r="87" customFormat="false" ht="15" hidden="false" customHeight="false" outlineLevel="0" collapsed="false">
      <c r="Q87" s="14" t="s">
        <v>277</v>
      </c>
      <c r="R87" s="14" t="s">
        <v>278</v>
      </c>
      <c r="S87" s="38" t="s">
        <v>279</v>
      </c>
      <c r="T87" s="54" t="n">
        <v>500</v>
      </c>
      <c r="U87" s="38" t="s">
        <v>280</v>
      </c>
      <c r="V87" s="54" t="n">
        <f aca="false">T87</f>
        <v>500</v>
      </c>
      <c r="W87" s="14" t="s">
        <v>281</v>
      </c>
      <c r="Y87" s="38" t="s">
        <v>132</v>
      </c>
      <c r="Z87" s="55" t="n">
        <f aca="false">Z93+Z99</f>
        <v>7.930344</v>
      </c>
    </row>
    <row r="88" customFormat="false" ht="15" hidden="false" customHeight="false" outlineLevel="0" collapsed="false">
      <c r="Q88" s="14" t="s">
        <v>282</v>
      </c>
      <c r="R88" s="14" t="s">
        <v>283</v>
      </c>
      <c r="V88" s="38" t="s">
        <v>121</v>
      </c>
      <c r="W88" s="38" t="s">
        <v>284</v>
      </c>
      <c r="X88" s="38" t="s">
        <v>285</v>
      </c>
      <c r="Y88" s="38" t="s">
        <v>286</v>
      </c>
      <c r="Z88" s="38" t="s">
        <v>287</v>
      </c>
    </row>
    <row r="89" customFormat="false" ht="15" hidden="false" customHeight="false" outlineLevel="0" collapsed="false">
      <c r="R89" s="56" t="s">
        <v>288</v>
      </c>
    </row>
    <row r="90" customFormat="false" ht="15" hidden="false" customHeight="false" outlineLevel="0" collapsed="false">
      <c r="R90" s="1" t="s">
        <v>649</v>
      </c>
      <c r="V90" s="57" t="s">
        <v>290</v>
      </c>
      <c r="W90" s="58" t="n">
        <v>1</v>
      </c>
      <c r="X90" s="59" t="n">
        <f aca="false">W90*8/$T$87</f>
        <v>0.016</v>
      </c>
      <c r="Y90" s="1" t="n">
        <v>34.73</v>
      </c>
      <c r="Z90" s="30" t="n">
        <f aca="false">X90*Y90</f>
        <v>0.55568</v>
      </c>
    </row>
    <row r="91" customFormat="false" ht="15" hidden="false" customHeight="false" outlineLevel="0" collapsed="false">
      <c r="R91" s="1" t="s">
        <v>291</v>
      </c>
      <c r="V91" s="57" t="s">
        <v>290</v>
      </c>
      <c r="W91" s="58" t="n">
        <v>1</v>
      </c>
      <c r="X91" s="59" t="n">
        <f aca="false">W91*8/$T$87</f>
        <v>0.016</v>
      </c>
      <c r="Y91" s="1" t="n">
        <v>23.6</v>
      </c>
      <c r="Z91" s="30" t="n">
        <f aca="false">X91*Y91</f>
        <v>0.3776</v>
      </c>
    </row>
    <row r="92" customFormat="false" ht="15" hidden="false" customHeight="false" outlineLevel="0" collapsed="false">
      <c r="R92" s="1" t="s">
        <v>292</v>
      </c>
      <c r="V92" s="57" t="s">
        <v>290</v>
      </c>
      <c r="W92" s="58" t="n">
        <v>3</v>
      </c>
      <c r="X92" s="59" t="n">
        <f aca="false">W92*8/$T$87</f>
        <v>0.048</v>
      </c>
      <c r="Y92" s="1" t="n">
        <v>20.51</v>
      </c>
      <c r="Z92" s="30" t="n">
        <f aca="false">X92*Y92</f>
        <v>0.98448</v>
      </c>
    </row>
    <row r="93" customFormat="false" ht="15" hidden="false" customHeight="false" outlineLevel="0" collapsed="false">
      <c r="Z93" s="55" t="n">
        <f aca="false">SUM(Z90:Z92)</f>
        <v>1.91776</v>
      </c>
    </row>
    <row r="94" customFormat="false" ht="15" hidden="false" customHeight="false" outlineLevel="0" collapsed="false">
      <c r="R94" s="56" t="s">
        <v>308</v>
      </c>
    </row>
    <row r="95" customFormat="false" ht="15" hidden="false" customHeight="false" outlineLevel="0" collapsed="false">
      <c r="R95" s="1" t="s">
        <v>309</v>
      </c>
      <c r="V95" s="57" t="s">
        <v>310</v>
      </c>
      <c r="X95" s="59" t="n">
        <v>5</v>
      </c>
      <c r="Y95" s="30" t="n">
        <f aca="false">Z90</f>
        <v>0.55568</v>
      </c>
      <c r="Z95" s="30" t="n">
        <f aca="false">X95%*Y95</f>
        <v>0.027784</v>
      </c>
    </row>
    <row r="96" customFormat="false" ht="15" hidden="false" customHeight="true" outlineLevel="0" collapsed="false">
      <c r="R96" s="1" t="s">
        <v>655</v>
      </c>
      <c r="V96" s="57" t="s">
        <v>337</v>
      </c>
      <c r="W96" s="58" t="n">
        <v>1</v>
      </c>
      <c r="X96" s="59" t="n">
        <f aca="false">W96*8/$T$87</f>
        <v>0.016</v>
      </c>
      <c r="Y96" s="1" t="n">
        <v>17.47</v>
      </c>
      <c r="Z96" s="30" t="n">
        <f aca="false">X96*Y96</f>
        <v>0.27952</v>
      </c>
    </row>
    <row r="97" customFormat="false" ht="15" hidden="false" customHeight="true" outlineLevel="0" collapsed="false">
      <c r="R97" s="1" t="s">
        <v>657</v>
      </c>
      <c r="V97" s="57" t="s">
        <v>337</v>
      </c>
      <c r="W97" s="58" t="n">
        <v>1</v>
      </c>
      <c r="X97" s="59" t="n">
        <f aca="false">W97*8/$T$87</f>
        <v>0.016</v>
      </c>
      <c r="Y97" s="1" t="n">
        <v>136.06</v>
      </c>
      <c r="Z97" s="30" t="n">
        <f aca="false">X97*Y97</f>
        <v>2.17696</v>
      </c>
    </row>
    <row r="98" customFormat="false" ht="15" hidden="false" customHeight="true" outlineLevel="0" collapsed="false">
      <c r="R98" s="232" t="s">
        <v>658</v>
      </c>
      <c r="S98" s="232"/>
      <c r="T98" s="232"/>
      <c r="U98" s="232"/>
      <c r="V98" s="57" t="s">
        <v>337</v>
      </c>
      <c r="W98" s="58" t="n">
        <v>1</v>
      </c>
      <c r="X98" s="59" t="n">
        <f aca="false">W98*8/$T$87</f>
        <v>0.016</v>
      </c>
      <c r="Y98" s="1" t="n">
        <v>220.52</v>
      </c>
      <c r="Z98" s="30" t="n">
        <f aca="false">X98*Y98</f>
        <v>3.52832</v>
      </c>
    </row>
    <row r="99" customFormat="false" ht="15" hidden="false" customHeight="false" outlineLevel="0" collapsed="false">
      <c r="Q99" s="62"/>
      <c r="R99" s="62"/>
      <c r="S99" s="62"/>
      <c r="T99" s="62"/>
      <c r="U99" s="62"/>
      <c r="V99" s="62"/>
      <c r="W99" s="62"/>
      <c r="X99" s="62"/>
      <c r="Y99" s="83"/>
      <c r="Z99" s="63" t="n">
        <f aca="false">SUM(Z95:Z98)</f>
        <v>6.012584</v>
      </c>
    </row>
    <row r="101" customFormat="false" ht="15" hidden="false" customHeight="false" outlineLevel="0" collapsed="false">
      <c r="Q101" s="14" t="s">
        <v>276</v>
      </c>
      <c r="R101" s="14"/>
      <c r="S101" s="14" t="s">
        <v>467</v>
      </c>
      <c r="T101" s="14"/>
    </row>
    <row r="102" customFormat="false" ht="15" hidden="false" customHeight="false" outlineLevel="0" collapsed="false">
      <c r="Q102" s="14" t="s">
        <v>277</v>
      </c>
      <c r="R102" s="14" t="s">
        <v>313</v>
      </c>
      <c r="S102" s="38" t="s">
        <v>279</v>
      </c>
      <c r="T102" s="54" t="n">
        <v>80</v>
      </c>
      <c r="U102" s="38" t="s">
        <v>280</v>
      </c>
      <c r="V102" s="54" t="n">
        <f aca="false">T102</f>
        <v>80</v>
      </c>
      <c r="W102" s="14" t="s">
        <v>281</v>
      </c>
      <c r="Y102" s="38" t="s">
        <v>143</v>
      </c>
      <c r="Z102" s="55" t="n">
        <f aca="false">Z106+Z110</f>
        <v>12.11253</v>
      </c>
    </row>
    <row r="103" customFormat="false" ht="15" hidden="false" customHeight="false" outlineLevel="0" collapsed="false">
      <c r="Q103" s="14" t="s">
        <v>282</v>
      </c>
      <c r="R103" s="14" t="s">
        <v>283</v>
      </c>
      <c r="V103" s="38" t="s">
        <v>121</v>
      </c>
      <c r="W103" s="38" t="s">
        <v>284</v>
      </c>
      <c r="X103" s="38" t="s">
        <v>285</v>
      </c>
      <c r="Y103" s="38" t="s">
        <v>286</v>
      </c>
      <c r="Z103" s="38" t="s">
        <v>287</v>
      </c>
    </row>
    <row r="104" customFormat="false" ht="15" hidden="false" customHeight="false" outlineLevel="0" collapsed="false">
      <c r="R104" s="56" t="s">
        <v>288</v>
      </c>
    </row>
    <row r="105" customFormat="false" ht="15" hidden="false" customHeight="false" outlineLevel="0" collapsed="false">
      <c r="R105" s="1" t="s">
        <v>292</v>
      </c>
      <c r="V105" s="57" t="s">
        <v>290</v>
      </c>
      <c r="W105" s="58" t="n">
        <v>1</v>
      </c>
      <c r="X105" s="59" t="n">
        <f aca="false">W105*8/$V$102</f>
        <v>0.1</v>
      </c>
      <c r="Y105" s="1" t="n">
        <v>20.51</v>
      </c>
      <c r="Z105" s="30" t="n">
        <f aca="false">X105*Y105</f>
        <v>2.051</v>
      </c>
    </row>
    <row r="106" customFormat="false" ht="15" hidden="false" customHeight="false" outlineLevel="0" collapsed="false">
      <c r="V106" s="57"/>
      <c r="W106" s="58"/>
      <c r="X106" s="59"/>
      <c r="Z106" s="55" t="n">
        <f aca="false">SUM(Z105:Z105)</f>
        <v>2.051</v>
      </c>
    </row>
    <row r="107" customFormat="false" ht="15" hidden="false" customHeight="false" outlineLevel="0" collapsed="false">
      <c r="R107" s="56" t="s">
        <v>308</v>
      </c>
    </row>
    <row r="108" customFormat="false" ht="15" hidden="false" customHeight="false" outlineLevel="0" collapsed="false">
      <c r="R108" s="1" t="s">
        <v>309</v>
      </c>
      <c r="V108" s="57" t="s">
        <v>310</v>
      </c>
      <c r="X108" s="59" t="n">
        <v>3</v>
      </c>
      <c r="Y108" s="30" t="n">
        <f aca="false">Z106</f>
        <v>2.051</v>
      </c>
      <c r="Z108" s="30" t="n">
        <f aca="false">X108%*Y108</f>
        <v>0.06153</v>
      </c>
    </row>
    <row r="109" customFormat="false" ht="15" hidden="false" customHeight="false" outlineLevel="0" collapsed="false">
      <c r="R109" s="1" t="s">
        <v>659</v>
      </c>
      <c r="V109" s="57" t="s">
        <v>337</v>
      </c>
      <c r="W109" s="58" t="n">
        <v>1</v>
      </c>
      <c r="X109" s="59" t="n">
        <f aca="false">W109*8/$V$102</f>
        <v>0.1</v>
      </c>
      <c r="Y109" s="1" t="n">
        <v>100</v>
      </c>
      <c r="Z109" s="30" t="n">
        <f aca="false">X109*Y109</f>
        <v>10</v>
      </c>
    </row>
    <row r="110" customFormat="false" ht="15" hidden="false" customHeight="false" outlineLevel="0" collapsed="false">
      <c r="Q110" s="62"/>
      <c r="R110" s="62"/>
      <c r="S110" s="62"/>
      <c r="T110" s="62"/>
      <c r="U110" s="62"/>
      <c r="V110" s="62"/>
      <c r="W110" s="62"/>
      <c r="X110" s="62"/>
      <c r="Y110" s="83"/>
      <c r="Z110" s="63" t="n">
        <f aca="false">SUM(Z108:Z109)</f>
        <v>10.06153</v>
      </c>
    </row>
    <row r="112" customFormat="false" ht="15" hidden="false" customHeight="false" outlineLevel="0" collapsed="false">
      <c r="Q112" s="14" t="s">
        <v>276</v>
      </c>
      <c r="R112" s="14"/>
      <c r="S112" s="14" t="s">
        <v>469</v>
      </c>
      <c r="T112" s="14"/>
    </row>
    <row r="113" customFormat="false" ht="15" hidden="false" customHeight="false" outlineLevel="0" collapsed="false">
      <c r="Q113" s="14" t="s">
        <v>277</v>
      </c>
      <c r="R113" s="14" t="s">
        <v>415</v>
      </c>
      <c r="S113" s="38" t="s">
        <v>279</v>
      </c>
      <c r="T113" s="54" t="n">
        <v>187.5</v>
      </c>
      <c r="U113" s="38" t="s">
        <v>280</v>
      </c>
      <c r="V113" s="54" t="n">
        <f aca="false">T113</f>
        <v>187.5</v>
      </c>
      <c r="W113" s="14" t="s">
        <v>281</v>
      </c>
      <c r="Y113" s="38" t="s">
        <v>202</v>
      </c>
      <c r="Z113" s="55" t="n">
        <f aca="false">Z118+Z123</f>
        <v>22.9100074666667</v>
      </c>
    </row>
    <row r="114" customFormat="false" ht="15" hidden="false" customHeight="false" outlineLevel="0" collapsed="false">
      <c r="Q114" s="14" t="s">
        <v>282</v>
      </c>
      <c r="R114" s="14" t="s">
        <v>283</v>
      </c>
      <c r="V114" s="38" t="s">
        <v>121</v>
      </c>
      <c r="W114" s="38" t="s">
        <v>284</v>
      </c>
      <c r="X114" s="38" t="s">
        <v>285</v>
      </c>
      <c r="Y114" s="38" t="s">
        <v>286</v>
      </c>
      <c r="Z114" s="38" t="s">
        <v>287</v>
      </c>
    </row>
    <row r="115" customFormat="false" ht="15" hidden="false" customHeight="false" outlineLevel="0" collapsed="false">
      <c r="R115" s="56" t="s">
        <v>288</v>
      </c>
    </row>
    <row r="116" customFormat="false" ht="15" hidden="false" customHeight="false" outlineLevel="0" collapsed="false">
      <c r="R116" s="1" t="s">
        <v>291</v>
      </c>
      <c r="V116" s="57" t="s">
        <v>290</v>
      </c>
      <c r="W116" s="58" t="n">
        <v>1</v>
      </c>
      <c r="X116" s="59" t="n">
        <f aca="false">W116*8/$V$113</f>
        <v>0.0426666666666667</v>
      </c>
      <c r="Y116" s="1" t="n">
        <v>23.6</v>
      </c>
      <c r="Z116" s="30" t="n">
        <f aca="false">X116*Y116</f>
        <v>1.00693333333333</v>
      </c>
    </row>
    <row r="117" customFormat="false" ht="15" hidden="false" customHeight="false" outlineLevel="0" collapsed="false">
      <c r="R117" s="1" t="s">
        <v>292</v>
      </c>
      <c r="V117" s="57" t="s">
        <v>290</v>
      </c>
      <c r="W117" s="58" t="n">
        <v>1</v>
      </c>
      <c r="X117" s="59" t="n">
        <f aca="false">W117*8/$V$113</f>
        <v>0.0426666666666667</v>
      </c>
      <c r="Y117" s="1" t="n">
        <v>20.51</v>
      </c>
      <c r="Z117" s="30" t="n">
        <f aca="false">X117*Y117</f>
        <v>0.875093333333333</v>
      </c>
    </row>
    <row r="118" customFormat="false" ht="15" hidden="false" customHeight="false" outlineLevel="0" collapsed="false">
      <c r="V118" s="57"/>
      <c r="W118" s="58"/>
      <c r="X118" s="59"/>
      <c r="Z118" s="55" t="n">
        <f aca="false">SUM(Z116:Z117)</f>
        <v>1.88202666666667</v>
      </c>
    </row>
    <row r="119" customFormat="false" ht="15" hidden="false" customHeight="false" outlineLevel="0" collapsed="false">
      <c r="R119" s="56" t="s">
        <v>308</v>
      </c>
    </row>
    <row r="120" customFormat="false" ht="15" hidden="false" customHeight="false" outlineLevel="0" collapsed="false">
      <c r="R120" s="1" t="s">
        <v>309</v>
      </c>
      <c r="V120" s="57" t="s">
        <v>310</v>
      </c>
      <c r="X120" s="59" t="n">
        <v>3</v>
      </c>
      <c r="Y120" s="30" t="n">
        <f aca="false">Z118</f>
        <v>1.88202666666667</v>
      </c>
      <c r="Z120" s="30" t="n">
        <f aca="false">X120%*Y120</f>
        <v>0.0564608</v>
      </c>
    </row>
    <row r="121" customFormat="false" ht="15" hidden="false" customHeight="false" outlineLevel="0" collapsed="false">
      <c r="R121" s="1" t="s">
        <v>660</v>
      </c>
      <c r="V121" s="57" t="s">
        <v>337</v>
      </c>
      <c r="W121" s="58" t="n">
        <v>1</v>
      </c>
      <c r="X121" s="59" t="n">
        <f aca="false">W121*8/$V$113</f>
        <v>0.0426666666666667</v>
      </c>
      <c r="Y121" s="65" t="n">
        <v>118.64</v>
      </c>
      <c r="Z121" s="30" t="n">
        <f aca="false">X121*Y121</f>
        <v>5.06197333333333</v>
      </c>
    </row>
    <row r="122" customFormat="false" ht="15" hidden="false" customHeight="false" outlineLevel="0" collapsed="false">
      <c r="R122" s="1" t="s">
        <v>661</v>
      </c>
      <c r="V122" s="57" t="s">
        <v>337</v>
      </c>
      <c r="W122" s="58" t="n">
        <v>2</v>
      </c>
      <c r="X122" s="59" t="n">
        <f aca="false">W122*8/$V$113</f>
        <v>0.0853333333333333</v>
      </c>
      <c r="Y122" s="65" t="n">
        <v>186.44</v>
      </c>
      <c r="Z122" s="30" t="n">
        <f aca="false">X122*Y122</f>
        <v>15.9095466666667</v>
      </c>
    </row>
    <row r="123" customFormat="false" ht="15" hidden="false" customHeight="false" outlineLevel="0" collapsed="false">
      <c r="Q123" s="62"/>
      <c r="R123" s="62"/>
      <c r="S123" s="62"/>
      <c r="T123" s="62"/>
      <c r="U123" s="62"/>
      <c r="V123" s="62"/>
      <c r="W123" s="62"/>
      <c r="X123" s="62"/>
      <c r="Y123" s="83"/>
      <c r="Z123" s="63" t="n">
        <f aca="false">SUM(Z120:Z122)</f>
        <v>21.0279808</v>
      </c>
    </row>
    <row r="125" customFormat="false" ht="15" hidden="false" customHeight="false" outlineLevel="0" collapsed="false">
      <c r="Q125" s="85" t="s">
        <v>276</v>
      </c>
      <c r="R125" s="85"/>
      <c r="S125" s="85" t="s">
        <v>482</v>
      </c>
      <c r="T125" s="85"/>
    </row>
    <row r="126" customFormat="false" ht="15" hidden="false" customHeight="false" outlineLevel="0" collapsed="false">
      <c r="Q126" s="85" t="s">
        <v>277</v>
      </c>
      <c r="R126" s="85" t="s">
        <v>278</v>
      </c>
      <c r="S126" s="87" t="s">
        <v>279</v>
      </c>
      <c r="T126" s="88" t="n">
        <v>50</v>
      </c>
      <c r="U126" s="87" t="s">
        <v>280</v>
      </c>
      <c r="V126" s="88" t="n">
        <f aca="false">T126</f>
        <v>50</v>
      </c>
      <c r="W126" s="85" t="s">
        <v>281</v>
      </c>
      <c r="Y126" s="87" t="s">
        <v>132</v>
      </c>
      <c r="Z126" s="89" t="n">
        <f aca="false">Z134+Z141+Z145</f>
        <v>238.3435744</v>
      </c>
    </row>
    <row r="127" customFormat="false" ht="15" hidden="false" customHeight="false" outlineLevel="0" collapsed="false">
      <c r="Q127" s="85" t="s">
        <v>282</v>
      </c>
      <c r="R127" s="85" t="s">
        <v>283</v>
      </c>
      <c r="V127" s="87" t="s">
        <v>121</v>
      </c>
      <c r="W127" s="87" t="s">
        <v>284</v>
      </c>
      <c r="X127" s="87" t="s">
        <v>285</v>
      </c>
      <c r="Y127" s="87" t="s">
        <v>286</v>
      </c>
      <c r="Z127" s="87" t="s">
        <v>287</v>
      </c>
    </row>
    <row r="128" customFormat="false" ht="15" hidden="false" customHeight="false" outlineLevel="0" collapsed="false">
      <c r="R128" s="90" t="s">
        <v>288</v>
      </c>
    </row>
    <row r="129" customFormat="false" ht="15" hidden="false" customHeight="false" outlineLevel="0" collapsed="false">
      <c r="R129" s="1" t="s">
        <v>649</v>
      </c>
      <c r="V129" s="57" t="s">
        <v>290</v>
      </c>
      <c r="W129" s="58" t="n">
        <v>0.1</v>
      </c>
      <c r="X129" s="59" t="n">
        <f aca="false">W129*8/$T$126</f>
        <v>0.016</v>
      </c>
      <c r="Y129" s="1" t="n">
        <v>34.73</v>
      </c>
      <c r="Z129" s="30" t="n">
        <f aca="false">X129*Y129</f>
        <v>0.55568</v>
      </c>
    </row>
    <row r="130" customFormat="false" ht="15" hidden="false" customHeight="false" outlineLevel="0" collapsed="false">
      <c r="R130" s="1" t="s">
        <v>289</v>
      </c>
      <c r="V130" s="57" t="s">
        <v>290</v>
      </c>
      <c r="W130" s="58" t="n">
        <v>1</v>
      </c>
      <c r="X130" s="59" t="n">
        <f aca="false">W130*8/$T$126</f>
        <v>0.16</v>
      </c>
      <c r="Y130" s="30" t="n">
        <v>28.94</v>
      </c>
      <c r="Z130" s="30" t="n">
        <f aca="false">X130*Y130</f>
        <v>4.6304</v>
      </c>
    </row>
    <row r="131" customFormat="false" ht="15" hidden="false" customHeight="false" outlineLevel="0" collapsed="false">
      <c r="R131" s="1" t="s">
        <v>291</v>
      </c>
      <c r="V131" s="57" t="s">
        <v>290</v>
      </c>
      <c r="W131" s="58" t="n">
        <v>2</v>
      </c>
      <c r="X131" s="59" t="n">
        <f aca="false">W131*8/$T$126</f>
        <v>0.32</v>
      </c>
      <c r="Y131" s="30" t="n">
        <v>23.6</v>
      </c>
      <c r="Z131" s="30" t="n">
        <f aca="false">X131*Y131</f>
        <v>7.552</v>
      </c>
    </row>
    <row r="132" customFormat="false" ht="15" hidden="false" customHeight="false" outlineLevel="0" collapsed="false">
      <c r="R132" s="1" t="s">
        <v>292</v>
      </c>
      <c r="V132" s="57" t="s">
        <v>290</v>
      </c>
      <c r="W132" s="58" t="n">
        <v>5</v>
      </c>
      <c r="X132" s="59" t="n">
        <f aca="false">W132*8/$T$126</f>
        <v>0.8</v>
      </c>
      <c r="Y132" s="30" t="n">
        <v>21.36</v>
      </c>
      <c r="Z132" s="30" t="n">
        <f aca="false">X132*Y132</f>
        <v>17.088</v>
      </c>
    </row>
    <row r="133" customFormat="false" ht="15" hidden="false" customHeight="false" outlineLevel="0" collapsed="false">
      <c r="R133" s="1" t="s">
        <v>651</v>
      </c>
      <c r="V133" s="57" t="s">
        <v>290</v>
      </c>
      <c r="W133" s="58" t="n">
        <v>1</v>
      </c>
      <c r="X133" s="59" t="n">
        <f aca="false">W133*8/$T$126</f>
        <v>0.16</v>
      </c>
      <c r="Y133" s="1" t="n">
        <v>29.94</v>
      </c>
      <c r="Z133" s="30" t="n">
        <f aca="false">X133*Y133</f>
        <v>4.7904</v>
      </c>
    </row>
    <row r="134" customFormat="false" ht="15" hidden="false" customHeight="false" outlineLevel="0" collapsed="false">
      <c r="V134" s="57"/>
      <c r="W134" s="58"/>
      <c r="X134" s="59"/>
      <c r="Z134" s="89" t="n">
        <f aca="false">SUM(Z129:Z133)</f>
        <v>34.61648</v>
      </c>
    </row>
    <row r="135" customFormat="false" ht="15" hidden="false" customHeight="false" outlineLevel="0" collapsed="false">
      <c r="R135" s="90" t="s">
        <v>652</v>
      </c>
      <c r="V135" s="57"/>
      <c r="W135" s="58"/>
      <c r="X135" s="59"/>
      <c r="Z135" s="30"/>
    </row>
    <row r="136" customFormat="false" ht="15" hidden="false" customHeight="false" outlineLevel="0" collapsed="false">
      <c r="R136" s="1" t="s">
        <v>305</v>
      </c>
      <c r="V136" s="57" t="s">
        <v>306</v>
      </c>
      <c r="X136" s="59" t="n">
        <v>3.8</v>
      </c>
      <c r="Y136" s="30" t="n">
        <v>24.52</v>
      </c>
      <c r="Z136" s="30" t="n">
        <f aca="false">X136*Y136</f>
        <v>93.176</v>
      </c>
    </row>
    <row r="137" customFormat="false" ht="15" hidden="false" customHeight="false" outlineLevel="0" collapsed="false">
      <c r="R137" s="1" t="s">
        <v>654</v>
      </c>
      <c r="V137" s="57" t="s">
        <v>202</v>
      </c>
      <c r="X137" s="59" t="n">
        <v>0.08</v>
      </c>
      <c r="Y137" s="1" t="n">
        <v>6.14</v>
      </c>
      <c r="Z137" s="30" t="n">
        <f aca="false">X137*Y137</f>
        <v>0.4912</v>
      </c>
    </row>
    <row r="138" customFormat="false" ht="15" hidden="false" customHeight="false" outlineLevel="0" collapsed="false">
      <c r="R138" s="1" t="s">
        <v>663</v>
      </c>
      <c r="V138" s="57" t="s">
        <v>437</v>
      </c>
      <c r="X138" s="59" t="n">
        <v>0.5</v>
      </c>
      <c r="Y138" s="1" t="n">
        <v>13.93</v>
      </c>
      <c r="Z138" s="30" t="n">
        <f aca="false">X138*Y138</f>
        <v>6.965</v>
      </c>
    </row>
    <row r="139" customFormat="false" ht="15" hidden="false" customHeight="false" outlineLevel="0" collapsed="false">
      <c r="R139" s="1" t="s">
        <v>311</v>
      </c>
      <c r="V139" s="57" t="s">
        <v>202</v>
      </c>
      <c r="X139" s="59" t="n">
        <v>0.93</v>
      </c>
      <c r="Y139" s="71" t="n">
        <v>70.92</v>
      </c>
      <c r="Z139" s="30" t="n">
        <f aca="false">X139*Y139</f>
        <v>65.9556</v>
      </c>
    </row>
    <row r="140" customFormat="false" ht="15" hidden="false" customHeight="false" outlineLevel="0" collapsed="false">
      <c r="R140" s="1" t="s">
        <v>664</v>
      </c>
      <c r="V140" s="57" t="s">
        <v>202</v>
      </c>
      <c r="X140" s="59" t="n">
        <v>0.4</v>
      </c>
      <c r="Y140" s="71" t="n">
        <v>80</v>
      </c>
      <c r="Z140" s="30" t="n">
        <f aca="false">X140*Y140</f>
        <v>32</v>
      </c>
    </row>
    <row r="141" customFormat="false" ht="15" hidden="false" customHeight="false" outlineLevel="0" collapsed="false">
      <c r="V141" s="57"/>
      <c r="X141" s="59"/>
      <c r="Y141" s="30"/>
      <c r="Z141" s="89" t="n">
        <f aca="false">SUM(Z136:Z140)</f>
        <v>198.5878</v>
      </c>
    </row>
    <row r="142" customFormat="false" ht="15" hidden="false" customHeight="false" outlineLevel="0" collapsed="false">
      <c r="R142" s="90" t="s">
        <v>308</v>
      </c>
    </row>
    <row r="143" customFormat="false" ht="15" hidden="false" customHeight="false" outlineLevel="0" collapsed="false">
      <c r="R143" s="1" t="s">
        <v>309</v>
      </c>
      <c r="V143" s="57" t="s">
        <v>310</v>
      </c>
      <c r="X143" s="59" t="n">
        <v>3</v>
      </c>
      <c r="Y143" s="30" t="n">
        <f aca="false">Z134</f>
        <v>34.61648</v>
      </c>
      <c r="Z143" s="30" t="n">
        <f aca="false">X143%*Y143</f>
        <v>1.0384944</v>
      </c>
    </row>
    <row r="144" customFormat="false" ht="15" hidden="false" customHeight="false" outlineLevel="0" collapsed="false">
      <c r="R144" s="1" t="s">
        <v>665</v>
      </c>
      <c r="V144" s="57" t="s">
        <v>337</v>
      </c>
      <c r="W144" s="58" t="n">
        <v>1</v>
      </c>
      <c r="X144" s="59" t="n">
        <f aca="false">W144*8/$T$126</f>
        <v>0.16</v>
      </c>
      <c r="Y144" s="30" t="n">
        <v>25.63</v>
      </c>
      <c r="Z144" s="30" t="n">
        <f aca="false">X144*Y144</f>
        <v>4.1008</v>
      </c>
    </row>
    <row r="145" customFormat="false" ht="15" hidden="false" customHeight="false" outlineLevel="0" collapsed="false">
      <c r="Q145" s="62"/>
      <c r="R145" s="62"/>
      <c r="S145" s="62"/>
      <c r="T145" s="62"/>
      <c r="U145" s="62"/>
      <c r="V145" s="62"/>
      <c r="W145" s="62"/>
      <c r="X145" s="62"/>
      <c r="Y145" s="62"/>
      <c r="Z145" s="91" t="n">
        <f aca="false">SUM(Z143:Z144)</f>
        <v>5.1392944</v>
      </c>
    </row>
    <row r="151" customFormat="false" ht="15" hidden="false" customHeight="false" outlineLevel="0" collapsed="false">
      <c r="Q151" s="85" t="s">
        <v>276</v>
      </c>
      <c r="R151" s="85"/>
      <c r="S151" s="85" t="s">
        <v>666</v>
      </c>
      <c r="T151" s="85"/>
    </row>
    <row r="152" customFormat="false" ht="15" hidden="false" customHeight="false" outlineLevel="0" collapsed="false">
      <c r="Q152" s="85" t="s">
        <v>277</v>
      </c>
      <c r="R152" s="85" t="s">
        <v>278</v>
      </c>
      <c r="S152" s="87" t="s">
        <v>279</v>
      </c>
      <c r="T152" s="88" t="n">
        <v>110</v>
      </c>
      <c r="U152" s="87" t="s">
        <v>280</v>
      </c>
      <c r="V152" s="88" t="n">
        <f aca="false">T152</f>
        <v>110</v>
      </c>
      <c r="W152" s="85" t="s">
        <v>281</v>
      </c>
      <c r="Y152" s="87" t="s">
        <v>132</v>
      </c>
      <c r="Z152" s="89" t="n">
        <f aca="false">Z158+Z164+Z168</f>
        <v>39.6208818181818</v>
      </c>
    </row>
    <row r="153" customFormat="false" ht="15" hidden="false" customHeight="false" outlineLevel="0" collapsed="false">
      <c r="Q153" s="85" t="s">
        <v>282</v>
      </c>
      <c r="R153" s="85" t="s">
        <v>283</v>
      </c>
      <c r="V153" s="87" t="s">
        <v>121</v>
      </c>
      <c r="W153" s="87" t="s">
        <v>284</v>
      </c>
      <c r="X153" s="87" t="s">
        <v>285</v>
      </c>
      <c r="Y153" s="87" t="s">
        <v>286</v>
      </c>
      <c r="Z153" s="87" t="s">
        <v>287</v>
      </c>
    </row>
    <row r="154" customFormat="false" ht="15" hidden="false" customHeight="false" outlineLevel="0" collapsed="false">
      <c r="R154" s="90" t="s">
        <v>288</v>
      </c>
    </row>
    <row r="155" customFormat="false" ht="15" hidden="false" customHeight="false" outlineLevel="0" collapsed="false">
      <c r="R155" s="1" t="s">
        <v>289</v>
      </c>
      <c r="V155" s="57" t="s">
        <v>290</v>
      </c>
      <c r="W155" s="58" t="n">
        <v>2</v>
      </c>
      <c r="X155" s="59" t="n">
        <f aca="false">W155*8/$T$152</f>
        <v>0.145454545454545</v>
      </c>
      <c r="Y155" s="30" t="n">
        <v>28.94</v>
      </c>
      <c r="Z155" s="30" t="n">
        <f aca="false">X155*Y155</f>
        <v>4.20945454545455</v>
      </c>
    </row>
    <row r="156" customFormat="false" ht="15" hidden="false" customHeight="false" outlineLevel="0" collapsed="false">
      <c r="R156" s="1" t="s">
        <v>291</v>
      </c>
      <c r="V156" s="57" t="s">
        <v>290</v>
      </c>
      <c r="W156" s="58" t="n">
        <v>1</v>
      </c>
      <c r="X156" s="59" t="n">
        <f aca="false">W156*8/$T$152</f>
        <v>0.0727272727272727</v>
      </c>
      <c r="Y156" s="30" t="n">
        <v>23.6</v>
      </c>
      <c r="Z156" s="30" t="n">
        <f aca="false">X156*Y156</f>
        <v>1.71636363636364</v>
      </c>
    </row>
    <row r="157" customFormat="false" ht="15" hidden="false" customHeight="false" outlineLevel="0" collapsed="false">
      <c r="R157" s="1" t="s">
        <v>292</v>
      </c>
      <c r="V157" s="57" t="s">
        <v>290</v>
      </c>
      <c r="W157" s="58" t="n">
        <v>6</v>
      </c>
      <c r="X157" s="59" t="n">
        <f aca="false">W157*8/$T$152</f>
        <v>0.436363636363636</v>
      </c>
      <c r="Y157" s="30" t="n">
        <v>21.36</v>
      </c>
      <c r="Z157" s="30" t="n">
        <f aca="false">X157*Y157</f>
        <v>9.32072727272727</v>
      </c>
    </row>
    <row r="158" customFormat="false" ht="15" hidden="false" customHeight="false" outlineLevel="0" collapsed="false">
      <c r="V158" s="57"/>
      <c r="W158" s="58"/>
      <c r="X158" s="59"/>
      <c r="Z158" s="89" t="n">
        <f aca="false">SUM(Z155:Z157)</f>
        <v>15.2465454545455</v>
      </c>
    </row>
    <row r="159" customFormat="false" ht="15" hidden="false" customHeight="false" outlineLevel="0" collapsed="false">
      <c r="R159" s="90" t="s">
        <v>652</v>
      </c>
      <c r="V159" s="57"/>
      <c r="W159" s="58"/>
      <c r="X159" s="59"/>
      <c r="Z159" s="30"/>
    </row>
    <row r="160" customFormat="false" ht="15" hidden="false" customHeight="false" outlineLevel="0" collapsed="false">
      <c r="R160" s="1" t="s">
        <v>305</v>
      </c>
      <c r="V160" s="57" t="s">
        <v>306</v>
      </c>
      <c r="X160" s="59" t="n">
        <v>0.42</v>
      </c>
      <c r="Y160" s="30" t="n">
        <v>24.52</v>
      </c>
      <c r="Z160" s="30" t="n">
        <f aca="false">X160*Y160</f>
        <v>10.2984</v>
      </c>
    </row>
    <row r="161" customFormat="false" ht="15" hidden="false" customHeight="false" outlineLevel="0" collapsed="false">
      <c r="R161" s="1" t="s">
        <v>654</v>
      </c>
      <c r="V161" s="57" t="s">
        <v>202</v>
      </c>
      <c r="X161" s="59" t="n">
        <v>0.025</v>
      </c>
      <c r="Y161" s="1" t="n">
        <v>6.14</v>
      </c>
      <c r="Z161" s="30" t="n">
        <f aca="false">X161*Y161</f>
        <v>0.1535</v>
      </c>
    </row>
    <row r="162" customFormat="false" ht="15" hidden="false" customHeight="false" outlineLevel="0" collapsed="false">
      <c r="R162" s="1" t="s">
        <v>311</v>
      </c>
      <c r="V162" s="57" t="s">
        <v>202</v>
      </c>
      <c r="X162" s="59" t="n">
        <v>0.162</v>
      </c>
      <c r="Y162" s="71" t="n">
        <v>70.92</v>
      </c>
      <c r="Z162" s="30" t="n">
        <f aca="false">X162*Y162</f>
        <v>11.48904</v>
      </c>
    </row>
    <row r="163" customFormat="false" ht="15" hidden="false" customHeight="false" outlineLevel="0" collapsed="false">
      <c r="R163" s="1" t="s">
        <v>667</v>
      </c>
      <c r="V163" s="57" t="s">
        <v>304</v>
      </c>
      <c r="X163" s="59" t="n">
        <v>0.18</v>
      </c>
      <c r="Y163" s="30" t="n">
        <v>5.8</v>
      </c>
      <c r="Z163" s="30" t="n">
        <f aca="false">X163*Y163</f>
        <v>1.044</v>
      </c>
    </row>
    <row r="164" customFormat="false" ht="15" hidden="false" customHeight="false" outlineLevel="0" collapsed="false">
      <c r="V164" s="57"/>
      <c r="X164" s="59"/>
      <c r="Y164" s="30"/>
      <c r="Z164" s="89" t="n">
        <f aca="false">SUM(Z160:Z163)</f>
        <v>22.98494</v>
      </c>
    </row>
    <row r="165" customFormat="false" ht="15" hidden="false" customHeight="false" outlineLevel="0" collapsed="false">
      <c r="R165" s="90" t="s">
        <v>308</v>
      </c>
    </row>
    <row r="166" customFormat="false" ht="15" hidden="false" customHeight="false" outlineLevel="0" collapsed="false">
      <c r="R166" s="1" t="s">
        <v>309</v>
      </c>
      <c r="V166" s="57" t="s">
        <v>310</v>
      </c>
      <c r="X166" s="59" t="n">
        <v>3</v>
      </c>
      <c r="Y166" s="30" t="n">
        <f aca="false">Z158</f>
        <v>15.2465454545455</v>
      </c>
      <c r="Z166" s="30" t="n">
        <f aca="false">X166%*Y166</f>
        <v>0.457396363636364</v>
      </c>
    </row>
    <row r="167" customFormat="false" ht="15" hidden="false" customHeight="false" outlineLevel="0" collapsed="false">
      <c r="R167" s="1" t="s">
        <v>665</v>
      </c>
      <c r="V167" s="57" t="s">
        <v>337</v>
      </c>
      <c r="W167" s="58" t="n">
        <v>0.5</v>
      </c>
      <c r="X167" s="59" t="n">
        <f aca="false">W167*8/$T$152</f>
        <v>0.0363636363636364</v>
      </c>
      <c r="Y167" s="30" t="n">
        <v>25.63</v>
      </c>
      <c r="Z167" s="30" t="n">
        <f aca="false">X167*Y167</f>
        <v>0.932</v>
      </c>
    </row>
    <row r="168" customFormat="false" ht="15" hidden="false" customHeight="false" outlineLevel="0" collapsed="false">
      <c r="Q168" s="62"/>
      <c r="R168" s="62"/>
      <c r="S168" s="62"/>
      <c r="T168" s="62"/>
      <c r="U168" s="62"/>
      <c r="V168" s="62"/>
      <c r="W168" s="62"/>
      <c r="X168" s="62"/>
      <c r="Y168" s="62"/>
      <c r="Z168" s="91" t="n">
        <f aca="false">SUM(Z166:Z167)</f>
        <v>1.38939636363636</v>
      </c>
    </row>
    <row r="170" customFormat="false" ht="15" hidden="false" customHeight="false" outlineLevel="0" collapsed="false">
      <c r="Q170" s="85" t="s">
        <v>276</v>
      </c>
      <c r="R170" s="85"/>
      <c r="S170" s="85" t="s">
        <v>668</v>
      </c>
      <c r="T170" s="85"/>
    </row>
    <row r="171" customFormat="false" ht="15" hidden="false" customHeight="false" outlineLevel="0" collapsed="false">
      <c r="Q171" s="85" t="s">
        <v>277</v>
      </c>
      <c r="R171" s="85" t="s">
        <v>278</v>
      </c>
      <c r="S171" s="87" t="s">
        <v>279</v>
      </c>
      <c r="T171" s="88" t="n">
        <v>120</v>
      </c>
      <c r="U171" s="87" t="s">
        <v>280</v>
      </c>
      <c r="V171" s="88" t="n">
        <f aca="false">T171</f>
        <v>120</v>
      </c>
      <c r="W171" s="85" t="s">
        <v>281</v>
      </c>
      <c r="Y171" s="87" t="s">
        <v>132</v>
      </c>
      <c r="Z171" s="89" t="n">
        <f aca="false">Z177+Z183+Z187</f>
        <v>27.126394</v>
      </c>
    </row>
    <row r="172" customFormat="false" ht="15" hidden="false" customHeight="false" outlineLevel="0" collapsed="false">
      <c r="Q172" s="85" t="s">
        <v>282</v>
      </c>
      <c r="R172" s="85" t="s">
        <v>283</v>
      </c>
      <c r="V172" s="87" t="s">
        <v>121</v>
      </c>
      <c r="W172" s="87" t="s">
        <v>284</v>
      </c>
      <c r="X172" s="87" t="s">
        <v>285</v>
      </c>
      <c r="Y172" s="87" t="s">
        <v>286</v>
      </c>
      <c r="Z172" s="87" t="s">
        <v>287</v>
      </c>
    </row>
    <row r="173" customFormat="false" ht="15" hidden="false" customHeight="false" outlineLevel="0" collapsed="false">
      <c r="R173" s="90" t="s">
        <v>288</v>
      </c>
    </row>
    <row r="174" customFormat="false" ht="15" hidden="false" customHeight="false" outlineLevel="0" collapsed="false">
      <c r="R174" s="1" t="s">
        <v>289</v>
      </c>
      <c r="V174" s="57" t="s">
        <v>290</v>
      </c>
      <c r="W174" s="58" t="n">
        <v>2</v>
      </c>
      <c r="X174" s="59" t="n">
        <f aca="false">W174*8/$T$171</f>
        <v>0.133333333333333</v>
      </c>
      <c r="Y174" s="30" t="n">
        <v>28.94</v>
      </c>
      <c r="Z174" s="30" t="n">
        <f aca="false">X174*Y174</f>
        <v>3.85866666666667</v>
      </c>
    </row>
    <row r="175" customFormat="false" ht="15" hidden="false" customHeight="false" outlineLevel="0" collapsed="false">
      <c r="R175" s="1" t="s">
        <v>291</v>
      </c>
      <c r="V175" s="57" t="s">
        <v>290</v>
      </c>
      <c r="W175" s="58" t="n">
        <v>2</v>
      </c>
      <c r="X175" s="59" t="n">
        <f aca="false">W175*8/$T$171</f>
        <v>0.133333333333333</v>
      </c>
      <c r="Y175" s="30" t="n">
        <v>23.6</v>
      </c>
      <c r="Z175" s="30" t="n">
        <f aca="false">X175*Y175</f>
        <v>3.14666666666667</v>
      </c>
    </row>
    <row r="176" customFormat="false" ht="15" hidden="false" customHeight="false" outlineLevel="0" collapsed="false">
      <c r="R176" s="1" t="s">
        <v>292</v>
      </c>
      <c r="V176" s="57" t="s">
        <v>290</v>
      </c>
      <c r="W176" s="58" t="n">
        <v>6</v>
      </c>
      <c r="X176" s="59" t="n">
        <f aca="false">W176*8/$T$171</f>
        <v>0.4</v>
      </c>
      <c r="Y176" s="30" t="n">
        <v>21.36</v>
      </c>
      <c r="Z176" s="30" t="n">
        <f aca="false">X176*Y176</f>
        <v>8.544</v>
      </c>
    </row>
    <row r="177" customFormat="false" ht="15" hidden="false" customHeight="false" outlineLevel="0" collapsed="false">
      <c r="V177" s="57"/>
      <c r="W177" s="58"/>
      <c r="X177" s="59"/>
      <c r="Z177" s="89" t="n">
        <f aca="false">SUM(Z174:Z176)</f>
        <v>15.5493333333333</v>
      </c>
    </row>
    <row r="178" customFormat="false" ht="15" hidden="false" customHeight="false" outlineLevel="0" collapsed="false">
      <c r="R178" s="90" t="s">
        <v>652</v>
      </c>
      <c r="V178" s="57"/>
      <c r="W178" s="58"/>
      <c r="X178" s="59"/>
      <c r="Z178" s="30"/>
    </row>
    <row r="179" customFormat="false" ht="15" hidden="false" customHeight="false" outlineLevel="0" collapsed="false">
      <c r="R179" s="1" t="s">
        <v>305</v>
      </c>
      <c r="V179" s="57" t="s">
        <v>306</v>
      </c>
      <c r="X179" s="59" t="n">
        <v>0.19</v>
      </c>
      <c r="Y179" s="30" t="n">
        <v>24.52</v>
      </c>
      <c r="Z179" s="30" t="n">
        <f aca="false">X179*Y179</f>
        <v>4.6588</v>
      </c>
    </row>
    <row r="180" customFormat="false" ht="15" hidden="false" customHeight="false" outlineLevel="0" collapsed="false">
      <c r="R180" s="1" t="s">
        <v>654</v>
      </c>
      <c r="V180" s="57" t="s">
        <v>202</v>
      </c>
      <c r="X180" s="59" t="n">
        <v>0.0081</v>
      </c>
      <c r="Y180" s="1" t="n">
        <v>6.14</v>
      </c>
      <c r="Z180" s="30" t="n">
        <f aca="false">X180*Y180</f>
        <v>0.049734</v>
      </c>
    </row>
    <row r="181" customFormat="false" ht="15" hidden="false" customHeight="false" outlineLevel="0" collapsed="false">
      <c r="R181" s="1" t="s">
        <v>663</v>
      </c>
      <c r="V181" s="57" t="s">
        <v>437</v>
      </c>
      <c r="X181" s="59" t="n">
        <v>0.006</v>
      </c>
      <c r="Y181" s="1" t="n">
        <v>13.93</v>
      </c>
      <c r="Z181" s="30" t="n">
        <f aca="false">X181*Y181</f>
        <v>0.08358</v>
      </c>
    </row>
    <row r="182" customFormat="false" ht="15" hidden="false" customHeight="false" outlineLevel="0" collapsed="false">
      <c r="R182" s="1" t="s">
        <v>311</v>
      </c>
      <c r="V182" s="57" t="s">
        <v>202</v>
      </c>
      <c r="X182" s="59" t="n">
        <v>0.065</v>
      </c>
      <c r="Y182" s="71" t="n">
        <v>70.92</v>
      </c>
      <c r="Z182" s="30" t="n">
        <f aca="false">X182*Y182</f>
        <v>4.6098</v>
      </c>
    </row>
    <row r="183" customFormat="false" ht="15" hidden="false" customHeight="false" outlineLevel="0" collapsed="false">
      <c r="V183" s="57"/>
      <c r="X183" s="59"/>
      <c r="Y183" s="30"/>
      <c r="Z183" s="89" t="n">
        <f aca="false">SUM(Z179:Z182)</f>
        <v>9.401914</v>
      </c>
    </row>
    <row r="184" customFormat="false" ht="15" hidden="false" customHeight="false" outlineLevel="0" collapsed="false">
      <c r="R184" s="90" t="s">
        <v>308</v>
      </c>
    </row>
    <row r="185" customFormat="false" ht="15" hidden="false" customHeight="false" outlineLevel="0" collapsed="false">
      <c r="R185" s="1" t="s">
        <v>309</v>
      </c>
      <c r="V185" s="57" t="s">
        <v>310</v>
      </c>
      <c r="X185" s="59" t="n">
        <v>3</v>
      </c>
      <c r="Y185" s="30" t="n">
        <f aca="false">Z177</f>
        <v>15.5493333333333</v>
      </c>
      <c r="Z185" s="30" t="n">
        <f aca="false">X185%*Y185</f>
        <v>0.46648</v>
      </c>
    </row>
    <row r="186" customFormat="false" ht="15" hidden="false" customHeight="false" outlineLevel="0" collapsed="false">
      <c r="R186" s="1" t="s">
        <v>665</v>
      </c>
      <c r="V186" s="57" t="s">
        <v>337</v>
      </c>
      <c r="W186" s="58" t="n">
        <v>1</v>
      </c>
      <c r="X186" s="59" t="n">
        <f aca="false">W186*8/$T$171</f>
        <v>0.0666666666666667</v>
      </c>
      <c r="Y186" s="30" t="n">
        <v>25.63</v>
      </c>
      <c r="Z186" s="30" t="n">
        <f aca="false">X186*Y186</f>
        <v>1.70866666666667</v>
      </c>
    </row>
    <row r="187" customFormat="false" ht="15" hidden="false" customHeight="false" outlineLevel="0" collapsed="false">
      <c r="Q187" s="62"/>
      <c r="R187" s="62"/>
      <c r="S187" s="62"/>
      <c r="T187" s="62"/>
      <c r="U187" s="62"/>
      <c r="V187" s="62"/>
      <c r="W187" s="62"/>
      <c r="X187" s="62"/>
      <c r="Y187" s="62"/>
      <c r="Z187" s="91" t="n">
        <f aca="false">SUM(Z185:Z186)</f>
        <v>2.17514666666667</v>
      </c>
    </row>
    <row r="189" customFormat="false" ht="15" hidden="false" customHeight="false" outlineLevel="0" collapsed="false">
      <c r="Q189" s="85" t="s">
        <v>276</v>
      </c>
      <c r="R189" s="85"/>
      <c r="S189" s="85" t="s">
        <v>495</v>
      </c>
      <c r="T189" s="85"/>
    </row>
    <row r="190" customFormat="false" ht="15" hidden="false" customHeight="false" outlineLevel="0" collapsed="false">
      <c r="Q190" s="85" t="s">
        <v>277</v>
      </c>
      <c r="R190" s="85" t="s">
        <v>415</v>
      </c>
      <c r="S190" s="87" t="s">
        <v>279</v>
      </c>
      <c r="T190" s="88" t="n">
        <v>25</v>
      </c>
      <c r="U190" s="87" t="s">
        <v>280</v>
      </c>
      <c r="V190" s="88" t="n">
        <f aca="false">T190</f>
        <v>25</v>
      </c>
      <c r="W190" s="85" t="s">
        <v>281</v>
      </c>
      <c r="Y190" s="87" t="s">
        <v>202</v>
      </c>
      <c r="Z190" s="89" t="n">
        <f aca="false">Z196+Z204+Z209</f>
        <v>426.397544</v>
      </c>
    </row>
    <row r="191" customFormat="false" ht="15" hidden="false" customHeight="false" outlineLevel="0" collapsed="false">
      <c r="Q191" s="85" t="s">
        <v>282</v>
      </c>
      <c r="R191" s="85" t="s">
        <v>283</v>
      </c>
      <c r="V191" s="87" t="s">
        <v>121</v>
      </c>
      <c r="W191" s="87" t="s">
        <v>284</v>
      </c>
      <c r="X191" s="87" t="s">
        <v>285</v>
      </c>
      <c r="Y191" s="87" t="s">
        <v>286</v>
      </c>
      <c r="Z191" s="87" t="s">
        <v>287</v>
      </c>
    </row>
    <row r="192" customFormat="false" ht="15" hidden="false" customHeight="false" outlineLevel="0" collapsed="false">
      <c r="R192" s="90" t="s">
        <v>288</v>
      </c>
    </row>
    <row r="193" customFormat="false" ht="15" hidden="false" customHeight="false" outlineLevel="0" collapsed="false">
      <c r="R193" s="1" t="s">
        <v>289</v>
      </c>
      <c r="V193" s="57" t="s">
        <v>290</v>
      </c>
      <c r="W193" s="58" t="n">
        <v>2</v>
      </c>
      <c r="X193" s="59" t="n">
        <f aca="false">W193*8/$T$190</f>
        <v>0.64</v>
      </c>
      <c r="Y193" s="30" t="n">
        <v>28.94</v>
      </c>
      <c r="Z193" s="30" t="n">
        <f aca="false">X193*Y193</f>
        <v>18.5216</v>
      </c>
    </row>
    <row r="194" customFormat="false" ht="15" hidden="false" customHeight="false" outlineLevel="0" collapsed="false">
      <c r="R194" s="1" t="s">
        <v>291</v>
      </c>
      <c r="V194" s="57" t="s">
        <v>290</v>
      </c>
      <c r="W194" s="58" t="n">
        <v>2</v>
      </c>
      <c r="X194" s="59" t="n">
        <f aca="false">W194*8/$T$190</f>
        <v>0.64</v>
      </c>
      <c r="Y194" s="30" t="n">
        <v>23.6</v>
      </c>
      <c r="Z194" s="30" t="n">
        <f aca="false">X194*Y194</f>
        <v>15.104</v>
      </c>
    </row>
    <row r="195" customFormat="false" ht="15" hidden="false" customHeight="false" outlineLevel="0" collapsed="false">
      <c r="R195" s="1" t="s">
        <v>292</v>
      </c>
      <c r="V195" s="57" t="s">
        <v>290</v>
      </c>
      <c r="W195" s="58" t="n">
        <v>6</v>
      </c>
      <c r="X195" s="59" t="n">
        <f aca="false">W195*8/$T$190</f>
        <v>1.92</v>
      </c>
      <c r="Y195" s="30" t="n">
        <v>21.36</v>
      </c>
      <c r="Z195" s="30" t="n">
        <f aca="false">X195*Y195</f>
        <v>41.0112</v>
      </c>
    </row>
    <row r="196" customFormat="false" ht="15" hidden="false" customHeight="false" outlineLevel="0" collapsed="false">
      <c r="V196" s="57"/>
      <c r="W196" s="58"/>
      <c r="X196" s="59"/>
      <c r="Z196" s="89" t="n">
        <f aca="false">SUM(Z193:Z195)</f>
        <v>74.6368</v>
      </c>
    </row>
    <row r="197" customFormat="false" ht="15" hidden="false" customHeight="false" outlineLevel="0" collapsed="false">
      <c r="R197" s="90" t="s">
        <v>652</v>
      </c>
      <c r="V197" s="57"/>
      <c r="W197" s="58"/>
      <c r="X197" s="59"/>
      <c r="Z197" s="30"/>
    </row>
    <row r="198" customFormat="false" ht="15" hidden="false" customHeight="false" outlineLevel="0" collapsed="false">
      <c r="R198" s="1" t="s">
        <v>670</v>
      </c>
      <c r="V198" s="57" t="s">
        <v>202</v>
      </c>
      <c r="X198" s="59" t="n">
        <v>0.53</v>
      </c>
      <c r="Y198" s="30" t="n">
        <v>55.08</v>
      </c>
      <c r="Z198" s="30" t="n">
        <f aca="false">X198*Y198</f>
        <v>29.1924</v>
      </c>
    </row>
    <row r="199" customFormat="false" ht="15" hidden="false" customHeight="false" outlineLevel="0" collapsed="false">
      <c r="R199" s="1" t="s">
        <v>671</v>
      </c>
      <c r="V199" s="57" t="s">
        <v>202</v>
      </c>
      <c r="X199" s="59" t="n">
        <v>0.52</v>
      </c>
      <c r="Y199" s="30" t="n">
        <v>47</v>
      </c>
      <c r="Z199" s="30" t="n">
        <f aca="false">X199*Y199</f>
        <v>24.44</v>
      </c>
    </row>
    <row r="200" customFormat="false" ht="15" hidden="false" customHeight="false" outlineLevel="0" collapsed="false">
      <c r="R200" s="1" t="s">
        <v>305</v>
      </c>
      <c r="V200" s="57" t="s">
        <v>306</v>
      </c>
      <c r="X200" s="59" t="n">
        <v>9.73</v>
      </c>
      <c r="Y200" s="30" t="n">
        <v>24.52</v>
      </c>
      <c r="Z200" s="30" t="n">
        <f aca="false">X200*Y200</f>
        <v>238.5796</v>
      </c>
    </row>
    <row r="201" customFormat="false" ht="15" hidden="false" customHeight="false" outlineLevel="0" collapsed="false">
      <c r="R201" s="1" t="s">
        <v>654</v>
      </c>
      <c r="V201" s="57" t="s">
        <v>202</v>
      </c>
      <c r="X201" s="59" t="n">
        <v>0.186</v>
      </c>
      <c r="Y201" s="1" t="n">
        <v>6.14</v>
      </c>
      <c r="Z201" s="30" t="n">
        <f aca="false">X201*Y201</f>
        <v>1.14204</v>
      </c>
    </row>
    <row r="202" customFormat="false" ht="15" hidden="false" customHeight="false" outlineLevel="0" collapsed="false">
      <c r="R202" s="1" t="s">
        <v>663</v>
      </c>
      <c r="V202" s="57" t="s">
        <v>437</v>
      </c>
      <c r="X202" s="59" t="n">
        <v>0.36</v>
      </c>
      <c r="Y202" s="1" t="n">
        <v>13.93</v>
      </c>
      <c r="Z202" s="30" t="n">
        <f aca="false">X202*Y202</f>
        <v>5.0148</v>
      </c>
    </row>
    <row r="203" customFormat="false" ht="15" hidden="false" customHeight="false" outlineLevel="0" collapsed="false">
      <c r="R203" s="1" t="s">
        <v>672</v>
      </c>
      <c r="V203" s="57" t="s">
        <v>437</v>
      </c>
      <c r="X203" s="59" t="n">
        <v>1.5</v>
      </c>
      <c r="Y203" s="71" t="n">
        <v>27.88</v>
      </c>
      <c r="Z203" s="30" t="n">
        <f aca="false">X203*Y203</f>
        <v>41.82</v>
      </c>
    </row>
    <row r="204" customFormat="false" ht="15" hidden="false" customHeight="false" outlineLevel="0" collapsed="false">
      <c r="V204" s="57"/>
      <c r="X204" s="59"/>
      <c r="Y204" s="30"/>
      <c r="Z204" s="89" t="n">
        <f aca="false">SUM(Z198:Z203)</f>
        <v>340.18884</v>
      </c>
    </row>
    <row r="205" customFormat="false" ht="15" hidden="false" customHeight="false" outlineLevel="0" collapsed="false">
      <c r="R205" s="90" t="s">
        <v>308</v>
      </c>
    </row>
    <row r="206" customFormat="false" ht="15" hidden="false" customHeight="false" outlineLevel="0" collapsed="false">
      <c r="R206" s="1" t="s">
        <v>309</v>
      </c>
      <c r="V206" s="57" t="s">
        <v>310</v>
      </c>
      <c r="X206" s="59" t="n">
        <v>3</v>
      </c>
      <c r="Y206" s="30" t="n">
        <f aca="false">Z196</f>
        <v>74.6368</v>
      </c>
      <c r="Z206" s="30" t="n">
        <f aca="false">X206%*Y206</f>
        <v>2.239104</v>
      </c>
    </row>
    <row r="207" customFormat="false" ht="15" hidden="false" customHeight="false" outlineLevel="0" collapsed="false">
      <c r="R207" s="1" t="s">
        <v>665</v>
      </c>
      <c r="V207" s="57" t="s">
        <v>337</v>
      </c>
      <c r="W207" s="58" t="n">
        <v>1</v>
      </c>
      <c r="X207" s="59" t="n">
        <f aca="false">W207*8/$T$190</f>
        <v>0.32</v>
      </c>
      <c r="Y207" s="30" t="n">
        <v>25.63</v>
      </c>
      <c r="Z207" s="30" t="n">
        <f aca="false">X207*Y207</f>
        <v>8.2016</v>
      </c>
    </row>
    <row r="208" customFormat="false" ht="15" hidden="false" customHeight="false" outlineLevel="0" collapsed="false">
      <c r="R208" s="1" t="s">
        <v>673</v>
      </c>
      <c r="V208" s="57" t="s">
        <v>337</v>
      </c>
      <c r="W208" s="58" t="n">
        <v>0.5</v>
      </c>
      <c r="X208" s="59" t="n">
        <f aca="false">W208*8/$T$190</f>
        <v>0.16</v>
      </c>
      <c r="Y208" s="30" t="n">
        <v>7.07</v>
      </c>
      <c r="Z208" s="30" t="n">
        <f aca="false">X208*Y208</f>
        <v>1.1312</v>
      </c>
    </row>
    <row r="209" customFormat="false" ht="15" hidden="false" customHeight="false" outlineLevel="0" collapsed="false">
      <c r="Q209" s="62"/>
      <c r="R209" s="62"/>
      <c r="S209" s="62"/>
      <c r="T209" s="62"/>
      <c r="U209" s="62"/>
      <c r="V209" s="62"/>
      <c r="W209" s="62"/>
      <c r="X209" s="62"/>
      <c r="Y209" s="62"/>
      <c r="Z209" s="91" t="n">
        <f aca="false">SUM(Z206:Z208)</f>
        <v>11.571904</v>
      </c>
    </row>
    <row r="211" customFormat="false" ht="15" hidden="false" customHeight="false" outlineLevel="0" collapsed="false">
      <c r="Q211" s="85" t="s">
        <v>276</v>
      </c>
      <c r="R211" s="85"/>
      <c r="S211" s="85" t="s">
        <v>1382</v>
      </c>
      <c r="T211" s="85"/>
    </row>
    <row r="212" customFormat="false" ht="15" hidden="false" customHeight="false" outlineLevel="0" collapsed="false">
      <c r="Q212" s="85" t="s">
        <v>277</v>
      </c>
      <c r="R212" s="85" t="s">
        <v>278</v>
      </c>
      <c r="S212" s="87" t="s">
        <v>279</v>
      </c>
      <c r="T212" s="88" t="n">
        <v>8</v>
      </c>
      <c r="U212" s="87" t="s">
        <v>280</v>
      </c>
      <c r="V212" s="88" t="n">
        <f aca="false">T212</f>
        <v>8</v>
      </c>
      <c r="W212" s="85" t="s">
        <v>281</v>
      </c>
      <c r="Y212" s="87" t="s">
        <v>132</v>
      </c>
      <c r="Z212" s="89" t="n">
        <f aca="false">Z217+Z222+Z225</f>
        <v>75.1142</v>
      </c>
    </row>
    <row r="213" customFormat="false" ht="15" hidden="false" customHeight="false" outlineLevel="0" collapsed="false">
      <c r="Q213" s="85" t="s">
        <v>282</v>
      </c>
      <c r="R213" s="85" t="s">
        <v>283</v>
      </c>
      <c r="V213" s="87" t="s">
        <v>121</v>
      </c>
      <c r="W213" s="87" t="s">
        <v>284</v>
      </c>
      <c r="X213" s="87" t="s">
        <v>285</v>
      </c>
      <c r="Y213" s="87" t="s">
        <v>286</v>
      </c>
      <c r="Z213" s="87" t="s">
        <v>287</v>
      </c>
    </row>
    <row r="214" customFormat="false" ht="15" hidden="false" customHeight="false" outlineLevel="0" collapsed="false">
      <c r="R214" s="90" t="s">
        <v>288</v>
      </c>
    </row>
    <row r="215" customFormat="false" ht="15" hidden="false" customHeight="false" outlineLevel="0" collapsed="false">
      <c r="R215" s="1" t="s">
        <v>289</v>
      </c>
      <c r="V215" s="57" t="s">
        <v>290</v>
      </c>
      <c r="W215" s="58" t="n">
        <v>1</v>
      </c>
      <c r="X215" s="59" t="n">
        <f aca="false">W215*8/$T$212</f>
        <v>1</v>
      </c>
      <c r="Y215" s="30" t="n">
        <v>28.94</v>
      </c>
      <c r="Z215" s="30" t="n">
        <f aca="false">X215*Y215</f>
        <v>28.94</v>
      </c>
    </row>
    <row r="216" customFormat="false" ht="15" hidden="false" customHeight="false" outlineLevel="0" collapsed="false">
      <c r="R216" s="1" t="s">
        <v>291</v>
      </c>
      <c r="V216" s="57" t="s">
        <v>290</v>
      </c>
      <c r="W216" s="58" t="n">
        <v>1</v>
      </c>
      <c r="X216" s="59" t="n">
        <f aca="false">W216*8/$T$212</f>
        <v>1</v>
      </c>
      <c r="Y216" s="30" t="n">
        <v>23.6</v>
      </c>
      <c r="Z216" s="30" t="n">
        <f aca="false">X216*Y216</f>
        <v>23.6</v>
      </c>
    </row>
    <row r="217" customFormat="false" ht="15" hidden="false" customHeight="false" outlineLevel="0" collapsed="false">
      <c r="V217" s="57"/>
      <c r="W217" s="58"/>
      <c r="X217" s="59"/>
      <c r="Z217" s="89" t="n">
        <f aca="false">SUM(Z215:Z216)</f>
        <v>52.54</v>
      </c>
    </row>
    <row r="218" customFormat="false" ht="15" hidden="false" customHeight="false" outlineLevel="0" collapsed="false">
      <c r="R218" s="90" t="s">
        <v>652</v>
      </c>
      <c r="V218" s="57"/>
      <c r="W218" s="58"/>
      <c r="X218" s="59"/>
      <c r="Z218" s="30"/>
    </row>
    <row r="219" customFormat="false" ht="15" hidden="false" customHeight="false" outlineLevel="0" collapsed="false">
      <c r="R219" s="1" t="s">
        <v>680</v>
      </c>
      <c r="V219" s="57" t="s">
        <v>295</v>
      </c>
      <c r="X219" s="59" t="n">
        <v>0.26</v>
      </c>
      <c r="Y219" s="30" t="n">
        <v>2.64</v>
      </c>
      <c r="Z219" s="30" t="n">
        <f aca="false">X219*Y219</f>
        <v>0.6864</v>
      </c>
    </row>
    <row r="220" customFormat="false" ht="15" hidden="false" customHeight="false" outlineLevel="0" collapsed="false">
      <c r="R220" s="1" t="s">
        <v>300</v>
      </c>
      <c r="V220" s="57" t="s">
        <v>295</v>
      </c>
      <c r="X220" s="59" t="n">
        <v>0.16</v>
      </c>
      <c r="Y220" s="30" t="n">
        <v>5.51</v>
      </c>
      <c r="Z220" s="30" t="n">
        <f aca="false">X220*Y220</f>
        <v>0.8816</v>
      </c>
    </row>
    <row r="221" customFormat="false" ht="15" hidden="false" customHeight="false" outlineLevel="0" collapsed="false">
      <c r="R221" s="1" t="s">
        <v>667</v>
      </c>
      <c r="V221" s="57" t="s">
        <v>304</v>
      </c>
      <c r="X221" s="59" t="n">
        <v>3.35</v>
      </c>
      <c r="Y221" s="30" t="n">
        <v>5.8</v>
      </c>
      <c r="Z221" s="30" t="n">
        <f aca="false">X221*Y221</f>
        <v>19.43</v>
      </c>
    </row>
    <row r="222" customFormat="false" ht="15" hidden="false" customHeight="false" outlineLevel="0" collapsed="false">
      <c r="V222" s="57"/>
      <c r="X222" s="59"/>
      <c r="Y222" s="30"/>
      <c r="Z222" s="89" t="n">
        <f aca="false">SUM(Z219:Z221)</f>
        <v>20.998</v>
      </c>
    </row>
    <row r="223" customFormat="false" ht="15" hidden="false" customHeight="false" outlineLevel="0" collapsed="false">
      <c r="R223" s="90" t="s">
        <v>308</v>
      </c>
    </row>
    <row r="224" customFormat="false" ht="15" hidden="false" customHeight="false" outlineLevel="0" collapsed="false">
      <c r="R224" s="1" t="s">
        <v>309</v>
      </c>
      <c r="V224" s="57" t="s">
        <v>310</v>
      </c>
      <c r="X224" s="59" t="n">
        <v>3</v>
      </c>
      <c r="Y224" s="30" t="n">
        <f aca="false">Z217</f>
        <v>52.54</v>
      </c>
      <c r="Z224" s="30" t="n">
        <f aca="false">X224%*Y224</f>
        <v>1.5762</v>
      </c>
    </row>
    <row r="225" customFormat="false" ht="15" hidden="false" customHeight="false" outlineLevel="0" collapsed="false">
      <c r="Q225" s="62"/>
      <c r="R225" s="62"/>
      <c r="S225" s="62"/>
      <c r="T225" s="62"/>
      <c r="U225" s="62"/>
      <c r="V225" s="62"/>
      <c r="W225" s="62"/>
      <c r="X225" s="62"/>
      <c r="Y225" s="62"/>
      <c r="Z225" s="91" t="n">
        <f aca="false">SUM(Z224)</f>
        <v>1.5762</v>
      </c>
    </row>
    <row r="228" customFormat="false" ht="15" hidden="false" customHeight="false" outlineLevel="0" collapsed="false">
      <c r="Q228" s="85" t="s">
        <v>276</v>
      </c>
      <c r="R228" s="85"/>
      <c r="S228" s="85" t="s">
        <v>497</v>
      </c>
      <c r="T228" s="85"/>
    </row>
    <row r="229" customFormat="false" ht="15" hidden="false" customHeight="false" outlineLevel="0" collapsed="false">
      <c r="Q229" s="85" t="s">
        <v>277</v>
      </c>
      <c r="R229" s="85" t="s">
        <v>674</v>
      </c>
      <c r="S229" s="87" t="s">
        <v>279</v>
      </c>
      <c r="T229" s="88" t="n">
        <v>250</v>
      </c>
      <c r="U229" s="87" t="s">
        <v>280</v>
      </c>
      <c r="V229" s="88" t="n">
        <f aca="false">T229</f>
        <v>250</v>
      </c>
      <c r="W229" s="85" t="s">
        <v>281</v>
      </c>
      <c r="Y229" s="87" t="s">
        <v>295</v>
      </c>
      <c r="Z229" s="89" t="n">
        <f aca="false">Z234+Z238+Z242</f>
        <v>5.5639628445</v>
      </c>
    </row>
    <row r="230" customFormat="false" ht="15" hidden="false" customHeight="false" outlineLevel="0" collapsed="false">
      <c r="Q230" s="85" t="s">
        <v>282</v>
      </c>
      <c r="R230" s="85" t="s">
        <v>283</v>
      </c>
      <c r="V230" s="87" t="s">
        <v>121</v>
      </c>
      <c r="W230" s="87" t="s">
        <v>284</v>
      </c>
      <c r="X230" s="87" t="s">
        <v>285</v>
      </c>
      <c r="Y230" s="87" t="s">
        <v>286</v>
      </c>
      <c r="Z230" s="87" t="s">
        <v>287</v>
      </c>
    </row>
    <row r="231" customFormat="false" ht="15" hidden="false" customHeight="false" outlineLevel="0" collapsed="false">
      <c r="R231" s="90" t="s">
        <v>288</v>
      </c>
      <c r="W231" s="58"/>
    </row>
    <row r="232" customFormat="false" ht="15" hidden="false" customHeight="false" outlineLevel="0" collapsed="false">
      <c r="R232" s="1" t="s">
        <v>289</v>
      </c>
      <c r="V232" s="57" t="s">
        <v>290</v>
      </c>
      <c r="W232" s="58" t="n">
        <v>1</v>
      </c>
      <c r="X232" s="101" t="n">
        <f aca="false">W232*8/$T$229</f>
        <v>0.032</v>
      </c>
      <c r="Y232" s="30" t="n">
        <v>28.94</v>
      </c>
      <c r="Z232" s="30" t="n">
        <f aca="false">X232*Y232</f>
        <v>0.92608</v>
      </c>
    </row>
    <row r="233" customFormat="false" ht="15" hidden="false" customHeight="false" outlineLevel="0" collapsed="false">
      <c r="R233" s="1" t="s">
        <v>675</v>
      </c>
      <c r="V233" s="57" t="s">
        <v>290</v>
      </c>
      <c r="W233" s="58" t="n">
        <v>1</v>
      </c>
      <c r="X233" s="101" t="n">
        <f aca="false">W233*8/$T$229</f>
        <v>0.032</v>
      </c>
      <c r="Y233" s="30" t="n">
        <v>23.6</v>
      </c>
      <c r="Z233" s="30" t="n">
        <f aca="false">X233*Y233</f>
        <v>0.7552</v>
      </c>
    </row>
    <row r="234" customFormat="false" ht="15" hidden="false" customHeight="false" outlineLevel="0" collapsed="false">
      <c r="V234" s="57"/>
      <c r="W234" s="58"/>
      <c r="Z234" s="89" t="n">
        <f aca="false">SUM(Z232:Z233)</f>
        <v>1.68128</v>
      </c>
    </row>
    <row r="235" customFormat="false" ht="15" hidden="false" customHeight="false" outlineLevel="0" collapsed="false">
      <c r="R235" s="90" t="s">
        <v>293</v>
      </c>
      <c r="V235" s="57"/>
      <c r="W235" s="58"/>
      <c r="X235" s="101"/>
    </row>
    <row r="236" customFormat="false" ht="15" hidden="false" customHeight="false" outlineLevel="0" collapsed="false">
      <c r="R236" s="1" t="s">
        <v>294</v>
      </c>
      <c r="V236" s="57" t="s">
        <v>295</v>
      </c>
      <c r="W236" s="58"/>
      <c r="X236" s="101" t="n">
        <v>0.03</v>
      </c>
      <c r="Y236" s="30" t="n">
        <v>2.64</v>
      </c>
      <c r="Z236" s="30" t="n">
        <f aca="false">X236*Y236</f>
        <v>0.0792</v>
      </c>
    </row>
    <row r="237" customFormat="false" ht="15" hidden="false" customHeight="false" outlineLevel="0" collapsed="false">
      <c r="R237" s="1" t="s">
        <v>676</v>
      </c>
      <c r="V237" s="57" t="s">
        <v>295</v>
      </c>
      <c r="W237" s="58"/>
      <c r="X237" s="101" t="n">
        <v>1.05</v>
      </c>
      <c r="Y237" s="30" t="n">
        <f aca="false">1012.71*3.379/1000</f>
        <v>3.42194709</v>
      </c>
      <c r="Z237" s="30" t="n">
        <f aca="false">X237*Y237</f>
        <v>3.5930444445</v>
      </c>
    </row>
    <row r="238" customFormat="false" ht="15" hidden="false" customHeight="false" outlineLevel="0" collapsed="false">
      <c r="V238" s="57"/>
      <c r="W238" s="58"/>
      <c r="Z238" s="89" t="n">
        <f aca="false">SUM(Z236:Z237)</f>
        <v>3.6722444445</v>
      </c>
    </row>
    <row r="239" customFormat="false" ht="15" hidden="false" customHeight="false" outlineLevel="0" collapsed="false">
      <c r="R239" s="90" t="s">
        <v>317</v>
      </c>
      <c r="V239" s="57"/>
      <c r="W239" s="58"/>
    </row>
    <row r="240" customFormat="false" ht="15" hidden="false" customHeight="false" outlineLevel="0" collapsed="false">
      <c r="R240" s="1" t="s">
        <v>309</v>
      </c>
      <c r="V240" s="57" t="s">
        <v>310</v>
      </c>
      <c r="X240" s="59" t="n">
        <v>3</v>
      </c>
      <c r="Y240" s="30" t="n">
        <f aca="false">Z234</f>
        <v>1.68128</v>
      </c>
      <c r="Z240" s="30" t="n">
        <f aca="false">X240%*Y240</f>
        <v>0.0504384</v>
      </c>
    </row>
    <row r="241" customFormat="false" ht="15" hidden="false" customHeight="false" outlineLevel="0" collapsed="false">
      <c r="R241" s="1" t="s">
        <v>677</v>
      </c>
      <c r="V241" s="57" t="s">
        <v>290</v>
      </c>
      <c r="W241" s="58" t="n">
        <v>1</v>
      </c>
      <c r="X241" s="101" t="n">
        <f aca="false">W241*8/$T$229</f>
        <v>0.032</v>
      </c>
      <c r="Y241" s="65" t="n">
        <v>5</v>
      </c>
      <c r="Z241" s="30" t="n">
        <f aca="false">X241*Y241</f>
        <v>0.16</v>
      </c>
    </row>
    <row r="242" customFormat="false" ht="15" hidden="false" customHeight="false" outlineLevel="0" collapsed="false">
      <c r="Q242" s="62"/>
      <c r="R242" s="62"/>
      <c r="S242" s="62"/>
      <c r="T242" s="62"/>
      <c r="U242" s="62"/>
      <c r="V242" s="62"/>
      <c r="W242" s="62"/>
      <c r="X242" s="62"/>
      <c r="Y242" s="62"/>
      <c r="Z242" s="91" t="n">
        <f aca="false">SUM(Z240:Z241)</f>
        <v>0.2104384</v>
      </c>
    </row>
    <row r="244" customFormat="false" ht="15" hidden="false" customHeight="false" outlineLevel="0" collapsed="false">
      <c r="Q244" s="85" t="s">
        <v>276</v>
      </c>
      <c r="R244" s="85"/>
      <c r="S244" s="85" t="s">
        <v>509</v>
      </c>
      <c r="T244" s="85"/>
    </row>
    <row r="245" customFormat="false" ht="15" hidden="false" customHeight="false" outlineLevel="0" collapsed="false">
      <c r="Q245" s="85" t="s">
        <v>277</v>
      </c>
      <c r="R245" s="85" t="s">
        <v>415</v>
      </c>
      <c r="S245" s="87" t="s">
        <v>279</v>
      </c>
      <c r="T245" s="88" t="n">
        <v>20</v>
      </c>
      <c r="U245" s="87" t="s">
        <v>280</v>
      </c>
      <c r="V245" s="88" t="n">
        <f aca="false">T245</f>
        <v>20</v>
      </c>
      <c r="W245" s="85" t="s">
        <v>281</v>
      </c>
      <c r="Y245" s="87" t="s">
        <v>202</v>
      </c>
      <c r="Z245" s="89" t="n">
        <f aca="false">Z251+Z259+Z264</f>
        <v>438.22652</v>
      </c>
    </row>
    <row r="246" customFormat="false" ht="15" hidden="false" customHeight="false" outlineLevel="0" collapsed="false">
      <c r="Q246" s="85" t="s">
        <v>282</v>
      </c>
      <c r="R246" s="85" t="s">
        <v>283</v>
      </c>
      <c r="V246" s="87" t="s">
        <v>121</v>
      </c>
      <c r="W246" s="87" t="s">
        <v>284</v>
      </c>
      <c r="X246" s="87" t="s">
        <v>285</v>
      </c>
      <c r="Y246" s="87" t="s">
        <v>286</v>
      </c>
      <c r="Z246" s="87" t="s">
        <v>287</v>
      </c>
    </row>
    <row r="247" customFormat="false" ht="15" hidden="false" customHeight="false" outlineLevel="0" collapsed="false">
      <c r="R247" s="90" t="s">
        <v>288</v>
      </c>
    </row>
    <row r="248" customFormat="false" ht="15" hidden="false" customHeight="false" outlineLevel="0" collapsed="false">
      <c r="R248" s="1" t="s">
        <v>289</v>
      </c>
      <c r="V248" s="57" t="s">
        <v>290</v>
      </c>
      <c r="W248" s="58" t="n">
        <v>2</v>
      </c>
      <c r="X248" s="59" t="n">
        <f aca="false">W248*8/$T$245</f>
        <v>0.8</v>
      </c>
      <c r="Y248" s="30" t="n">
        <v>28.94</v>
      </c>
      <c r="Z248" s="30" t="n">
        <f aca="false">X248*Y248</f>
        <v>23.152</v>
      </c>
    </row>
    <row r="249" customFormat="false" ht="15" hidden="false" customHeight="false" outlineLevel="0" collapsed="false">
      <c r="R249" s="1" t="s">
        <v>291</v>
      </c>
      <c r="V249" s="57" t="s">
        <v>290</v>
      </c>
      <c r="W249" s="58" t="n">
        <v>1</v>
      </c>
      <c r="X249" s="59" t="n">
        <f aca="false">W249*8/$T$245</f>
        <v>0.4</v>
      </c>
      <c r="Y249" s="30" t="n">
        <v>23.6</v>
      </c>
      <c r="Z249" s="30" t="n">
        <f aca="false">X249*Y249</f>
        <v>9.44</v>
      </c>
    </row>
    <row r="250" customFormat="false" ht="15" hidden="false" customHeight="false" outlineLevel="0" collapsed="false">
      <c r="R250" s="1" t="s">
        <v>292</v>
      </c>
      <c r="V250" s="57" t="s">
        <v>290</v>
      </c>
      <c r="W250" s="58" t="n">
        <v>6</v>
      </c>
      <c r="X250" s="59" t="n">
        <f aca="false">W250*8/$T$245</f>
        <v>2.4</v>
      </c>
      <c r="Y250" s="30" t="n">
        <v>21.36</v>
      </c>
      <c r="Z250" s="30" t="n">
        <f aca="false">X250*Y250</f>
        <v>51.264</v>
      </c>
    </row>
    <row r="251" customFormat="false" ht="15" hidden="false" customHeight="false" outlineLevel="0" collapsed="false">
      <c r="V251" s="57"/>
      <c r="W251" s="58"/>
      <c r="X251" s="59"/>
      <c r="Z251" s="89" t="n">
        <f aca="false">SUM(Z248:Z250)</f>
        <v>83.856</v>
      </c>
    </row>
    <row r="252" customFormat="false" ht="15" hidden="false" customHeight="false" outlineLevel="0" collapsed="false">
      <c r="R252" s="90" t="s">
        <v>652</v>
      </c>
      <c r="V252" s="57"/>
      <c r="W252" s="58"/>
      <c r="X252" s="59"/>
      <c r="Z252" s="30"/>
    </row>
    <row r="253" customFormat="false" ht="15" hidden="false" customHeight="false" outlineLevel="0" collapsed="false">
      <c r="R253" s="1" t="s">
        <v>670</v>
      </c>
      <c r="V253" s="57" t="s">
        <v>202</v>
      </c>
      <c r="X253" s="59" t="n">
        <v>0.53</v>
      </c>
      <c r="Y253" s="30" t="n">
        <v>55.08</v>
      </c>
      <c r="Z253" s="30" t="n">
        <f aca="false">X253*Y253</f>
        <v>29.1924</v>
      </c>
    </row>
    <row r="254" customFormat="false" ht="15" hidden="false" customHeight="false" outlineLevel="0" collapsed="false">
      <c r="R254" s="1" t="s">
        <v>671</v>
      </c>
      <c r="V254" s="57" t="s">
        <v>202</v>
      </c>
      <c r="X254" s="59" t="n">
        <v>0.52</v>
      </c>
      <c r="Y254" s="30" t="n">
        <v>47</v>
      </c>
      <c r="Z254" s="30" t="n">
        <f aca="false">X254*Y254</f>
        <v>24.44</v>
      </c>
    </row>
    <row r="255" customFormat="false" ht="15" hidden="false" customHeight="false" outlineLevel="0" collapsed="false">
      <c r="R255" s="1" t="s">
        <v>305</v>
      </c>
      <c r="V255" s="57" t="s">
        <v>306</v>
      </c>
      <c r="X255" s="59" t="n">
        <v>9.73</v>
      </c>
      <c r="Y255" s="30" t="n">
        <v>24.52</v>
      </c>
      <c r="Z255" s="30" t="n">
        <f aca="false">X255*Y255</f>
        <v>238.5796</v>
      </c>
    </row>
    <row r="256" customFormat="false" ht="15" hidden="false" customHeight="false" outlineLevel="0" collapsed="false">
      <c r="R256" s="1" t="s">
        <v>654</v>
      </c>
      <c r="V256" s="57" t="s">
        <v>202</v>
      </c>
      <c r="X256" s="59" t="n">
        <v>0.186</v>
      </c>
      <c r="Y256" s="1" t="n">
        <v>6.14</v>
      </c>
      <c r="Z256" s="30" t="n">
        <f aca="false">X256*Y256</f>
        <v>1.14204</v>
      </c>
    </row>
    <row r="257" customFormat="false" ht="15" hidden="false" customHeight="false" outlineLevel="0" collapsed="false">
      <c r="R257" s="1" t="s">
        <v>663</v>
      </c>
      <c r="V257" s="57" t="s">
        <v>437</v>
      </c>
      <c r="X257" s="59" t="n">
        <v>0.36</v>
      </c>
      <c r="Y257" s="1" t="n">
        <v>13.93</v>
      </c>
      <c r="Z257" s="30" t="n">
        <f aca="false">X257*Y257</f>
        <v>5.0148</v>
      </c>
    </row>
    <row r="258" customFormat="false" ht="15" hidden="false" customHeight="false" outlineLevel="0" collapsed="false">
      <c r="R258" s="1" t="s">
        <v>672</v>
      </c>
      <c r="V258" s="57" t="s">
        <v>437</v>
      </c>
      <c r="X258" s="59" t="n">
        <v>1.5</v>
      </c>
      <c r="Y258" s="71" t="n">
        <v>27.88</v>
      </c>
      <c r="Z258" s="30" t="n">
        <f aca="false">X258*Y258</f>
        <v>41.82</v>
      </c>
    </row>
    <row r="259" customFormat="false" ht="15" hidden="false" customHeight="false" outlineLevel="0" collapsed="false">
      <c r="V259" s="57"/>
      <c r="X259" s="59"/>
      <c r="Y259" s="30"/>
      <c r="Z259" s="89" t="n">
        <f aca="false">SUM(Z253:Z258)</f>
        <v>340.18884</v>
      </c>
    </row>
    <row r="260" customFormat="false" ht="15" hidden="false" customHeight="false" outlineLevel="0" collapsed="false">
      <c r="R260" s="90" t="s">
        <v>308</v>
      </c>
    </row>
    <row r="261" customFormat="false" ht="15" hidden="false" customHeight="false" outlineLevel="0" collapsed="false">
      <c r="R261" s="1" t="s">
        <v>309</v>
      </c>
      <c r="V261" s="57" t="s">
        <v>310</v>
      </c>
      <c r="X261" s="59" t="n">
        <v>3</v>
      </c>
      <c r="Y261" s="30" t="n">
        <f aca="false">Z251</f>
        <v>83.856</v>
      </c>
      <c r="Z261" s="30" t="n">
        <f aca="false">X261%*Y261</f>
        <v>2.51568</v>
      </c>
    </row>
    <row r="262" customFormat="false" ht="15" hidden="false" customHeight="false" outlineLevel="0" collapsed="false">
      <c r="R262" s="1" t="s">
        <v>665</v>
      </c>
      <c r="V262" s="57" t="s">
        <v>337</v>
      </c>
      <c r="W262" s="58" t="n">
        <v>1</v>
      </c>
      <c r="X262" s="59" t="n">
        <f aca="false">W262*8/$T$245</f>
        <v>0.4</v>
      </c>
      <c r="Y262" s="30" t="n">
        <v>25.63</v>
      </c>
      <c r="Z262" s="30" t="n">
        <f aca="false">X262*Y262</f>
        <v>10.252</v>
      </c>
    </row>
    <row r="263" customFormat="false" ht="15" hidden="false" customHeight="false" outlineLevel="0" collapsed="false">
      <c r="R263" s="1" t="s">
        <v>673</v>
      </c>
      <c r="V263" s="57" t="s">
        <v>337</v>
      </c>
      <c r="W263" s="58" t="n">
        <v>0.5</v>
      </c>
      <c r="X263" s="59" t="n">
        <f aca="false">W263*8/$T$245</f>
        <v>0.2</v>
      </c>
      <c r="Y263" s="30" t="n">
        <v>7.07</v>
      </c>
      <c r="Z263" s="30" t="n">
        <f aca="false">X263*Y263</f>
        <v>1.414</v>
      </c>
    </row>
    <row r="264" customFormat="false" ht="15" hidden="false" customHeight="false" outlineLevel="0" collapsed="false">
      <c r="Q264" s="62"/>
      <c r="R264" s="62"/>
      <c r="S264" s="62"/>
      <c r="T264" s="62"/>
      <c r="U264" s="62"/>
      <c r="V264" s="62"/>
      <c r="W264" s="62"/>
      <c r="X264" s="62"/>
      <c r="Y264" s="62"/>
      <c r="Z264" s="91" t="n">
        <f aca="false">SUM(Z261:Z263)</f>
        <v>14.18168</v>
      </c>
    </row>
    <row r="265" customFormat="false" ht="15" hidden="false" customHeight="false" outlineLevel="0" collapsed="false">
      <c r="Z265" s="89"/>
    </row>
    <row r="266" customFormat="false" ht="15" hidden="false" customHeight="false" outlineLevel="0" collapsed="false">
      <c r="Q266" s="85" t="s">
        <v>276</v>
      </c>
      <c r="R266" s="85"/>
      <c r="S266" s="85" t="s">
        <v>511</v>
      </c>
      <c r="T266" s="85"/>
    </row>
    <row r="267" customFormat="false" ht="15" hidden="false" customHeight="false" outlineLevel="0" collapsed="false">
      <c r="Q267" s="85" t="s">
        <v>277</v>
      </c>
      <c r="R267" s="85" t="s">
        <v>278</v>
      </c>
      <c r="S267" s="87" t="s">
        <v>279</v>
      </c>
      <c r="T267" s="88" t="n">
        <v>20</v>
      </c>
      <c r="U267" s="87" t="s">
        <v>280</v>
      </c>
      <c r="V267" s="88" t="n">
        <f aca="false">T267</f>
        <v>20</v>
      </c>
      <c r="W267" s="85" t="s">
        <v>281</v>
      </c>
      <c r="Y267" s="87" t="s">
        <v>132</v>
      </c>
      <c r="Z267" s="89" t="n">
        <f aca="false">Z272+Z277+Z280</f>
        <v>64.02696</v>
      </c>
    </row>
    <row r="268" customFormat="false" ht="15" hidden="false" customHeight="false" outlineLevel="0" collapsed="false">
      <c r="Q268" s="85" t="s">
        <v>282</v>
      </c>
      <c r="R268" s="85" t="s">
        <v>283</v>
      </c>
      <c r="V268" s="87" t="s">
        <v>121</v>
      </c>
      <c r="W268" s="87" t="s">
        <v>284</v>
      </c>
      <c r="X268" s="87" t="s">
        <v>285</v>
      </c>
      <c r="Y268" s="87" t="s">
        <v>286</v>
      </c>
      <c r="Z268" s="87" t="s">
        <v>287</v>
      </c>
    </row>
    <row r="269" customFormat="false" ht="15" hidden="false" customHeight="false" outlineLevel="0" collapsed="false">
      <c r="R269" s="90" t="s">
        <v>288</v>
      </c>
      <c r="AC269" s="30"/>
    </row>
    <row r="270" customFormat="false" ht="15" hidden="false" customHeight="false" outlineLevel="0" collapsed="false">
      <c r="R270" s="1" t="s">
        <v>289</v>
      </c>
      <c r="V270" s="57" t="s">
        <v>290</v>
      </c>
      <c r="W270" s="58" t="n">
        <v>2</v>
      </c>
      <c r="X270" s="59" t="n">
        <f aca="false">W270*8/$T$267</f>
        <v>0.8</v>
      </c>
      <c r="Y270" s="30" t="n">
        <v>28.94</v>
      </c>
      <c r="Z270" s="30" t="n">
        <f aca="false">X270*Y270</f>
        <v>23.152</v>
      </c>
      <c r="AC270" s="30"/>
    </row>
    <row r="271" customFormat="false" ht="15" hidden="false" customHeight="false" outlineLevel="0" collapsed="false">
      <c r="R271" s="1" t="s">
        <v>291</v>
      </c>
      <c r="V271" s="57" t="s">
        <v>290</v>
      </c>
      <c r="W271" s="58" t="n">
        <v>2</v>
      </c>
      <c r="X271" s="59" t="n">
        <f aca="false">W271*8/$T$267</f>
        <v>0.8</v>
      </c>
      <c r="Y271" s="30" t="n">
        <v>23.6</v>
      </c>
      <c r="Z271" s="30" t="n">
        <f aca="false">X271*Y271</f>
        <v>18.88</v>
      </c>
    </row>
    <row r="272" customFormat="false" ht="15" hidden="false" customHeight="false" outlineLevel="0" collapsed="false">
      <c r="V272" s="57"/>
      <c r="W272" s="58"/>
      <c r="X272" s="59"/>
      <c r="Z272" s="89" t="n">
        <f aca="false">SUM(Z270:Z271)</f>
        <v>42.032</v>
      </c>
    </row>
    <row r="273" customFormat="false" ht="15" hidden="false" customHeight="false" outlineLevel="0" collapsed="false">
      <c r="R273" s="90" t="s">
        <v>652</v>
      </c>
      <c r="V273" s="57"/>
      <c r="W273" s="58"/>
      <c r="X273" s="59"/>
      <c r="Z273" s="30"/>
    </row>
    <row r="274" customFormat="false" ht="15" hidden="false" customHeight="false" outlineLevel="0" collapsed="false">
      <c r="R274" s="1" t="s">
        <v>680</v>
      </c>
      <c r="V274" s="57" t="s">
        <v>295</v>
      </c>
      <c r="X274" s="59" t="n">
        <v>0.16</v>
      </c>
      <c r="Y274" s="30" t="n">
        <v>2.64</v>
      </c>
      <c r="Z274" s="30" t="n">
        <f aca="false">X274*Y274</f>
        <v>0.4224</v>
      </c>
    </row>
    <row r="275" customFormat="false" ht="15" hidden="false" customHeight="false" outlineLevel="0" collapsed="false">
      <c r="R275" s="1" t="s">
        <v>300</v>
      </c>
      <c r="V275" s="57" t="s">
        <v>295</v>
      </c>
      <c r="X275" s="59" t="n">
        <v>0.16</v>
      </c>
      <c r="Y275" s="30" t="n">
        <v>5.51</v>
      </c>
      <c r="Z275" s="30" t="n">
        <f aca="false">X275*Y275</f>
        <v>0.8816</v>
      </c>
    </row>
    <row r="276" customFormat="false" ht="15" hidden="false" customHeight="false" outlineLevel="0" collapsed="false">
      <c r="R276" s="1" t="s">
        <v>667</v>
      </c>
      <c r="V276" s="57" t="s">
        <v>304</v>
      </c>
      <c r="X276" s="59" t="n">
        <v>3.35</v>
      </c>
      <c r="Y276" s="30" t="n">
        <v>5.8</v>
      </c>
      <c r="Z276" s="30" t="n">
        <f aca="false">X276*Y276</f>
        <v>19.43</v>
      </c>
    </row>
    <row r="277" customFormat="false" ht="15" hidden="false" customHeight="false" outlineLevel="0" collapsed="false">
      <c r="V277" s="57"/>
      <c r="X277" s="59"/>
      <c r="Y277" s="30"/>
      <c r="Z277" s="89" t="n">
        <f aca="false">SUM(Z274:Z276)</f>
        <v>20.734</v>
      </c>
    </row>
    <row r="278" customFormat="false" ht="15" hidden="false" customHeight="false" outlineLevel="0" collapsed="false">
      <c r="R278" s="90" t="s">
        <v>308</v>
      </c>
    </row>
    <row r="279" customFormat="false" ht="15" hidden="false" customHeight="false" outlineLevel="0" collapsed="false">
      <c r="R279" s="1" t="s">
        <v>309</v>
      </c>
      <c r="V279" s="57" t="s">
        <v>310</v>
      </c>
      <c r="X279" s="59" t="n">
        <v>3</v>
      </c>
      <c r="Y279" s="30" t="n">
        <f aca="false">Z272</f>
        <v>42.032</v>
      </c>
      <c r="Z279" s="30" t="n">
        <f aca="false">X279%*Y279</f>
        <v>1.26096</v>
      </c>
    </row>
    <row r="280" customFormat="false" ht="15" hidden="false" customHeight="false" outlineLevel="0" collapsed="false">
      <c r="Q280" s="62"/>
      <c r="R280" s="62"/>
      <c r="S280" s="62"/>
      <c r="T280" s="62"/>
      <c r="U280" s="62"/>
      <c r="V280" s="62"/>
      <c r="W280" s="62"/>
      <c r="X280" s="62"/>
      <c r="Y280" s="62"/>
      <c r="Z280" s="91" t="n">
        <f aca="false">SUM(Z279)</f>
        <v>1.26096</v>
      </c>
    </row>
    <row r="281" customFormat="false" ht="15" hidden="false" customHeight="false" outlineLevel="0" collapsed="false">
      <c r="Z281" s="89"/>
    </row>
    <row r="282" customFormat="false" ht="15" hidden="false" customHeight="false" outlineLevel="0" collapsed="false">
      <c r="Q282" s="85" t="s">
        <v>276</v>
      </c>
      <c r="R282" s="85"/>
      <c r="S282" s="85" t="s">
        <v>681</v>
      </c>
      <c r="T282" s="85"/>
    </row>
    <row r="283" customFormat="false" ht="15" hidden="false" customHeight="false" outlineLevel="0" collapsed="false">
      <c r="Q283" s="85" t="s">
        <v>277</v>
      </c>
      <c r="R283" s="85" t="s">
        <v>674</v>
      </c>
      <c r="S283" s="87" t="s">
        <v>279</v>
      </c>
      <c r="T283" s="88" t="n">
        <v>250</v>
      </c>
      <c r="U283" s="87" t="s">
        <v>280</v>
      </c>
      <c r="V283" s="88" t="n">
        <f aca="false">T283</f>
        <v>250</v>
      </c>
      <c r="W283" s="85" t="s">
        <v>281</v>
      </c>
      <c r="Y283" s="87" t="s">
        <v>295</v>
      </c>
      <c r="Z283" s="89" t="n">
        <f aca="false">Z289+Z293+Z297</f>
        <v>5.5639628445</v>
      </c>
    </row>
    <row r="284" customFormat="false" ht="15" hidden="false" customHeight="false" outlineLevel="0" collapsed="false">
      <c r="Q284" s="85" t="s">
        <v>282</v>
      </c>
      <c r="R284" s="85" t="s">
        <v>283</v>
      </c>
      <c r="V284" s="87" t="s">
        <v>121</v>
      </c>
      <c r="W284" s="87" t="s">
        <v>284</v>
      </c>
      <c r="X284" s="87" t="s">
        <v>285</v>
      </c>
      <c r="Y284" s="87" t="s">
        <v>286</v>
      </c>
      <c r="Z284" s="87" t="s">
        <v>287</v>
      </c>
    </row>
    <row r="285" customFormat="false" ht="15" hidden="false" customHeight="false" outlineLevel="0" collapsed="false">
      <c r="R285" s="90" t="s">
        <v>288</v>
      </c>
      <c r="W285" s="58"/>
    </row>
    <row r="286" customFormat="false" ht="15" hidden="false" customHeight="false" outlineLevel="0" collapsed="false">
      <c r="R286" s="1" t="s">
        <v>289</v>
      </c>
      <c r="V286" s="57" t="s">
        <v>290</v>
      </c>
      <c r="W286" s="58" t="n">
        <v>1</v>
      </c>
      <c r="X286" s="101" t="n">
        <f aca="false">W286*8/$T$229</f>
        <v>0.032</v>
      </c>
      <c r="Y286" s="30" t="n">
        <v>28.94</v>
      </c>
      <c r="Z286" s="30" t="n">
        <f aca="false">X286*Y286</f>
        <v>0.92608</v>
      </c>
    </row>
    <row r="287" customFormat="false" ht="15" hidden="false" customHeight="false" outlineLevel="0" collapsed="false">
      <c r="R287" s="1" t="s">
        <v>675</v>
      </c>
      <c r="V287" s="57" t="s">
        <v>290</v>
      </c>
      <c r="W287" s="58" t="n">
        <v>1</v>
      </c>
      <c r="X287" s="101" t="n">
        <f aca="false">W287*8/$T$229</f>
        <v>0.032</v>
      </c>
      <c r="Y287" s="30" t="n">
        <v>23.6</v>
      </c>
      <c r="Z287" s="30" t="n">
        <f aca="false">X287*Y287</f>
        <v>0.7552</v>
      </c>
    </row>
    <row r="288" customFormat="false" ht="15" hidden="false" customHeight="false" outlineLevel="0" collapsed="false">
      <c r="V288" s="57"/>
      <c r="W288" s="58"/>
      <c r="X288" s="101"/>
      <c r="Y288" s="30"/>
      <c r="Z288" s="30"/>
    </row>
    <row r="289" customFormat="false" ht="15" hidden="false" customHeight="false" outlineLevel="0" collapsed="false">
      <c r="V289" s="57"/>
      <c r="W289" s="58"/>
      <c r="Z289" s="89" t="n">
        <f aca="false">SUM(Z286:Z288)</f>
        <v>1.68128</v>
      </c>
    </row>
    <row r="290" customFormat="false" ht="15" hidden="false" customHeight="false" outlineLevel="0" collapsed="false">
      <c r="R290" s="90" t="s">
        <v>293</v>
      </c>
      <c r="V290" s="57"/>
      <c r="W290" s="58"/>
      <c r="X290" s="101"/>
    </row>
    <row r="291" customFormat="false" ht="15" hidden="false" customHeight="false" outlineLevel="0" collapsed="false">
      <c r="R291" s="1" t="s">
        <v>294</v>
      </c>
      <c r="V291" s="57" t="s">
        <v>295</v>
      </c>
      <c r="W291" s="58"/>
      <c r="X291" s="101" t="n">
        <v>0.03</v>
      </c>
      <c r="Y291" s="30" t="n">
        <v>2.64</v>
      </c>
      <c r="Z291" s="30" t="n">
        <f aca="false">X291*Y291</f>
        <v>0.0792</v>
      </c>
    </row>
    <row r="292" customFormat="false" ht="15" hidden="false" customHeight="false" outlineLevel="0" collapsed="false">
      <c r="R292" s="1" t="s">
        <v>676</v>
      </c>
      <c r="V292" s="57" t="s">
        <v>295</v>
      </c>
      <c r="W292" s="58"/>
      <c r="X292" s="101" t="n">
        <v>1.05</v>
      </c>
      <c r="Y292" s="30" t="n">
        <f aca="false">1012.71*3.379/1000</f>
        <v>3.42194709</v>
      </c>
      <c r="Z292" s="30" t="n">
        <f aca="false">X292*Y292</f>
        <v>3.5930444445</v>
      </c>
    </row>
    <row r="293" customFormat="false" ht="15" hidden="false" customHeight="false" outlineLevel="0" collapsed="false">
      <c r="V293" s="57"/>
      <c r="W293" s="58"/>
      <c r="Z293" s="89" t="n">
        <f aca="false">SUM(Z291:Z292)</f>
        <v>3.6722444445</v>
      </c>
    </row>
    <row r="294" customFormat="false" ht="15" hidden="false" customHeight="false" outlineLevel="0" collapsed="false">
      <c r="R294" s="90" t="s">
        <v>317</v>
      </c>
      <c r="V294" s="57"/>
      <c r="W294" s="58"/>
    </row>
    <row r="295" customFormat="false" ht="15" hidden="false" customHeight="false" outlineLevel="0" collapsed="false">
      <c r="R295" s="1" t="s">
        <v>309</v>
      </c>
      <c r="V295" s="57" t="s">
        <v>310</v>
      </c>
      <c r="X295" s="59" t="n">
        <v>3</v>
      </c>
      <c r="Y295" s="30" t="n">
        <f aca="false">Z289</f>
        <v>1.68128</v>
      </c>
      <c r="Z295" s="30" t="n">
        <f aca="false">X295%*Y295</f>
        <v>0.0504384</v>
      </c>
    </row>
    <row r="296" customFormat="false" ht="15" hidden="false" customHeight="false" outlineLevel="0" collapsed="false">
      <c r="R296" s="1" t="s">
        <v>677</v>
      </c>
      <c r="V296" s="57" t="s">
        <v>290</v>
      </c>
      <c r="W296" s="58" t="n">
        <v>1</v>
      </c>
      <c r="X296" s="59" t="n">
        <f aca="false">W296*8/$T$283</f>
        <v>0.032</v>
      </c>
      <c r="Y296" s="65" t="n">
        <v>5</v>
      </c>
      <c r="Z296" s="30" t="n">
        <f aca="false">X296*Y296</f>
        <v>0.16</v>
      </c>
    </row>
    <row r="297" customFormat="false" ht="15" hidden="false" customHeight="false" outlineLevel="0" collapsed="false">
      <c r="Q297" s="62"/>
      <c r="R297" s="62"/>
      <c r="S297" s="62"/>
      <c r="T297" s="62"/>
      <c r="U297" s="62"/>
      <c r="V297" s="62"/>
      <c r="W297" s="62"/>
      <c r="X297" s="62"/>
      <c r="Y297" s="62"/>
      <c r="Z297" s="91" t="n">
        <f aca="false">SUM(Z295:Z296)</f>
        <v>0.2104384</v>
      </c>
    </row>
    <row r="300" customFormat="false" ht="15" hidden="false" customHeight="false" outlineLevel="0" collapsed="false">
      <c r="Q300" s="85" t="s">
        <v>276</v>
      </c>
      <c r="R300" s="85"/>
      <c r="S300" s="85" t="s">
        <v>682</v>
      </c>
      <c r="T300" s="85"/>
    </row>
    <row r="301" customFormat="false" ht="15" hidden="false" customHeight="false" outlineLevel="0" collapsed="false">
      <c r="Q301" s="85" t="s">
        <v>277</v>
      </c>
      <c r="R301" s="85" t="s">
        <v>415</v>
      </c>
      <c r="S301" s="87" t="s">
        <v>279</v>
      </c>
      <c r="T301" s="88" t="n">
        <v>15</v>
      </c>
      <c r="U301" s="87" t="s">
        <v>280</v>
      </c>
      <c r="V301" s="88" t="n">
        <f aca="false">T301</f>
        <v>15</v>
      </c>
      <c r="W301" s="85" t="s">
        <v>281</v>
      </c>
      <c r="Y301" s="87" t="s">
        <v>202</v>
      </c>
      <c r="Z301" s="89" t="n">
        <f aca="false">Z307+Z314+Z319</f>
        <v>424.9218</v>
      </c>
    </row>
    <row r="302" customFormat="false" ht="15" hidden="false" customHeight="false" outlineLevel="0" collapsed="false">
      <c r="Q302" s="85" t="s">
        <v>282</v>
      </c>
      <c r="R302" s="85" t="s">
        <v>283</v>
      </c>
      <c r="V302" s="87" t="s">
        <v>121</v>
      </c>
      <c r="W302" s="87" t="s">
        <v>284</v>
      </c>
      <c r="X302" s="87" t="s">
        <v>285</v>
      </c>
      <c r="Y302" s="87" t="s">
        <v>286</v>
      </c>
      <c r="Z302" s="87" t="s">
        <v>287</v>
      </c>
    </row>
    <row r="303" customFormat="false" ht="15" hidden="false" customHeight="false" outlineLevel="0" collapsed="false">
      <c r="R303" s="90" t="s">
        <v>288</v>
      </c>
    </row>
    <row r="304" customFormat="false" ht="15" hidden="false" customHeight="false" outlineLevel="0" collapsed="false">
      <c r="R304" s="1" t="s">
        <v>289</v>
      </c>
      <c r="V304" s="57" t="s">
        <v>290</v>
      </c>
      <c r="W304" s="58" t="n">
        <v>1</v>
      </c>
      <c r="X304" s="59" t="n">
        <f aca="false">W304*8/$T$301</f>
        <v>0.533333333333333</v>
      </c>
      <c r="Y304" s="30" t="n">
        <v>28.94</v>
      </c>
      <c r="Z304" s="30" t="n">
        <f aca="false">X304*Y304</f>
        <v>15.4346666666667</v>
      </c>
    </row>
    <row r="305" customFormat="false" ht="15" hidden="false" customHeight="false" outlineLevel="0" collapsed="false">
      <c r="R305" s="1" t="s">
        <v>291</v>
      </c>
      <c r="V305" s="57" t="s">
        <v>290</v>
      </c>
      <c r="W305" s="58" t="n">
        <v>1</v>
      </c>
      <c r="X305" s="59" t="n">
        <f aca="false">W305*8/$T$301</f>
        <v>0.533333333333333</v>
      </c>
      <c r="Y305" s="30" t="n">
        <v>23.6</v>
      </c>
      <c r="Z305" s="30" t="n">
        <f aca="false">X305*Y305</f>
        <v>12.5866666666667</v>
      </c>
    </row>
    <row r="306" customFormat="false" ht="15" hidden="false" customHeight="false" outlineLevel="0" collapsed="false">
      <c r="R306" s="1" t="s">
        <v>292</v>
      </c>
      <c r="V306" s="57" t="s">
        <v>290</v>
      </c>
      <c r="W306" s="58" t="n">
        <v>7</v>
      </c>
      <c r="X306" s="59" t="n">
        <f aca="false">W306*8/$T$301</f>
        <v>3.73333333333333</v>
      </c>
      <c r="Y306" s="30" t="n">
        <v>21.36</v>
      </c>
      <c r="Z306" s="30" t="n">
        <f aca="false">X306*Y306</f>
        <v>79.744</v>
      </c>
    </row>
    <row r="307" customFormat="false" ht="15" hidden="false" customHeight="false" outlineLevel="0" collapsed="false">
      <c r="V307" s="57"/>
      <c r="W307" s="58"/>
      <c r="X307" s="59"/>
      <c r="Z307" s="89" t="n">
        <f aca="false">SUM(Z304:Z306)</f>
        <v>107.765333333333</v>
      </c>
    </row>
    <row r="308" customFormat="false" ht="15" hidden="false" customHeight="false" outlineLevel="0" collapsed="false">
      <c r="R308" s="90" t="s">
        <v>652</v>
      </c>
      <c r="V308" s="57"/>
      <c r="W308" s="58"/>
      <c r="X308" s="59"/>
      <c r="Z308" s="30"/>
    </row>
    <row r="309" customFormat="false" ht="15" hidden="false" customHeight="false" outlineLevel="0" collapsed="false">
      <c r="R309" s="1" t="s">
        <v>670</v>
      </c>
      <c r="V309" s="57" t="s">
        <v>202</v>
      </c>
      <c r="X309" s="59" t="n">
        <v>0.53</v>
      </c>
      <c r="Y309" s="30" t="n">
        <v>55.08</v>
      </c>
      <c r="Z309" s="30" t="n">
        <f aca="false">X309*Y309</f>
        <v>29.1924</v>
      </c>
    </row>
    <row r="310" customFormat="false" ht="15" hidden="false" customHeight="false" outlineLevel="0" collapsed="false">
      <c r="R310" s="1" t="s">
        <v>671</v>
      </c>
      <c r="V310" s="57" t="s">
        <v>202</v>
      </c>
      <c r="X310" s="59" t="n">
        <v>0.52</v>
      </c>
      <c r="Y310" s="30" t="n">
        <v>47</v>
      </c>
      <c r="Z310" s="30" t="n">
        <f aca="false">X310*Y310</f>
        <v>24.44</v>
      </c>
    </row>
    <row r="311" customFormat="false" ht="15" hidden="false" customHeight="false" outlineLevel="0" collapsed="false">
      <c r="R311" s="1" t="s">
        <v>305</v>
      </c>
      <c r="V311" s="57" t="s">
        <v>306</v>
      </c>
      <c r="X311" s="59" t="n">
        <v>9.73</v>
      </c>
      <c r="Y311" s="30" t="n">
        <v>24.52</v>
      </c>
      <c r="Z311" s="30" t="n">
        <f aca="false">X311*Y311</f>
        <v>238.5796</v>
      </c>
    </row>
    <row r="312" customFormat="false" ht="15" hidden="false" customHeight="false" outlineLevel="0" collapsed="false">
      <c r="R312" s="1" t="s">
        <v>654</v>
      </c>
      <c r="V312" s="57" t="s">
        <v>202</v>
      </c>
      <c r="X312" s="59" t="n">
        <v>0.186</v>
      </c>
      <c r="Y312" s="1" t="n">
        <v>6.14</v>
      </c>
      <c r="Z312" s="30" t="n">
        <f aca="false">X312*Y312</f>
        <v>1.14204</v>
      </c>
    </row>
    <row r="313" customFormat="false" ht="15" hidden="false" customHeight="false" outlineLevel="0" collapsed="false">
      <c r="R313" s="1" t="s">
        <v>663</v>
      </c>
      <c r="V313" s="57" t="s">
        <v>437</v>
      </c>
      <c r="X313" s="59" t="n">
        <v>0.36</v>
      </c>
      <c r="Y313" s="1" t="n">
        <v>13.93</v>
      </c>
      <c r="Z313" s="30" t="n">
        <f aca="false">X313*Y313</f>
        <v>5.0148</v>
      </c>
    </row>
    <row r="314" customFormat="false" ht="15" hidden="false" customHeight="false" outlineLevel="0" collapsed="false">
      <c r="V314" s="57"/>
      <c r="X314" s="59"/>
      <c r="Y314" s="30"/>
      <c r="Z314" s="89" t="n">
        <f aca="false">SUM(Z309:Z313)</f>
        <v>298.36884</v>
      </c>
    </row>
    <row r="315" customFormat="false" ht="15" hidden="false" customHeight="false" outlineLevel="0" collapsed="false">
      <c r="R315" s="90" t="s">
        <v>308</v>
      </c>
    </row>
    <row r="316" customFormat="false" ht="15" hidden="false" customHeight="false" outlineLevel="0" collapsed="false">
      <c r="R316" s="1" t="s">
        <v>309</v>
      </c>
      <c r="V316" s="57" t="s">
        <v>310</v>
      </c>
      <c r="X316" s="59" t="n">
        <v>3</v>
      </c>
      <c r="Y316" s="30" t="n">
        <f aca="false">Z307</f>
        <v>107.765333333333</v>
      </c>
      <c r="Z316" s="30" t="n">
        <f aca="false">X316%*Y316</f>
        <v>3.23296</v>
      </c>
    </row>
    <row r="317" customFormat="false" ht="15" hidden="false" customHeight="false" outlineLevel="0" collapsed="false">
      <c r="R317" s="1" t="s">
        <v>665</v>
      </c>
      <c r="V317" s="57" t="s">
        <v>337</v>
      </c>
      <c r="W317" s="58" t="n">
        <v>1</v>
      </c>
      <c r="X317" s="59" t="n">
        <f aca="false">W317*8/$T$301</f>
        <v>0.533333333333333</v>
      </c>
      <c r="Y317" s="30" t="n">
        <v>25.63</v>
      </c>
      <c r="Z317" s="30" t="n">
        <f aca="false">X317*Y317</f>
        <v>13.6693333333333</v>
      </c>
    </row>
    <row r="318" customFormat="false" ht="15" hidden="false" customHeight="false" outlineLevel="0" collapsed="false">
      <c r="R318" s="1" t="s">
        <v>673</v>
      </c>
      <c r="V318" s="57" t="s">
        <v>337</v>
      </c>
      <c r="W318" s="58" t="n">
        <v>0.5</v>
      </c>
      <c r="X318" s="59" t="n">
        <f aca="false">W318*8/$T$301</f>
        <v>0.266666666666667</v>
      </c>
      <c r="Y318" s="30" t="n">
        <v>7.07</v>
      </c>
      <c r="Z318" s="30" t="n">
        <f aca="false">X318*Y318</f>
        <v>1.88533333333333</v>
      </c>
    </row>
    <row r="319" customFormat="false" ht="15" hidden="false" customHeight="false" outlineLevel="0" collapsed="false">
      <c r="Q319" s="62"/>
      <c r="R319" s="62"/>
      <c r="S319" s="62"/>
      <c r="T319" s="62"/>
      <c r="U319" s="62"/>
      <c r="V319" s="62"/>
      <c r="W319" s="62"/>
      <c r="X319" s="62"/>
      <c r="Y319" s="62"/>
      <c r="Z319" s="91" t="n">
        <f aca="false">SUM(Z316:Z318)</f>
        <v>18.7876266666667</v>
      </c>
    </row>
    <row r="321" customFormat="false" ht="15" hidden="false" customHeight="false" outlineLevel="0" collapsed="false">
      <c r="Q321" s="85" t="s">
        <v>276</v>
      </c>
      <c r="R321" s="85"/>
      <c r="S321" s="85" t="s">
        <v>683</v>
      </c>
      <c r="T321" s="85"/>
    </row>
    <row r="322" customFormat="false" ht="15" hidden="false" customHeight="false" outlineLevel="0" collapsed="false">
      <c r="Q322" s="85" t="s">
        <v>277</v>
      </c>
      <c r="R322" s="85" t="s">
        <v>278</v>
      </c>
      <c r="S322" s="87" t="s">
        <v>279</v>
      </c>
      <c r="T322" s="88" t="n">
        <v>20</v>
      </c>
      <c r="U322" s="87" t="s">
        <v>280</v>
      </c>
      <c r="V322" s="88" t="n">
        <f aca="false">T322</f>
        <v>20</v>
      </c>
      <c r="W322" s="85" t="s">
        <v>281</v>
      </c>
      <c r="Y322" s="87" t="s">
        <v>132</v>
      </c>
      <c r="Z322" s="89" t="n">
        <f aca="false">Z327+Z332+Z335</f>
        <v>42.64448</v>
      </c>
    </row>
    <row r="323" customFormat="false" ht="15" hidden="false" customHeight="false" outlineLevel="0" collapsed="false">
      <c r="Q323" s="85" t="s">
        <v>282</v>
      </c>
      <c r="R323" s="85" t="s">
        <v>283</v>
      </c>
      <c r="V323" s="87" t="s">
        <v>121</v>
      </c>
      <c r="W323" s="87" t="s">
        <v>284</v>
      </c>
      <c r="X323" s="87" t="s">
        <v>285</v>
      </c>
      <c r="Y323" s="87" t="s">
        <v>286</v>
      </c>
      <c r="Z323" s="87" t="s">
        <v>287</v>
      </c>
    </row>
    <row r="324" customFormat="false" ht="15" hidden="false" customHeight="false" outlineLevel="0" collapsed="false">
      <c r="R324" s="90" t="s">
        <v>288</v>
      </c>
    </row>
    <row r="325" customFormat="false" ht="15" hidden="false" customHeight="false" outlineLevel="0" collapsed="false">
      <c r="R325" s="1" t="s">
        <v>289</v>
      </c>
      <c r="V325" s="57" t="s">
        <v>290</v>
      </c>
      <c r="W325" s="58" t="n">
        <v>1</v>
      </c>
      <c r="X325" s="59" t="n">
        <f aca="false">W325*8/$T$322</f>
        <v>0.4</v>
      </c>
      <c r="Y325" s="30" t="n">
        <v>28.94</v>
      </c>
      <c r="Z325" s="30" t="n">
        <f aca="false">X325*Y325</f>
        <v>11.576</v>
      </c>
    </row>
    <row r="326" customFormat="false" ht="15" hidden="false" customHeight="false" outlineLevel="0" collapsed="false">
      <c r="R326" s="1" t="s">
        <v>291</v>
      </c>
      <c r="V326" s="57" t="s">
        <v>290</v>
      </c>
      <c r="W326" s="58" t="n">
        <v>1</v>
      </c>
      <c r="X326" s="59" t="n">
        <f aca="false">W326*8/$T$322</f>
        <v>0.4</v>
      </c>
      <c r="Y326" s="30" t="n">
        <v>23.6</v>
      </c>
      <c r="Z326" s="30" t="n">
        <f aca="false">X326*Y326</f>
        <v>9.44</v>
      </c>
    </row>
    <row r="327" customFormat="false" ht="15" hidden="false" customHeight="false" outlineLevel="0" collapsed="false">
      <c r="V327" s="57"/>
      <c r="W327" s="58"/>
      <c r="X327" s="59"/>
      <c r="Z327" s="89" t="n">
        <f aca="false">SUM(Z325:Z326)</f>
        <v>21.016</v>
      </c>
    </row>
    <row r="328" customFormat="false" ht="15" hidden="false" customHeight="false" outlineLevel="0" collapsed="false">
      <c r="R328" s="90" t="s">
        <v>652</v>
      </c>
      <c r="V328" s="57"/>
      <c r="W328" s="58"/>
      <c r="X328" s="59"/>
      <c r="Z328" s="30"/>
    </row>
    <row r="329" customFormat="false" ht="15" hidden="false" customHeight="false" outlineLevel="0" collapsed="false">
      <c r="R329" s="1" t="s">
        <v>680</v>
      </c>
      <c r="V329" s="57" t="s">
        <v>295</v>
      </c>
      <c r="X329" s="59" t="n">
        <v>0.26</v>
      </c>
      <c r="Y329" s="30" t="n">
        <v>2.64</v>
      </c>
      <c r="Z329" s="30" t="n">
        <f aca="false">X329*Y329</f>
        <v>0.6864</v>
      </c>
    </row>
    <row r="330" customFormat="false" ht="15" hidden="false" customHeight="false" outlineLevel="0" collapsed="false">
      <c r="R330" s="1" t="s">
        <v>300</v>
      </c>
      <c r="V330" s="57" t="s">
        <v>295</v>
      </c>
      <c r="X330" s="59" t="n">
        <v>0.16</v>
      </c>
      <c r="Y330" s="30" t="n">
        <v>5.51</v>
      </c>
      <c r="Z330" s="30" t="n">
        <f aca="false">X330*Y330</f>
        <v>0.8816</v>
      </c>
    </row>
    <row r="331" customFormat="false" ht="15" hidden="false" customHeight="false" outlineLevel="0" collapsed="false">
      <c r="R331" s="1" t="s">
        <v>667</v>
      </c>
      <c r="V331" s="57" t="s">
        <v>304</v>
      </c>
      <c r="X331" s="59" t="n">
        <v>3.35</v>
      </c>
      <c r="Y331" s="30" t="n">
        <v>5.8</v>
      </c>
      <c r="Z331" s="30" t="n">
        <f aca="false">X331*Y331</f>
        <v>19.43</v>
      </c>
    </row>
    <row r="332" customFormat="false" ht="15" hidden="false" customHeight="false" outlineLevel="0" collapsed="false">
      <c r="V332" s="57"/>
      <c r="X332" s="59"/>
      <c r="Y332" s="30"/>
      <c r="Z332" s="89" t="n">
        <f aca="false">SUM(Z329:Z331)</f>
        <v>20.998</v>
      </c>
    </row>
    <row r="333" customFormat="false" ht="15" hidden="false" customHeight="false" outlineLevel="0" collapsed="false">
      <c r="R333" s="90" t="s">
        <v>308</v>
      </c>
    </row>
    <row r="334" customFormat="false" ht="15" hidden="false" customHeight="false" outlineLevel="0" collapsed="false">
      <c r="R334" s="1" t="s">
        <v>309</v>
      </c>
      <c r="V334" s="57" t="s">
        <v>310</v>
      </c>
      <c r="X334" s="59" t="n">
        <v>3</v>
      </c>
      <c r="Y334" s="30" t="n">
        <f aca="false">Z327</f>
        <v>21.016</v>
      </c>
      <c r="Z334" s="30" t="n">
        <f aca="false">X334%*Y334</f>
        <v>0.63048</v>
      </c>
    </row>
    <row r="335" customFormat="false" ht="15" hidden="false" customHeight="false" outlineLevel="0" collapsed="false">
      <c r="Q335" s="62"/>
      <c r="R335" s="62"/>
      <c r="S335" s="62"/>
      <c r="T335" s="62"/>
      <c r="U335" s="62"/>
      <c r="V335" s="62"/>
      <c r="W335" s="62"/>
      <c r="X335" s="62"/>
      <c r="Y335" s="62"/>
      <c r="Z335" s="91" t="n">
        <f aca="false">SUM(Z334)</f>
        <v>0.63048</v>
      </c>
    </row>
    <row r="337" customFormat="false" ht="15" hidden="false" customHeight="false" outlineLevel="0" collapsed="false">
      <c r="Q337" s="85" t="s">
        <v>276</v>
      </c>
      <c r="R337" s="85"/>
      <c r="S337" s="85" t="s">
        <v>684</v>
      </c>
      <c r="T337" s="85"/>
    </row>
    <row r="338" customFormat="false" ht="15" hidden="false" customHeight="false" outlineLevel="0" collapsed="false">
      <c r="Q338" s="85" t="s">
        <v>277</v>
      </c>
      <c r="R338" s="85" t="s">
        <v>674</v>
      </c>
      <c r="S338" s="87" t="s">
        <v>279</v>
      </c>
      <c r="T338" s="88" t="n">
        <v>250</v>
      </c>
      <c r="U338" s="87" t="s">
        <v>280</v>
      </c>
      <c r="V338" s="88" t="n">
        <f aca="false">T338</f>
        <v>250</v>
      </c>
      <c r="W338" s="85" t="s">
        <v>281</v>
      </c>
      <c r="Y338" s="87" t="s">
        <v>295</v>
      </c>
      <c r="Z338" s="89" t="n">
        <f aca="false">Z343+Z347+Z351</f>
        <v>5.5639628445</v>
      </c>
    </row>
    <row r="339" customFormat="false" ht="15" hidden="false" customHeight="false" outlineLevel="0" collapsed="false">
      <c r="Q339" s="85" t="s">
        <v>282</v>
      </c>
      <c r="R339" s="85" t="s">
        <v>283</v>
      </c>
      <c r="V339" s="87" t="s">
        <v>121</v>
      </c>
      <c r="W339" s="87" t="s">
        <v>284</v>
      </c>
      <c r="X339" s="87" t="s">
        <v>285</v>
      </c>
      <c r="Y339" s="87" t="s">
        <v>286</v>
      </c>
      <c r="Z339" s="87" t="s">
        <v>287</v>
      </c>
    </row>
    <row r="340" customFormat="false" ht="15" hidden="false" customHeight="false" outlineLevel="0" collapsed="false">
      <c r="R340" s="90" t="s">
        <v>288</v>
      </c>
      <c r="W340" s="58"/>
    </row>
    <row r="341" customFormat="false" ht="15" hidden="false" customHeight="false" outlineLevel="0" collapsed="false">
      <c r="R341" s="1" t="s">
        <v>289</v>
      </c>
      <c r="V341" s="57" t="s">
        <v>290</v>
      </c>
      <c r="W341" s="58" t="n">
        <v>1</v>
      </c>
      <c r="X341" s="59" t="n">
        <f aca="false">W341*8/$T$338</f>
        <v>0.032</v>
      </c>
      <c r="Y341" s="30" t="n">
        <v>28.94</v>
      </c>
      <c r="Z341" s="30" t="n">
        <f aca="false">X341*Y341</f>
        <v>0.92608</v>
      </c>
    </row>
    <row r="342" customFormat="false" ht="15" hidden="false" customHeight="false" outlineLevel="0" collapsed="false">
      <c r="R342" s="1" t="s">
        <v>675</v>
      </c>
      <c r="V342" s="57" t="s">
        <v>290</v>
      </c>
      <c r="W342" s="58" t="n">
        <v>1</v>
      </c>
      <c r="X342" s="59" t="n">
        <f aca="false">W342*8/$T$338</f>
        <v>0.032</v>
      </c>
      <c r="Y342" s="30" t="n">
        <v>23.6</v>
      </c>
      <c r="Z342" s="30" t="n">
        <f aca="false">X342*Y342</f>
        <v>0.7552</v>
      </c>
    </row>
    <row r="343" customFormat="false" ht="15" hidden="false" customHeight="false" outlineLevel="0" collapsed="false">
      <c r="V343" s="57"/>
      <c r="W343" s="58"/>
      <c r="Z343" s="89" t="n">
        <f aca="false">SUM(Z341:Z342)</f>
        <v>1.68128</v>
      </c>
    </row>
    <row r="344" customFormat="false" ht="15" hidden="false" customHeight="false" outlineLevel="0" collapsed="false">
      <c r="R344" s="90" t="s">
        <v>293</v>
      </c>
      <c r="V344" s="57"/>
      <c r="W344" s="58"/>
      <c r="X344" s="101"/>
    </row>
    <row r="345" customFormat="false" ht="15" hidden="false" customHeight="false" outlineLevel="0" collapsed="false">
      <c r="R345" s="1" t="s">
        <v>294</v>
      </c>
      <c r="V345" s="57" t="s">
        <v>295</v>
      </c>
      <c r="W345" s="58"/>
      <c r="X345" s="101" t="n">
        <v>0.03</v>
      </c>
      <c r="Y345" s="30" t="n">
        <v>2.64</v>
      </c>
      <c r="Z345" s="30" t="n">
        <f aca="false">X345*Y345</f>
        <v>0.0792</v>
      </c>
    </row>
    <row r="346" customFormat="false" ht="15" hidden="false" customHeight="false" outlineLevel="0" collapsed="false">
      <c r="R346" s="1" t="s">
        <v>676</v>
      </c>
      <c r="V346" s="57" t="s">
        <v>295</v>
      </c>
      <c r="W346" s="58"/>
      <c r="X346" s="101" t="n">
        <v>1.05</v>
      </c>
      <c r="Y346" s="30" t="n">
        <f aca="false">1012.71*3.379/1000</f>
        <v>3.42194709</v>
      </c>
      <c r="Z346" s="30" t="n">
        <f aca="false">X346*Y346</f>
        <v>3.5930444445</v>
      </c>
    </row>
    <row r="347" customFormat="false" ht="15" hidden="false" customHeight="false" outlineLevel="0" collapsed="false">
      <c r="V347" s="57"/>
      <c r="W347" s="58"/>
      <c r="Z347" s="89" t="n">
        <f aca="false">SUM(Z345:Z346)</f>
        <v>3.6722444445</v>
      </c>
    </row>
    <row r="348" customFormat="false" ht="15" hidden="false" customHeight="false" outlineLevel="0" collapsed="false">
      <c r="R348" s="90" t="s">
        <v>317</v>
      </c>
      <c r="V348" s="57"/>
      <c r="W348" s="58"/>
    </row>
    <row r="349" customFormat="false" ht="15" hidden="false" customHeight="false" outlineLevel="0" collapsed="false">
      <c r="R349" s="1" t="s">
        <v>309</v>
      </c>
      <c r="V349" s="57" t="s">
        <v>310</v>
      </c>
      <c r="X349" s="59" t="n">
        <v>3</v>
      </c>
      <c r="Y349" s="30" t="n">
        <f aca="false">Z343</f>
        <v>1.68128</v>
      </c>
      <c r="Z349" s="30" t="n">
        <f aca="false">X349%*Y349</f>
        <v>0.0504384</v>
      </c>
    </row>
    <row r="350" customFormat="false" ht="15" hidden="false" customHeight="false" outlineLevel="0" collapsed="false">
      <c r="R350" s="1" t="s">
        <v>677</v>
      </c>
      <c r="V350" s="57" t="s">
        <v>290</v>
      </c>
      <c r="W350" s="58" t="n">
        <v>1</v>
      </c>
      <c r="X350" s="59" t="n">
        <f aca="false">W350*8/$T$338</f>
        <v>0.032</v>
      </c>
      <c r="Y350" s="65" t="n">
        <v>5</v>
      </c>
      <c r="Z350" s="30" t="n">
        <f aca="false">X350*Y350</f>
        <v>0.16</v>
      </c>
    </row>
    <row r="351" customFormat="false" ht="15" hidden="false" customHeight="false" outlineLevel="0" collapsed="false">
      <c r="Q351" s="62"/>
      <c r="R351" s="62"/>
      <c r="S351" s="62"/>
      <c r="T351" s="62"/>
      <c r="U351" s="62"/>
      <c r="V351" s="62"/>
      <c r="W351" s="62"/>
      <c r="X351" s="62"/>
      <c r="Y351" s="62"/>
      <c r="Z351" s="91" t="n">
        <f aca="false">SUM(Z349:Z350)</f>
        <v>0.2104384</v>
      </c>
    </row>
    <row r="352" customFormat="false" ht="15" hidden="false" customHeight="false" outlineLevel="0" collapsed="false">
      <c r="Z352" s="89"/>
    </row>
    <row r="354" customFormat="false" ht="15" hidden="false" customHeight="false" outlineLevel="0" collapsed="false">
      <c r="Q354" s="85"/>
      <c r="R354" s="85"/>
      <c r="S354" s="85"/>
      <c r="T354" s="85"/>
    </row>
    <row r="355" customFormat="false" ht="15" hidden="false" customHeight="false" outlineLevel="0" collapsed="false">
      <c r="Q355" s="85"/>
      <c r="R355" s="85"/>
      <c r="S355" s="87"/>
      <c r="T355" s="88"/>
      <c r="U355" s="87"/>
      <c r="V355" s="88"/>
      <c r="W355" s="85"/>
      <c r="Y355" s="87"/>
      <c r="Z355" s="8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" activeCellId="0" sqref="N2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14"/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9" t="s">
        <v>1383</v>
      </c>
      <c r="N2" s="221" t="n">
        <f aca="false">IF('Datos iniciales '!D7="zapatas y vigas de cimentación",'Datos iniciales '!B7,0)</f>
        <v>1</v>
      </c>
    </row>
    <row r="3" customFormat="false" ht="15" hidden="false" customHeight="false" outlineLevel="0" collapsed="false">
      <c r="E3" s="38" t="s">
        <v>1222</v>
      </c>
      <c r="F3" s="38" t="s">
        <v>1223</v>
      </c>
      <c r="G3" s="38" t="s">
        <v>121</v>
      </c>
      <c r="H3" s="38" t="s">
        <v>122</v>
      </c>
      <c r="I3" s="38" t="s">
        <v>123</v>
      </c>
      <c r="J3" s="38" t="s">
        <v>452</v>
      </c>
      <c r="K3" s="38" t="s">
        <v>453</v>
      </c>
      <c r="M3" s="159"/>
      <c r="N3" s="159"/>
    </row>
    <row r="4" customFormat="false" ht="15" hidden="false" customHeight="false" outlineLevel="0" collapsed="false">
      <c r="G4" s="160"/>
      <c r="H4" s="76"/>
      <c r="I4" s="30"/>
      <c r="K4" s="1" t="n">
        <f aca="false">SUM(J4:J37)</f>
        <v>1077.40065138409</v>
      </c>
      <c r="M4" s="159" t="s">
        <v>1373</v>
      </c>
      <c r="N4" s="159" t="n">
        <f aca="false">K4/N2</f>
        <v>1077.40065138409</v>
      </c>
    </row>
    <row r="6" customFormat="false" ht="15" hidden="false" customHeight="false" outlineLevel="0" collapsed="false">
      <c r="A6" s="27"/>
      <c r="B6" s="14"/>
      <c r="G6" s="14"/>
      <c r="Q6" s="14" t="s">
        <v>276</v>
      </c>
      <c r="R6" s="14"/>
      <c r="S6" s="14" t="s">
        <v>1376</v>
      </c>
      <c r="T6" s="14"/>
    </row>
    <row r="7" customFormat="false" ht="15" hidden="false" customHeight="false" outlineLevel="0" collapsed="false">
      <c r="E7" s="222"/>
      <c r="F7" s="30"/>
      <c r="I7" s="30"/>
      <c r="J7" s="30"/>
      <c r="Q7" s="14" t="s">
        <v>277</v>
      </c>
      <c r="R7" s="14" t="s">
        <v>278</v>
      </c>
      <c r="S7" s="38" t="s">
        <v>279</v>
      </c>
      <c r="T7" s="54" t="n">
        <v>500</v>
      </c>
      <c r="U7" s="38" t="s">
        <v>280</v>
      </c>
      <c r="V7" s="54" t="n">
        <f aca="false">T7</f>
        <v>500</v>
      </c>
      <c r="W7" s="14" t="s">
        <v>281</v>
      </c>
      <c r="Y7" s="38" t="s">
        <v>132</v>
      </c>
      <c r="Z7" s="55" t="n">
        <f aca="false">Z13+Z18+Z23</f>
        <v>2.89927064</v>
      </c>
    </row>
    <row r="8" customFormat="false" ht="15" hidden="false" customHeight="false" outlineLevel="0" collapsed="false">
      <c r="A8" s="27" t="s">
        <v>455</v>
      </c>
      <c r="B8" s="14"/>
      <c r="E8" s="222"/>
      <c r="F8" s="30"/>
      <c r="J8" s="30"/>
      <c r="Q8" s="14" t="s">
        <v>282</v>
      </c>
      <c r="R8" s="14" t="s">
        <v>283</v>
      </c>
      <c r="V8" s="38" t="s">
        <v>121</v>
      </c>
      <c r="W8" s="38" t="s">
        <v>284</v>
      </c>
      <c r="X8" s="38" t="s">
        <v>285</v>
      </c>
      <c r="Y8" s="38" t="s">
        <v>286</v>
      </c>
      <c r="Z8" s="38" t="s">
        <v>287</v>
      </c>
    </row>
    <row r="9" customFormat="false" ht="15" hidden="false" customHeight="false" outlineLevel="0" collapsed="false">
      <c r="A9" s="213" t="s">
        <v>457</v>
      </c>
      <c r="E9" s="224" t="n">
        <v>1</v>
      </c>
      <c r="F9" s="30" t="n">
        <v>4.36975929978118</v>
      </c>
      <c r="G9" s="1" t="s">
        <v>202</v>
      </c>
      <c r="H9" s="1" t="n">
        <f aca="false">E9*F9*$N$2</f>
        <v>4.36975929978118</v>
      </c>
      <c r="I9" s="30" t="n">
        <f aca="false">Z26</f>
        <v>8.45820448</v>
      </c>
      <c r="J9" s="30" t="n">
        <f aca="false">H9*I9</f>
        <v>36.9603176859309</v>
      </c>
      <c r="M9" s="30"/>
      <c r="R9" s="56" t="s">
        <v>288</v>
      </c>
    </row>
    <row r="10" customFormat="false" ht="15" hidden="false" customHeight="false" outlineLevel="0" collapsed="false">
      <c r="A10" s="213" t="s">
        <v>459</v>
      </c>
      <c r="E10" s="224" t="n">
        <v>1</v>
      </c>
      <c r="F10" s="30" t="n">
        <v>0.0588183807439825</v>
      </c>
      <c r="G10" s="1" t="s">
        <v>202</v>
      </c>
      <c r="H10" s="1" t="n">
        <f aca="false">E10*F10*$N$2</f>
        <v>0.0588183807439825</v>
      </c>
      <c r="I10" s="30" t="n">
        <f aca="false">Z42</f>
        <v>49.40498</v>
      </c>
      <c r="J10" s="30" t="n">
        <f aca="false">H10*I10</f>
        <v>2.90592092428884</v>
      </c>
      <c r="R10" s="1" t="s">
        <v>1378</v>
      </c>
      <c r="V10" s="57" t="s">
        <v>290</v>
      </c>
      <c r="W10" s="58" t="n">
        <v>1</v>
      </c>
      <c r="X10" s="59" t="n">
        <f aca="false">W10*8/$V$7</f>
        <v>0.016</v>
      </c>
      <c r="Y10" s="1" t="n">
        <v>28.94</v>
      </c>
      <c r="Z10" s="30" t="n">
        <f aca="false">X10*Y10</f>
        <v>0.46304</v>
      </c>
    </row>
    <row r="11" customFormat="false" ht="15" hidden="false" customHeight="false" outlineLevel="0" collapsed="false">
      <c r="A11" s="213" t="s">
        <v>461</v>
      </c>
      <c r="E11" s="224" t="n">
        <v>1</v>
      </c>
      <c r="F11" s="30" t="n">
        <v>0.269540481400438</v>
      </c>
      <c r="G11" s="1" t="s">
        <v>202</v>
      </c>
      <c r="H11" s="1" t="n">
        <f aca="false">E11*F11*$N$2</f>
        <v>0.269540481400438</v>
      </c>
      <c r="I11" s="30" t="n">
        <f aca="false">Z53</f>
        <v>66.2342173333333</v>
      </c>
      <c r="J11" s="30" t="n">
        <f aca="false">H11*I11</f>
        <v>17.8528028252079</v>
      </c>
      <c r="R11" s="1" t="s">
        <v>292</v>
      </c>
      <c r="V11" s="57" t="s">
        <v>290</v>
      </c>
      <c r="W11" s="58" t="n">
        <v>3</v>
      </c>
      <c r="X11" s="59" t="n">
        <f aca="false">W11*8/$V$7</f>
        <v>0.048</v>
      </c>
      <c r="Y11" s="1" t="n">
        <v>20.51</v>
      </c>
      <c r="Z11" s="30" t="n">
        <f aca="false">X11*Y11</f>
        <v>0.98448</v>
      </c>
    </row>
    <row r="12" customFormat="false" ht="15" hidden="false" customHeight="false" outlineLevel="0" collapsed="false">
      <c r="A12" s="213" t="s">
        <v>463</v>
      </c>
      <c r="E12" s="224" t="n">
        <v>1</v>
      </c>
      <c r="F12" s="30" t="n">
        <v>2.57973012399708</v>
      </c>
      <c r="G12" s="1" t="s">
        <v>202</v>
      </c>
      <c r="H12" s="1" t="n">
        <f aca="false">E12*F12*$N$2</f>
        <v>2.57973012399708</v>
      </c>
      <c r="I12" s="30" t="n">
        <f aca="false">Z70</f>
        <v>19.29963</v>
      </c>
      <c r="J12" s="30" t="n">
        <f aca="false">H12*I12</f>
        <v>49.7878368929978</v>
      </c>
      <c r="K12" s="160"/>
      <c r="R12" s="1" t="s">
        <v>649</v>
      </c>
      <c r="V12" s="57" t="s">
        <v>290</v>
      </c>
      <c r="W12" s="58" t="n">
        <v>0.1</v>
      </c>
      <c r="X12" s="59" t="n">
        <f aca="false">W12*8/$V$7</f>
        <v>0.0016</v>
      </c>
      <c r="Y12" s="1" t="n">
        <v>34.73</v>
      </c>
      <c r="Z12" s="30" t="n">
        <f aca="false">X12*Y12</f>
        <v>0.055568</v>
      </c>
    </row>
    <row r="13" customFormat="false" ht="15" hidden="false" customHeight="false" outlineLevel="0" collapsed="false">
      <c r="A13" s="213" t="s">
        <v>1384</v>
      </c>
      <c r="E13" s="224" t="n">
        <v>1</v>
      </c>
      <c r="F13" s="30" t="n">
        <v>2.05368344274252</v>
      </c>
      <c r="G13" s="1" t="s">
        <v>132</v>
      </c>
      <c r="H13" s="1" t="n">
        <f aca="false">E13*F13*$N$2</f>
        <v>2.05368344274252</v>
      </c>
      <c r="I13" s="30" t="n">
        <f aca="false">Z87</f>
        <v>7.930344</v>
      </c>
      <c r="J13" s="30" t="n">
        <f aca="false">H13*I13</f>
        <v>16.2864161680525</v>
      </c>
      <c r="Z13" s="55" t="n">
        <f aca="false">SUM(Z10:Z12)</f>
        <v>1.503088</v>
      </c>
    </row>
    <row r="14" customFormat="false" ht="15" hidden="false" customHeight="false" outlineLevel="0" collapsed="false">
      <c r="A14" s="213" t="s">
        <v>467</v>
      </c>
      <c r="E14" s="224" t="n">
        <v>1</v>
      </c>
      <c r="F14" s="30" t="n">
        <v>2.3110594456601</v>
      </c>
      <c r="G14" s="1" t="s">
        <v>132</v>
      </c>
      <c r="H14" s="1" t="n">
        <f aca="false">E14*F14*$N$2</f>
        <v>2.3110594456601</v>
      </c>
      <c r="I14" s="30" t="n">
        <f aca="false">Z102</f>
        <v>12.11253</v>
      </c>
      <c r="J14" s="30" t="n">
        <f aca="false">H14*I14</f>
        <v>27.9927768673414</v>
      </c>
      <c r="K14" s="225"/>
      <c r="R14" s="56" t="s">
        <v>652</v>
      </c>
    </row>
    <row r="15" customFormat="false" ht="15" hidden="false" customHeight="false" outlineLevel="0" collapsed="false">
      <c r="A15" s="213" t="s">
        <v>469</v>
      </c>
      <c r="E15" s="224" t="n">
        <v>1</v>
      </c>
      <c r="F15" s="30" t="n">
        <v>2.3110594456601</v>
      </c>
      <c r="G15" s="1" t="s">
        <v>202</v>
      </c>
      <c r="H15" s="1" t="n">
        <f aca="false">E15*F15*$N$2</f>
        <v>2.3110594456601</v>
      </c>
      <c r="I15" s="30" t="n">
        <f aca="false">Z113</f>
        <v>22.9100074666667</v>
      </c>
      <c r="J15" s="30" t="n">
        <f aca="false">H15*I15</f>
        <v>52.9463891559835</v>
      </c>
      <c r="R15" s="1" t="s">
        <v>300</v>
      </c>
      <c r="V15" s="57" t="s">
        <v>295</v>
      </c>
      <c r="X15" s="59" t="n">
        <v>0.005</v>
      </c>
      <c r="Y15" s="1" t="n">
        <v>5.51</v>
      </c>
      <c r="Z15" s="30" t="n">
        <f aca="false">X15*Y15</f>
        <v>0.02755</v>
      </c>
    </row>
    <row r="16" customFormat="false" ht="15" hidden="false" customHeight="false" outlineLevel="0" collapsed="false">
      <c r="A16" s="27" t="s">
        <v>474</v>
      </c>
      <c r="E16" s="222"/>
      <c r="F16" s="30"/>
      <c r="R16" s="1" t="s">
        <v>1379</v>
      </c>
      <c r="S16" s="226"/>
      <c r="T16" s="226"/>
      <c r="U16" s="226"/>
      <c r="V16" s="57" t="s">
        <v>306</v>
      </c>
      <c r="W16" s="226"/>
      <c r="X16" s="59" t="n">
        <v>0.025</v>
      </c>
      <c r="Y16" s="30" t="n">
        <v>38.9</v>
      </c>
      <c r="Z16" s="30" t="n">
        <f aca="false">X16*Y16</f>
        <v>0.9725</v>
      </c>
    </row>
    <row r="17" customFormat="false" ht="15" hidden="false" customHeight="false" outlineLevel="0" collapsed="false">
      <c r="A17" s="1" t="s">
        <v>482</v>
      </c>
      <c r="E17" s="222" t="n">
        <v>0.96</v>
      </c>
      <c r="F17" s="30" t="n">
        <v>1</v>
      </c>
      <c r="H17" s="1" t="n">
        <f aca="false">E17*F17*$N$2</f>
        <v>0.96</v>
      </c>
      <c r="I17" s="30" t="n">
        <f aca="false">Z126</f>
        <v>238.3435744</v>
      </c>
      <c r="J17" s="30" t="n">
        <f aca="false">H17*I17</f>
        <v>228.809831424</v>
      </c>
      <c r="R17" s="1" t="s">
        <v>307</v>
      </c>
      <c r="V17" s="57" t="s">
        <v>304</v>
      </c>
      <c r="X17" s="59" t="n">
        <v>0.02</v>
      </c>
      <c r="Y17" s="30" t="n">
        <v>5.8</v>
      </c>
      <c r="Z17" s="30" t="n">
        <f aca="false">X17*Y17</f>
        <v>0.116</v>
      </c>
    </row>
    <row r="18" customFormat="false" ht="15" hidden="false" customHeight="false" outlineLevel="0" collapsed="false">
      <c r="A18" s="15" t="s">
        <v>484</v>
      </c>
      <c r="E18" s="222"/>
      <c r="F18" s="30"/>
      <c r="Z18" s="55" t="n">
        <f aca="false">SUM(Z15:Z17)</f>
        <v>1.11605</v>
      </c>
    </row>
    <row r="19" customFormat="false" ht="16.4" hidden="false" customHeight="false" outlineLevel="0" collapsed="false">
      <c r="A19" s="213" t="s">
        <v>486</v>
      </c>
      <c r="B19" s="213"/>
      <c r="C19" s="213"/>
      <c r="D19" s="213"/>
      <c r="E19" s="222" t="n">
        <v>0.99</v>
      </c>
      <c r="F19" s="30" t="n">
        <v>0.884609773887673</v>
      </c>
      <c r="G19" s="1" t="s">
        <v>132</v>
      </c>
      <c r="H19" s="1" t="n">
        <f aca="false">E19*F19*$N$2</f>
        <v>0.875763676148797</v>
      </c>
      <c r="I19" s="227" t="n">
        <f aca="false">Z152</f>
        <v>39.6208818181818</v>
      </c>
      <c r="J19" s="228" t="n">
        <f aca="false">H19*I19</f>
        <v>34.6985291133479</v>
      </c>
      <c r="R19" s="56" t="s">
        <v>308</v>
      </c>
    </row>
    <row r="20" customFormat="false" ht="15" hidden="false" customHeight="false" outlineLevel="0" collapsed="false">
      <c r="A20" s="15" t="s">
        <v>488</v>
      </c>
      <c r="E20" s="222"/>
      <c r="F20" s="30"/>
      <c r="I20" s="160"/>
      <c r="J20" s="30"/>
      <c r="K20" s="160"/>
      <c r="R20" s="1" t="s">
        <v>309</v>
      </c>
      <c r="V20" s="57" t="s">
        <v>310</v>
      </c>
      <c r="X20" s="59" t="n">
        <v>3</v>
      </c>
      <c r="Y20" s="30" t="n">
        <f aca="false">Z13</f>
        <v>1.503088</v>
      </c>
      <c r="Z20" s="30" t="n">
        <f aca="false">X20%*Y20</f>
        <v>0.04509264</v>
      </c>
    </row>
    <row r="21" customFormat="false" ht="16.4" hidden="false" customHeight="false" outlineLevel="0" collapsed="false">
      <c r="A21" s="1" t="s">
        <v>490</v>
      </c>
      <c r="E21" s="222" t="n">
        <v>0.98</v>
      </c>
      <c r="F21" s="30" t="n">
        <v>0.0510576221735959</v>
      </c>
      <c r="G21" s="1" t="s">
        <v>132</v>
      </c>
      <c r="H21" s="1" t="n">
        <f aca="false">E21*F21*$N$2</f>
        <v>0.050036469730124</v>
      </c>
      <c r="I21" s="209" t="n">
        <f aca="false">Z171</f>
        <v>27.126394</v>
      </c>
      <c r="J21" s="30" t="n">
        <f aca="false">H21*I21</f>
        <v>1.35730899226842</v>
      </c>
      <c r="K21" s="225"/>
      <c r="R21" s="1" t="s">
        <v>1380</v>
      </c>
      <c r="V21" s="57" t="s">
        <v>337</v>
      </c>
      <c r="W21" s="58" t="n">
        <v>1</v>
      </c>
      <c r="X21" s="59" t="n">
        <f aca="false">W21*8/$V$7</f>
        <v>0.016</v>
      </c>
      <c r="Y21" s="30" t="n">
        <v>9.69</v>
      </c>
      <c r="Z21" s="30" t="n">
        <f aca="false">X21*Y21</f>
        <v>0.15504</v>
      </c>
    </row>
    <row r="22" customFormat="false" ht="15" hidden="false" customHeight="false" outlineLevel="0" collapsed="false">
      <c r="A22" s="15" t="s">
        <v>1377</v>
      </c>
      <c r="E22" s="222"/>
      <c r="F22" s="30"/>
      <c r="I22" s="160"/>
      <c r="J22" s="30"/>
      <c r="K22" s="225"/>
      <c r="R22" s="1" t="s">
        <v>1381</v>
      </c>
      <c r="V22" s="57" t="s">
        <v>143</v>
      </c>
      <c r="X22" s="1" t="n">
        <v>0.008</v>
      </c>
      <c r="Y22" s="59" t="n">
        <v>10</v>
      </c>
      <c r="Z22" s="30" t="n">
        <f aca="false">X22*Y22</f>
        <v>0.08</v>
      </c>
    </row>
    <row r="23" customFormat="false" ht="15" hidden="false" customHeight="false" outlineLevel="0" collapsed="false">
      <c r="A23" s="15" t="s">
        <v>493</v>
      </c>
      <c r="E23" s="222"/>
      <c r="F23" s="30"/>
      <c r="I23" s="160"/>
      <c r="J23" s="30"/>
      <c r="Q23" s="62"/>
      <c r="R23" s="62"/>
      <c r="S23" s="62"/>
      <c r="T23" s="62"/>
      <c r="U23" s="62"/>
      <c r="V23" s="62"/>
      <c r="W23" s="62"/>
      <c r="X23" s="62"/>
      <c r="Y23" s="83"/>
      <c r="Z23" s="63" t="n">
        <f aca="false">SUM(Z20:Z22)</f>
        <v>0.28013264</v>
      </c>
    </row>
    <row r="24" customFormat="false" ht="16.4" hidden="false" customHeight="false" outlineLevel="0" collapsed="false">
      <c r="A24" s="1" t="s">
        <v>495</v>
      </c>
      <c r="E24" s="222" t="n">
        <v>0.97</v>
      </c>
      <c r="F24" s="30" t="n">
        <v>0.632312180889861</v>
      </c>
      <c r="G24" s="1" t="s">
        <v>202</v>
      </c>
      <c r="H24" s="1" t="n">
        <f aca="false">E24*F24*$N$2</f>
        <v>0.613342815463166</v>
      </c>
      <c r="I24" s="209" t="n">
        <f aca="false">Z190</f>
        <v>426.397544</v>
      </c>
      <c r="J24" s="30" t="n">
        <f aca="false">H24*I24</f>
        <v>261.527870143539</v>
      </c>
    </row>
    <row r="25" customFormat="false" ht="16.4" hidden="false" customHeight="false" outlineLevel="0" collapsed="false">
      <c r="A25" s="1" t="s">
        <v>497</v>
      </c>
      <c r="E25" s="222" t="n">
        <v>0.91</v>
      </c>
      <c r="F25" s="30"/>
      <c r="G25" s="160" t="s">
        <v>295</v>
      </c>
      <c r="H25" s="1" t="n">
        <f aca="false">H24*40*E25</f>
        <v>22.3256784828592</v>
      </c>
      <c r="I25" s="209" t="n">
        <f aca="false">Z229</f>
        <v>5.5639628445</v>
      </c>
      <c r="J25" s="30" t="n">
        <f aca="false">H25*I25</f>
        <v>124.219245556882</v>
      </c>
      <c r="Q25" s="14" t="s">
        <v>276</v>
      </c>
      <c r="R25" s="14"/>
      <c r="S25" s="14" t="s">
        <v>457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30" t="s">
        <v>507</v>
      </c>
      <c r="E26" s="222"/>
      <c r="F26" s="30"/>
      <c r="G26" s="160"/>
      <c r="I26" s="160"/>
      <c r="J26" s="30"/>
      <c r="K26" s="160"/>
      <c r="Q26" s="14" t="s">
        <v>277</v>
      </c>
      <c r="R26" s="14" t="s">
        <v>415</v>
      </c>
      <c r="S26" s="38" t="s">
        <v>279</v>
      </c>
      <c r="T26" s="54" t="n">
        <v>250</v>
      </c>
      <c r="U26" s="38" t="s">
        <v>280</v>
      </c>
      <c r="V26" s="54" t="n">
        <f aca="false">T26</f>
        <v>250</v>
      </c>
      <c r="W26" s="14" t="s">
        <v>281</v>
      </c>
      <c r="Y26" s="38" t="s">
        <v>202</v>
      </c>
      <c r="Z26" s="55" t="n">
        <f aca="false">Z32+Z36</f>
        <v>8.45820448</v>
      </c>
      <c r="AC26" s="14"/>
      <c r="AD26" s="14"/>
      <c r="AE26" s="38"/>
      <c r="AF26" s="54"/>
      <c r="AG26" s="38"/>
      <c r="AH26" s="54"/>
      <c r="AI26" s="14"/>
      <c r="AK26" s="38"/>
      <c r="AL26" s="55"/>
    </row>
    <row r="27" customFormat="false" ht="16.4" hidden="false" customHeight="false" outlineLevel="0" collapsed="false">
      <c r="A27" s="1" t="s">
        <v>509</v>
      </c>
      <c r="E27" s="222" t="n">
        <v>0.98</v>
      </c>
      <c r="F27" s="30" t="n">
        <v>0.120204230488694</v>
      </c>
      <c r="G27" s="160" t="s">
        <v>202</v>
      </c>
      <c r="H27" s="1" t="n">
        <f aca="false">E27*F27*$N$2</f>
        <v>0.117800145878921</v>
      </c>
      <c r="I27" s="209" t="n">
        <f aca="false">Z245</f>
        <v>438.22652</v>
      </c>
      <c r="J27" s="30" t="n">
        <f aca="false">H27*I27</f>
        <v>51.6231479840117</v>
      </c>
      <c r="Q27" s="14" t="s">
        <v>282</v>
      </c>
      <c r="R27" s="14" t="s">
        <v>283</v>
      </c>
      <c r="V27" s="38" t="s">
        <v>121</v>
      </c>
      <c r="W27" s="38" t="s">
        <v>284</v>
      </c>
      <c r="X27" s="38" t="s">
        <v>285</v>
      </c>
      <c r="Y27" s="38" t="s">
        <v>286</v>
      </c>
      <c r="Z27" s="38" t="s">
        <v>287</v>
      </c>
      <c r="AC27" s="14"/>
      <c r="AD27" s="14"/>
      <c r="AH27" s="38"/>
      <c r="AI27" s="38"/>
      <c r="AJ27" s="38"/>
      <c r="AK27" s="38"/>
      <c r="AL27" s="38"/>
    </row>
    <row r="28" customFormat="false" ht="16.4" hidden="false" customHeight="false" outlineLevel="0" collapsed="false">
      <c r="A28" s="1" t="s">
        <v>511</v>
      </c>
      <c r="E28" s="222" t="n">
        <v>0.99</v>
      </c>
      <c r="F28" s="30" t="n">
        <v>0.6490882567469</v>
      </c>
      <c r="G28" s="160" t="s">
        <v>132</v>
      </c>
      <c r="H28" s="1" t="n">
        <f aca="false">E28*F28*$N$2</f>
        <v>0.642597374179431</v>
      </c>
      <c r="I28" s="209" t="n">
        <f aca="false">Z267</f>
        <v>64.02696</v>
      </c>
      <c r="J28" s="30" t="n">
        <f aca="false">H28*I28</f>
        <v>41.1435563726915</v>
      </c>
      <c r="R28" s="56" t="s">
        <v>288</v>
      </c>
      <c r="AD28" s="56"/>
    </row>
    <row r="29" customFormat="false" ht="16.4" hidden="false" customHeight="false" outlineLevel="0" collapsed="false">
      <c r="A29" s="1" t="s">
        <v>513</v>
      </c>
      <c r="E29" s="222" t="n">
        <v>0.93</v>
      </c>
      <c r="F29" s="30"/>
      <c r="G29" s="160" t="s">
        <v>295</v>
      </c>
      <c r="H29" s="1" t="n">
        <f aca="false">H27*50*E29</f>
        <v>5.4777067833698</v>
      </c>
      <c r="I29" s="209" t="n">
        <f aca="false">Z283</f>
        <v>5.5639628445</v>
      </c>
      <c r="J29" s="30" t="n">
        <f aca="false">H29*I29</f>
        <v>30.4777570157352</v>
      </c>
      <c r="R29" s="1" t="s">
        <v>649</v>
      </c>
      <c r="V29" s="57" t="s">
        <v>290</v>
      </c>
      <c r="W29" s="58" t="n">
        <v>0.1</v>
      </c>
      <c r="X29" s="59" t="n">
        <f aca="false">W29*8/$V$26</f>
        <v>0.0032</v>
      </c>
      <c r="Y29" s="1" t="n">
        <v>34.73</v>
      </c>
      <c r="Z29" s="30" t="n">
        <f aca="false">X29*Y29</f>
        <v>0.111136</v>
      </c>
      <c r="AH29" s="57"/>
      <c r="AI29" s="58"/>
      <c r="AJ29" s="59"/>
      <c r="AL29" s="30"/>
    </row>
    <row r="30" customFormat="false" ht="15" hidden="false" customHeight="false" outlineLevel="0" collapsed="false">
      <c r="A30" s="27" t="s">
        <v>515</v>
      </c>
      <c r="B30" s="14"/>
      <c r="E30" s="222"/>
      <c r="F30" s="30"/>
      <c r="I30" s="160"/>
      <c r="J30" s="30"/>
      <c r="R30" s="1" t="s">
        <v>289</v>
      </c>
      <c r="V30" s="57" t="s">
        <v>290</v>
      </c>
      <c r="W30" s="58" t="n">
        <v>2</v>
      </c>
      <c r="X30" s="59" t="n">
        <f aca="false">W30*8/$V$26</f>
        <v>0.064</v>
      </c>
      <c r="Y30" s="30" t="n">
        <v>28.94</v>
      </c>
      <c r="Z30" s="30" t="n">
        <f aca="false">X30*Y30</f>
        <v>1.85216</v>
      </c>
      <c r="AH30" s="57"/>
      <c r="AI30" s="58"/>
      <c r="AJ30" s="59"/>
      <c r="AL30" s="30"/>
    </row>
    <row r="31" customFormat="false" ht="15" hidden="false" customHeight="false" outlineLevel="0" collapsed="false">
      <c r="A31" s="1" t="s">
        <v>517</v>
      </c>
      <c r="E31" s="222" t="n">
        <v>0.96</v>
      </c>
      <c r="F31" s="30" t="n">
        <v>0.0833698030634573</v>
      </c>
      <c r="G31" s="1" t="s">
        <v>202</v>
      </c>
      <c r="H31" s="1" t="n">
        <f aca="false">E31*F31*$N$2</f>
        <v>0.080035010940919</v>
      </c>
      <c r="I31" s="30" t="n">
        <f aca="false">Z301</f>
        <v>424.9218</v>
      </c>
      <c r="J31" s="30" t="n">
        <f aca="false">H31*I31</f>
        <v>34.008620912035</v>
      </c>
      <c r="R31" s="1" t="s">
        <v>292</v>
      </c>
      <c r="V31" s="57" t="s">
        <v>290</v>
      </c>
      <c r="W31" s="58" t="n">
        <v>1</v>
      </c>
      <c r="X31" s="59" t="n">
        <f aca="false">W31*8/$V$26</f>
        <v>0.032</v>
      </c>
      <c r="Y31" s="1" t="n">
        <v>20.51</v>
      </c>
      <c r="Z31" s="30" t="n">
        <f aca="false">X31*Y31</f>
        <v>0.65632</v>
      </c>
      <c r="AL31" s="55"/>
    </row>
    <row r="32" customFormat="false" ht="15" hidden="false" customHeight="false" outlineLevel="0" collapsed="false">
      <c r="A32" s="1" t="s">
        <v>519</v>
      </c>
      <c r="E32" s="222" t="n">
        <v>0.97</v>
      </c>
      <c r="F32" s="30" t="n">
        <v>0.416849015317287</v>
      </c>
      <c r="G32" s="1" t="s">
        <v>132</v>
      </c>
      <c r="H32" s="1" t="n">
        <f aca="false">E32*F32*$N$2</f>
        <v>0.404343544857768</v>
      </c>
      <c r="I32" s="30" t="n">
        <f aca="false">Z322</f>
        <v>42.64448</v>
      </c>
      <c r="J32" s="30" t="n">
        <f aca="false">H32*I32</f>
        <v>17.2430202118162</v>
      </c>
      <c r="Z32" s="55" t="n">
        <f aca="false">SUM(Z29:Z31)</f>
        <v>2.619616</v>
      </c>
      <c r="AD32" s="56"/>
    </row>
    <row r="33" customFormat="false" ht="15" hidden="false" customHeight="false" outlineLevel="0" collapsed="false">
      <c r="A33" s="1" t="s">
        <v>521</v>
      </c>
      <c r="E33" s="222" t="n">
        <v>0.89</v>
      </c>
      <c r="F33" s="30"/>
      <c r="G33" s="1" t="s">
        <v>295</v>
      </c>
      <c r="H33" s="1" t="n">
        <f aca="false">H31*120*E33</f>
        <v>8.54773916849015</v>
      </c>
      <c r="I33" s="30" t="n">
        <f aca="false">Z338</f>
        <v>5.5639628445</v>
      </c>
      <c r="J33" s="30" t="n">
        <f aca="false">H33*I33</f>
        <v>47.5593031379566</v>
      </c>
      <c r="R33" s="56" t="s">
        <v>308</v>
      </c>
      <c r="AH33" s="57"/>
      <c r="AJ33" s="59"/>
      <c r="AK33" s="30"/>
      <c r="AL33" s="30"/>
    </row>
    <row r="34" customFormat="false" ht="15" hidden="false" customHeight="false" outlineLevel="0" collapsed="false">
      <c r="R34" s="1" t="s">
        <v>309</v>
      </c>
      <c r="V34" s="57" t="s">
        <v>310</v>
      </c>
      <c r="X34" s="59" t="n">
        <v>3</v>
      </c>
      <c r="Y34" s="30" t="n">
        <f aca="false">Z32</f>
        <v>2.619616</v>
      </c>
      <c r="Z34" s="30" t="n">
        <f aca="false">X34%*Y34</f>
        <v>0.07858848</v>
      </c>
    </row>
    <row r="35" customFormat="false" ht="15" hidden="false" customHeight="false" outlineLevel="0" collapsed="false">
      <c r="R35" s="1" t="s">
        <v>650</v>
      </c>
      <c r="V35" s="57" t="s">
        <v>337</v>
      </c>
      <c r="W35" s="58" t="n">
        <v>1</v>
      </c>
      <c r="X35" s="59" t="n">
        <f aca="false">W35*8/$V$26</f>
        <v>0.032</v>
      </c>
      <c r="Y35" s="1" t="n">
        <v>180</v>
      </c>
      <c r="Z35" s="30" t="n">
        <f aca="false">X35*Y35</f>
        <v>5.76</v>
      </c>
    </row>
    <row r="36" customFormat="false" ht="15" hidden="false" customHeight="false" outlineLevel="0" collapsed="false">
      <c r="Q36" s="62"/>
      <c r="R36" s="62"/>
      <c r="S36" s="62"/>
      <c r="T36" s="62"/>
      <c r="U36" s="62"/>
      <c r="V36" s="62"/>
      <c r="W36" s="62"/>
      <c r="X36" s="62"/>
      <c r="Y36" s="62"/>
      <c r="Z36" s="63" t="n">
        <f aca="false">SUM(Z34:Z35)</f>
        <v>5.83858848</v>
      </c>
    </row>
    <row r="37" customFormat="false" ht="15" hidden="false" customHeight="false" outlineLevel="0" collapsed="false">
      <c r="A37" s="213"/>
      <c r="G37" s="231"/>
      <c r="H37" s="231"/>
      <c r="I37" s="209"/>
      <c r="R37" s="56"/>
      <c r="V37" s="57"/>
      <c r="W37" s="58"/>
      <c r="X37" s="59"/>
    </row>
    <row r="38" customFormat="false" ht="15" hidden="false" customHeight="false" outlineLevel="0" collapsed="false">
      <c r="Y38" s="30"/>
      <c r="Z38" s="30"/>
    </row>
    <row r="39" customFormat="false" ht="15" hidden="false" customHeight="false" outlineLevel="0" collapsed="false">
      <c r="G39" s="160"/>
      <c r="H39" s="160"/>
      <c r="I39" s="209"/>
      <c r="Y39" s="14"/>
      <c r="Z39" s="55"/>
    </row>
    <row r="40" customFormat="false" ht="15" hidden="false" customHeight="false" outlineLevel="0" collapsed="false">
      <c r="G40" s="160"/>
      <c r="H40" s="160"/>
      <c r="I40" s="209"/>
    </row>
    <row r="41" customFormat="false" ht="15" hidden="false" customHeight="false" outlineLevel="0" collapsed="false">
      <c r="Q41" s="14" t="s">
        <v>276</v>
      </c>
      <c r="R41" s="14"/>
      <c r="S41" s="14" t="s">
        <v>459</v>
      </c>
      <c r="T41" s="14"/>
    </row>
    <row r="42" customFormat="false" ht="15" hidden="false" customHeight="false" outlineLevel="0" collapsed="false">
      <c r="Q42" s="14" t="s">
        <v>277</v>
      </c>
      <c r="R42" s="14" t="s">
        <v>415</v>
      </c>
      <c r="S42" s="38" t="s">
        <v>279</v>
      </c>
      <c r="T42" s="54" t="n">
        <v>4</v>
      </c>
      <c r="U42" s="38" t="s">
        <v>280</v>
      </c>
      <c r="V42" s="54" t="n">
        <f aca="false">T42</f>
        <v>4</v>
      </c>
      <c r="W42" s="14" t="s">
        <v>281</v>
      </c>
      <c r="Y42" s="38" t="s">
        <v>202</v>
      </c>
      <c r="Z42" s="55" t="n">
        <f aca="false">Z47+Z50</f>
        <v>49.40498</v>
      </c>
    </row>
    <row r="43" customFormat="false" ht="15" hidden="false" customHeight="false" outlineLevel="0" collapsed="false">
      <c r="Q43" s="14" t="s">
        <v>282</v>
      </c>
      <c r="R43" s="14" t="s">
        <v>283</v>
      </c>
      <c r="V43" s="38" t="s">
        <v>121</v>
      </c>
      <c r="W43" s="38" t="s">
        <v>284</v>
      </c>
      <c r="X43" s="38" t="s">
        <v>285</v>
      </c>
      <c r="Y43" s="38" t="s">
        <v>286</v>
      </c>
      <c r="Z43" s="38" t="s">
        <v>287</v>
      </c>
    </row>
    <row r="44" customFormat="false" ht="15" hidden="false" customHeight="false" outlineLevel="0" collapsed="false">
      <c r="R44" s="56" t="s">
        <v>288</v>
      </c>
    </row>
    <row r="45" customFormat="false" ht="15" hidden="false" customHeight="false" outlineLevel="0" collapsed="false">
      <c r="R45" s="1" t="s">
        <v>649</v>
      </c>
      <c r="V45" s="57" t="s">
        <v>290</v>
      </c>
      <c r="W45" s="58" t="n">
        <v>0.1</v>
      </c>
      <c r="X45" s="59" t="n">
        <f aca="false">W45*8/$V$42</f>
        <v>0.2</v>
      </c>
      <c r="Y45" s="1" t="n">
        <v>34.73</v>
      </c>
      <c r="Z45" s="30" t="n">
        <f aca="false">X45*Y45</f>
        <v>6.946</v>
      </c>
    </row>
    <row r="46" customFormat="false" ht="15" hidden="false" customHeight="false" outlineLevel="0" collapsed="false">
      <c r="R46" s="1" t="s">
        <v>292</v>
      </c>
      <c r="V46" s="57" t="s">
        <v>290</v>
      </c>
      <c r="W46" s="58" t="n">
        <v>1</v>
      </c>
      <c r="X46" s="59" t="n">
        <f aca="false">W46*8/$V$42</f>
        <v>2</v>
      </c>
      <c r="Y46" s="1" t="n">
        <v>20.51</v>
      </c>
      <c r="Z46" s="30" t="n">
        <f aca="false">X46*Y46</f>
        <v>41.02</v>
      </c>
    </row>
    <row r="47" customFormat="false" ht="15" hidden="false" customHeight="false" outlineLevel="0" collapsed="false">
      <c r="V47" s="57"/>
      <c r="W47" s="58"/>
      <c r="X47" s="59"/>
      <c r="Z47" s="55" t="n">
        <f aca="false">SUM(Z45:Z46)</f>
        <v>47.966</v>
      </c>
    </row>
    <row r="48" customFormat="false" ht="15" hidden="false" customHeight="false" outlineLevel="0" collapsed="false">
      <c r="R48" s="56" t="s">
        <v>308</v>
      </c>
    </row>
    <row r="49" customFormat="false" ht="15" hidden="false" customHeight="false" outlineLevel="0" collapsed="false">
      <c r="R49" s="1" t="s">
        <v>309</v>
      </c>
      <c r="V49" s="57" t="s">
        <v>310</v>
      </c>
      <c r="X49" s="59" t="n">
        <v>3</v>
      </c>
      <c r="Y49" s="30" t="n">
        <f aca="false">Z47</f>
        <v>47.966</v>
      </c>
      <c r="Z49" s="30" t="n">
        <f aca="false">X49%*Y49</f>
        <v>1.43898</v>
      </c>
    </row>
    <row r="50" customFormat="false" ht="15" hidden="false" customHeight="false" outlineLevel="0" collapsed="false">
      <c r="Q50" s="62"/>
      <c r="R50" s="62"/>
      <c r="S50" s="62"/>
      <c r="T50" s="62"/>
      <c r="U50" s="62"/>
      <c r="V50" s="62"/>
      <c r="W50" s="62"/>
      <c r="X50" s="62"/>
      <c r="Y50" s="83"/>
      <c r="Z50" s="63" t="n">
        <f aca="false">SUM(Z49)</f>
        <v>1.43898</v>
      </c>
    </row>
    <row r="52" customFormat="false" ht="15" hidden="false" customHeight="false" outlineLevel="0" collapsed="false">
      <c r="Q52" s="14" t="s">
        <v>276</v>
      </c>
      <c r="R52" s="14"/>
      <c r="S52" s="14" t="s">
        <v>461</v>
      </c>
      <c r="T52" s="14"/>
    </row>
    <row r="53" customFormat="false" ht="15" hidden="false" customHeight="false" outlineLevel="0" collapsed="false">
      <c r="Q53" s="14" t="s">
        <v>277</v>
      </c>
      <c r="R53" s="14" t="s">
        <v>415</v>
      </c>
      <c r="S53" s="38" t="s">
        <v>279</v>
      </c>
      <c r="T53" s="54" t="n">
        <v>30</v>
      </c>
      <c r="U53" s="38" t="s">
        <v>280</v>
      </c>
      <c r="V53" s="54" t="n">
        <f aca="false">T53</f>
        <v>30</v>
      </c>
      <c r="W53" s="14" t="s">
        <v>281</v>
      </c>
      <c r="Y53" s="38" t="s">
        <v>202</v>
      </c>
      <c r="Z53" s="55" t="n">
        <f aca="false">Z59+Z63+Z67</f>
        <v>66.2342173333333</v>
      </c>
    </row>
    <row r="54" customFormat="false" ht="15" hidden="false" customHeight="false" outlineLevel="0" collapsed="false">
      <c r="Q54" s="14" t="s">
        <v>282</v>
      </c>
      <c r="R54" s="14" t="s">
        <v>283</v>
      </c>
      <c r="V54" s="38" t="s">
        <v>121</v>
      </c>
      <c r="W54" s="38" t="s">
        <v>284</v>
      </c>
      <c r="X54" s="38" t="s">
        <v>285</v>
      </c>
      <c r="Y54" s="38" t="s">
        <v>286</v>
      </c>
      <c r="Z54" s="38" t="s">
        <v>287</v>
      </c>
    </row>
    <row r="55" customFormat="false" ht="15" hidden="false" customHeight="false" outlineLevel="0" collapsed="false">
      <c r="R55" s="56" t="s">
        <v>288</v>
      </c>
    </row>
    <row r="56" customFormat="false" ht="15" hidden="false" customHeight="false" outlineLevel="0" collapsed="false">
      <c r="R56" s="1" t="s">
        <v>649</v>
      </c>
      <c r="V56" s="57" t="s">
        <v>290</v>
      </c>
      <c r="W56" s="58" t="n">
        <v>0.1</v>
      </c>
      <c r="X56" s="59" t="n">
        <f aca="false">W56*8/$V$53</f>
        <v>0.0266666666666667</v>
      </c>
      <c r="Y56" s="1" t="n">
        <v>34.73</v>
      </c>
      <c r="Z56" s="30" t="n">
        <f aca="false">X56*Y56</f>
        <v>0.926133333333333</v>
      </c>
    </row>
    <row r="57" customFormat="false" ht="15" hidden="false" customHeight="false" outlineLevel="0" collapsed="false">
      <c r="R57" s="1" t="s">
        <v>292</v>
      </c>
      <c r="V57" s="57" t="s">
        <v>290</v>
      </c>
      <c r="W57" s="58" t="n">
        <v>1</v>
      </c>
      <c r="X57" s="59" t="n">
        <f aca="false">W57*8/$V$53</f>
        <v>0.266666666666667</v>
      </c>
      <c r="Y57" s="1" t="n">
        <v>20.51</v>
      </c>
      <c r="Z57" s="30" t="n">
        <f aca="false">X57*Y57</f>
        <v>5.46933333333333</v>
      </c>
    </row>
    <row r="58" customFormat="false" ht="15" hidden="false" customHeight="false" outlineLevel="0" collapsed="false">
      <c r="R58" s="1" t="s">
        <v>651</v>
      </c>
      <c r="V58" s="57" t="s">
        <v>290</v>
      </c>
      <c r="W58" s="58" t="n">
        <v>1</v>
      </c>
      <c r="X58" s="59" t="n">
        <f aca="false">W58*8/$V$53</f>
        <v>0.266666666666667</v>
      </c>
      <c r="Y58" s="1" t="n">
        <v>29.94</v>
      </c>
      <c r="Z58" s="30" t="n">
        <f aca="false">X58*Y58</f>
        <v>7.984</v>
      </c>
    </row>
    <row r="59" customFormat="false" ht="15" hidden="false" customHeight="false" outlineLevel="0" collapsed="false">
      <c r="V59" s="57"/>
      <c r="W59" s="58"/>
      <c r="X59" s="59"/>
      <c r="Z59" s="55" t="n">
        <f aca="false">SUM(Z56:Z58)</f>
        <v>14.3794666666667</v>
      </c>
    </row>
    <row r="60" customFormat="false" ht="15" hidden="false" customHeight="false" outlineLevel="0" collapsed="false">
      <c r="R60" s="56" t="s">
        <v>652</v>
      </c>
      <c r="V60" s="57"/>
      <c r="W60" s="58"/>
      <c r="X60" s="59"/>
      <c r="Z60" s="30"/>
    </row>
    <row r="61" customFormat="false" ht="15" hidden="false" customHeight="false" outlineLevel="0" collapsed="false">
      <c r="R61" s="1" t="s">
        <v>653</v>
      </c>
      <c r="V61" s="57" t="s">
        <v>202</v>
      </c>
      <c r="W61" s="58"/>
      <c r="X61" s="59" t="n">
        <v>1.05</v>
      </c>
      <c r="Y61" s="65" t="n">
        <v>44.07</v>
      </c>
      <c r="Z61" s="30" t="n">
        <f aca="false">X61*Y61</f>
        <v>46.2735</v>
      </c>
    </row>
    <row r="62" customFormat="false" ht="15" hidden="false" customHeight="false" outlineLevel="0" collapsed="false">
      <c r="R62" s="1" t="s">
        <v>654</v>
      </c>
      <c r="V62" s="57" t="s">
        <v>202</v>
      </c>
      <c r="W62" s="58"/>
      <c r="X62" s="59" t="n">
        <v>0.08</v>
      </c>
      <c r="Y62" s="1" t="n">
        <v>6.14</v>
      </c>
      <c r="Z62" s="30" t="n">
        <f aca="false">X62*Y62</f>
        <v>0.4912</v>
      </c>
    </row>
    <row r="63" customFormat="false" ht="15" hidden="false" customHeight="false" outlineLevel="0" collapsed="false">
      <c r="V63" s="57"/>
      <c r="X63" s="59"/>
      <c r="Z63" s="55" t="n">
        <f aca="false">SUM(Z61:Z62)</f>
        <v>46.7647</v>
      </c>
    </row>
    <row r="64" customFormat="false" ht="15" hidden="false" customHeight="false" outlineLevel="0" collapsed="false">
      <c r="R64" s="56" t="s">
        <v>308</v>
      </c>
    </row>
    <row r="65" customFormat="false" ht="15" hidden="false" customHeight="false" outlineLevel="0" collapsed="false">
      <c r="R65" s="1" t="s">
        <v>309</v>
      </c>
      <c r="V65" s="57" t="s">
        <v>310</v>
      </c>
      <c r="X65" s="59" t="n">
        <v>3</v>
      </c>
      <c r="Y65" s="30" t="n">
        <f aca="false">Z59</f>
        <v>14.3794666666667</v>
      </c>
      <c r="Z65" s="30" t="n">
        <f aca="false">X65%*Y65</f>
        <v>0.431384</v>
      </c>
    </row>
    <row r="66" customFormat="false" ht="15" hidden="false" customHeight="false" outlineLevel="0" collapsed="false">
      <c r="R66" s="1" t="s">
        <v>655</v>
      </c>
      <c r="V66" s="57" t="s">
        <v>337</v>
      </c>
      <c r="W66" s="58" t="n">
        <v>1</v>
      </c>
      <c r="X66" s="59" t="n">
        <f aca="false">W66*8/$V$53</f>
        <v>0.266666666666667</v>
      </c>
      <c r="Y66" s="1" t="n">
        <v>17.47</v>
      </c>
      <c r="Z66" s="30" t="n">
        <f aca="false">X66*Y66</f>
        <v>4.65866666666667</v>
      </c>
    </row>
    <row r="67" customFormat="false" ht="15" hidden="false" customHeight="false" outlineLevel="0" collapsed="false">
      <c r="Q67" s="62"/>
      <c r="R67" s="62"/>
      <c r="S67" s="62"/>
      <c r="T67" s="62"/>
      <c r="U67" s="62"/>
      <c r="V67" s="62"/>
      <c r="W67" s="62"/>
      <c r="X67" s="62"/>
      <c r="Y67" s="83"/>
      <c r="Z67" s="63" t="n">
        <f aca="false">SUM(Z65:Z66)</f>
        <v>5.09005066666667</v>
      </c>
    </row>
    <row r="69" customFormat="false" ht="15" hidden="false" customHeight="false" outlineLevel="0" collapsed="false">
      <c r="Q69" s="14" t="s">
        <v>276</v>
      </c>
      <c r="R69" s="14"/>
      <c r="S69" s="14" t="s">
        <v>463</v>
      </c>
      <c r="T69" s="14"/>
    </row>
    <row r="70" customFormat="false" ht="15" hidden="false" customHeight="false" outlineLevel="0" collapsed="false">
      <c r="Q70" s="14" t="s">
        <v>277</v>
      </c>
      <c r="R70" s="14" t="s">
        <v>415</v>
      </c>
      <c r="S70" s="38" t="s">
        <v>279</v>
      </c>
      <c r="T70" s="54" t="n">
        <v>40</v>
      </c>
      <c r="U70" s="38" t="s">
        <v>280</v>
      </c>
      <c r="V70" s="54" t="n">
        <f aca="false">T70</f>
        <v>40</v>
      </c>
      <c r="W70" s="14" t="s">
        <v>281</v>
      </c>
      <c r="Y70" s="38" t="s">
        <v>202</v>
      </c>
      <c r="Z70" s="55" t="n">
        <f aca="false">Z76+Z84</f>
        <v>19.29963</v>
      </c>
    </row>
    <row r="71" customFormat="false" ht="15" hidden="false" customHeight="false" outlineLevel="0" collapsed="false">
      <c r="Q71" s="14" t="s">
        <v>282</v>
      </c>
      <c r="R71" s="14" t="s">
        <v>283</v>
      </c>
      <c r="V71" s="38" t="s">
        <v>121</v>
      </c>
      <c r="W71" s="38" t="s">
        <v>284</v>
      </c>
      <c r="X71" s="38" t="s">
        <v>285</v>
      </c>
      <c r="Y71" s="38" t="s">
        <v>286</v>
      </c>
      <c r="Z71" s="38" t="s">
        <v>287</v>
      </c>
    </row>
    <row r="72" customFormat="false" ht="15" hidden="false" customHeight="false" outlineLevel="0" collapsed="false">
      <c r="R72" s="56" t="s">
        <v>288</v>
      </c>
    </row>
    <row r="73" customFormat="false" ht="15" hidden="false" customHeight="false" outlineLevel="0" collapsed="false">
      <c r="R73" s="1" t="s">
        <v>649</v>
      </c>
      <c r="V73" s="57" t="s">
        <v>290</v>
      </c>
      <c r="W73" s="58" t="n">
        <v>0.1</v>
      </c>
      <c r="X73" s="59" t="n">
        <f aca="false">W73*8/$V$70</f>
        <v>0.02</v>
      </c>
      <c r="Y73" s="1" t="n">
        <v>34.73</v>
      </c>
      <c r="Z73" s="30" t="n">
        <f aca="false">X73*Y73</f>
        <v>0.6946</v>
      </c>
    </row>
    <row r="74" customFormat="false" ht="15" hidden="false" customHeight="false" outlineLevel="0" collapsed="false">
      <c r="R74" s="1" t="s">
        <v>292</v>
      </c>
      <c r="V74" s="57" t="s">
        <v>290</v>
      </c>
      <c r="W74" s="58" t="n">
        <v>2</v>
      </c>
      <c r="X74" s="59" t="n">
        <f aca="false">W74*8/$V$70</f>
        <v>0.4</v>
      </c>
      <c r="Y74" s="1" t="n">
        <v>20.51</v>
      </c>
      <c r="Z74" s="30" t="n">
        <f aca="false">X74*Y74</f>
        <v>8.204</v>
      </c>
    </row>
    <row r="75" customFormat="false" ht="15" hidden="false" customHeight="false" outlineLevel="0" collapsed="false">
      <c r="R75" s="1" t="s">
        <v>651</v>
      </c>
      <c r="V75" s="57" t="s">
        <v>290</v>
      </c>
      <c r="W75" s="58" t="n">
        <v>1</v>
      </c>
      <c r="X75" s="59" t="n">
        <f aca="false">W75*8/$V$70</f>
        <v>0.2</v>
      </c>
      <c r="Y75" s="1" t="n">
        <v>29.94</v>
      </c>
      <c r="Z75" s="30" t="n">
        <f aca="false">X75*Y75</f>
        <v>5.988</v>
      </c>
    </row>
    <row r="76" customFormat="false" ht="15" hidden="false" customHeight="false" outlineLevel="0" collapsed="false">
      <c r="Z76" s="55" t="n">
        <f aca="false">SUM(Z73:Z75)</f>
        <v>14.8866</v>
      </c>
    </row>
    <row r="77" customFormat="false" ht="15" hidden="false" customHeight="false" outlineLevel="0" collapsed="false">
      <c r="R77" s="56" t="s">
        <v>652</v>
      </c>
      <c r="V77" s="57"/>
      <c r="W77" s="58"/>
      <c r="X77" s="59"/>
      <c r="Z77" s="30"/>
    </row>
    <row r="78" customFormat="false" ht="15" hidden="false" customHeight="false" outlineLevel="0" collapsed="false">
      <c r="R78" s="1" t="s">
        <v>654</v>
      </c>
      <c r="V78" s="57" t="s">
        <v>202</v>
      </c>
      <c r="W78" s="58"/>
      <c r="X78" s="59" t="n">
        <v>0.08</v>
      </c>
      <c r="Y78" s="1" t="n">
        <v>6.14</v>
      </c>
      <c r="Z78" s="30" t="n">
        <f aca="false">X78*Y78</f>
        <v>0.4912</v>
      </c>
    </row>
    <row r="79" customFormat="false" ht="15" hidden="false" customHeight="false" outlineLevel="0" collapsed="false">
      <c r="V79" s="57"/>
      <c r="X79" s="59"/>
      <c r="Z79" s="55" t="n">
        <f aca="false">SUM(Z78:Z78)</f>
        <v>0.4912</v>
      </c>
    </row>
    <row r="80" customFormat="false" ht="15" hidden="false" customHeight="false" outlineLevel="0" collapsed="false">
      <c r="R80" s="56" t="s">
        <v>308</v>
      </c>
    </row>
    <row r="81" customFormat="false" ht="15" hidden="false" customHeight="false" outlineLevel="0" collapsed="false">
      <c r="R81" s="1" t="s">
        <v>309</v>
      </c>
      <c r="V81" s="57" t="s">
        <v>310</v>
      </c>
      <c r="X81" s="59" t="n">
        <v>5</v>
      </c>
      <c r="Y81" s="30" t="n">
        <f aca="false">Z76</f>
        <v>14.8866</v>
      </c>
      <c r="Z81" s="30" t="n">
        <f aca="false">X81%*Y81</f>
        <v>0.74433</v>
      </c>
    </row>
    <row r="82" customFormat="false" ht="15" hidden="false" customHeight="false" outlineLevel="0" collapsed="false">
      <c r="R82" s="1" t="s">
        <v>655</v>
      </c>
      <c r="V82" s="57" t="s">
        <v>337</v>
      </c>
      <c r="W82" s="58" t="n">
        <v>1</v>
      </c>
      <c r="X82" s="59" t="n">
        <f aca="false">W82*8/$V$70</f>
        <v>0.2</v>
      </c>
      <c r="Y82" s="1" t="n">
        <v>17.47</v>
      </c>
      <c r="Z82" s="30" t="n">
        <f aca="false">X82*Y82</f>
        <v>3.494</v>
      </c>
    </row>
    <row r="83" customFormat="false" ht="15" hidden="false" customHeight="false" outlineLevel="0" collapsed="false">
      <c r="R83" s="1" t="s">
        <v>656</v>
      </c>
      <c r="V83" s="57" t="s">
        <v>337</v>
      </c>
      <c r="W83" s="58" t="n">
        <v>0.05</v>
      </c>
      <c r="X83" s="59" t="n">
        <f aca="false">W83*8/$V$70</f>
        <v>0.01</v>
      </c>
      <c r="Y83" s="1" t="n">
        <v>17.47</v>
      </c>
      <c r="Z83" s="30" t="n">
        <f aca="false">X83*Y83</f>
        <v>0.1747</v>
      </c>
    </row>
    <row r="84" customFormat="false" ht="15" hidden="false" customHeight="false" outlineLevel="0" collapsed="false">
      <c r="Q84" s="62"/>
      <c r="R84" s="62"/>
      <c r="S84" s="62"/>
      <c r="T84" s="62"/>
      <c r="U84" s="62"/>
      <c r="V84" s="62"/>
      <c r="W84" s="62"/>
      <c r="X84" s="62"/>
      <c r="Y84" s="83"/>
      <c r="Z84" s="63" t="n">
        <f aca="false">SUM(Z81:Z83)</f>
        <v>4.41303</v>
      </c>
    </row>
    <row r="86" customFormat="false" ht="15" hidden="false" customHeight="false" outlineLevel="0" collapsed="false">
      <c r="Q86" s="14" t="s">
        <v>276</v>
      </c>
      <c r="R86" s="14"/>
      <c r="S86" s="14" t="s">
        <v>1348</v>
      </c>
      <c r="T86" s="14"/>
    </row>
    <row r="87" customFormat="false" ht="15" hidden="false" customHeight="false" outlineLevel="0" collapsed="false">
      <c r="Q87" s="14" t="s">
        <v>277</v>
      </c>
      <c r="R87" s="14" t="s">
        <v>278</v>
      </c>
      <c r="S87" s="38" t="s">
        <v>279</v>
      </c>
      <c r="T87" s="54" t="n">
        <v>500</v>
      </c>
      <c r="U87" s="38" t="s">
        <v>280</v>
      </c>
      <c r="V87" s="54" t="n">
        <f aca="false">T87</f>
        <v>500</v>
      </c>
      <c r="W87" s="14" t="s">
        <v>281</v>
      </c>
      <c r="Y87" s="38" t="s">
        <v>132</v>
      </c>
      <c r="Z87" s="55" t="n">
        <f aca="false">Z93+Z99</f>
        <v>7.930344</v>
      </c>
    </row>
    <row r="88" customFormat="false" ht="15" hidden="false" customHeight="false" outlineLevel="0" collapsed="false">
      <c r="Q88" s="14" t="s">
        <v>282</v>
      </c>
      <c r="R88" s="14" t="s">
        <v>283</v>
      </c>
      <c r="V88" s="38" t="s">
        <v>121</v>
      </c>
      <c r="W88" s="38" t="s">
        <v>284</v>
      </c>
      <c r="X88" s="38" t="s">
        <v>285</v>
      </c>
      <c r="Y88" s="38" t="s">
        <v>286</v>
      </c>
      <c r="Z88" s="38" t="s">
        <v>287</v>
      </c>
    </row>
    <row r="89" customFormat="false" ht="15" hidden="false" customHeight="false" outlineLevel="0" collapsed="false">
      <c r="R89" s="56" t="s">
        <v>288</v>
      </c>
    </row>
    <row r="90" customFormat="false" ht="15" hidden="false" customHeight="false" outlineLevel="0" collapsed="false">
      <c r="R90" s="1" t="s">
        <v>649</v>
      </c>
      <c r="V90" s="57" t="s">
        <v>290</v>
      </c>
      <c r="W90" s="58" t="n">
        <v>1</v>
      </c>
      <c r="X90" s="59" t="n">
        <f aca="false">W90*8/$T$87</f>
        <v>0.016</v>
      </c>
      <c r="Y90" s="1" t="n">
        <v>34.73</v>
      </c>
      <c r="Z90" s="30" t="n">
        <f aca="false">X90*Y90</f>
        <v>0.55568</v>
      </c>
    </row>
    <row r="91" customFormat="false" ht="15" hidden="false" customHeight="false" outlineLevel="0" collapsed="false">
      <c r="R91" s="1" t="s">
        <v>291</v>
      </c>
      <c r="V91" s="57" t="s">
        <v>290</v>
      </c>
      <c r="W91" s="58" t="n">
        <v>1</v>
      </c>
      <c r="X91" s="59" t="n">
        <f aca="false">W91*8/$T$87</f>
        <v>0.016</v>
      </c>
      <c r="Y91" s="1" t="n">
        <v>23.6</v>
      </c>
      <c r="Z91" s="30" t="n">
        <f aca="false">X91*Y91</f>
        <v>0.3776</v>
      </c>
    </row>
    <row r="92" customFormat="false" ht="15" hidden="false" customHeight="false" outlineLevel="0" collapsed="false">
      <c r="R92" s="1" t="s">
        <v>292</v>
      </c>
      <c r="V92" s="57" t="s">
        <v>290</v>
      </c>
      <c r="W92" s="58" t="n">
        <v>3</v>
      </c>
      <c r="X92" s="59" t="n">
        <f aca="false">W92*8/$T$87</f>
        <v>0.048</v>
      </c>
      <c r="Y92" s="1" t="n">
        <v>20.51</v>
      </c>
      <c r="Z92" s="30" t="n">
        <f aca="false">X92*Y92</f>
        <v>0.98448</v>
      </c>
    </row>
    <row r="93" customFormat="false" ht="15" hidden="false" customHeight="false" outlineLevel="0" collapsed="false">
      <c r="Z93" s="55" t="n">
        <f aca="false">SUM(Z90:Z92)</f>
        <v>1.91776</v>
      </c>
    </row>
    <row r="94" customFormat="false" ht="15" hidden="false" customHeight="false" outlineLevel="0" collapsed="false">
      <c r="R94" s="56" t="s">
        <v>308</v>
      </c>
    </row>
    <row r="95" customFormat="false" ht="15" hidden="false" customHeight="false" outlineLevel="0" collapsed="false">
      <c r="R95" s="1" t="s">
        <v>309</v>
      </c>
      <c r="V95" s="57" t="s">
        <v>310</v>
      </c>
      <c r="X95" s="59" t="n">
        <v>5</v>
      </c>
      <c r="Y95" s="30" t="n">
        <f aca="false">Z90</f>
        <v>0.55568</v>
      </c>
      <c r="Z95" s="30" t="n">
        <f aca="false">X95%*Y95</f>
        <v>0.027784</v>
      </c>
    </row>
    <row r="96" customFormat="false" ht="15" hidden="false" customHeight="true" outlineLevel="0" collapsed="false">
      <c r="R96" s="1" t="s">
        <v>655</v>
      </c>
      <c r="V96" s="57" t="s">
        <v>337</v>
      </c>
      <c r="W96" s="58" t="n">
        <v>1</v>
      </c>
      <c r="X96" s="59" t="n">
        <f aca="false">W96*8/$T$87</f>
        <v>0.016</v>
      </c>
      <c r="Y96" s="1" t="n">
        <v>17.47</v>
      </c>
      <c r="Z96" s="30" t="n">
        <f aca="false">X96*Y96</f>
        <v>0.27952</v>
      </c>
    </row>
    <row r="97" customFormat="false" ht="15" hidden="false" customHeight="true" outlineLevel="0" collapsed="false">
      <c r="R97" s="1" t="s">
        <v>657</v>
      </c>
      <c r="V97" s="57" t="s">
        <v>337</v>
      </c>
      <c r="W97" s="58" t="n">
        <v>1</v>
      </c>
      <c r="X97" s="59" t="n">
        <f aca="false">W97*8/$T$87</f>
        <v>0.016</v>
      </c>
      <c r="Y97" s="1" t="n">
        <v>136.06</v>
      </c>
      <c r="Z97" s="30" t="n">
        <f aca="false">X97*Y97</f>
        <v>2.17696</v>
      </c>
    </row>
    <row r="98" customFormat="false" ht="15" hidden="false" customHeight="true" outlineLevel="0" collapsed="false">
      <c r="R98" s="232" t="s">
        <v>658</v>
      </c>
      <c r="S98" s="232"/>
      <c r="T98" s="232"/>
      <c r="U98" s="232"/>
      <c r="V98" s="57" t="s">
        <v>337</v>
      </c>
      <c r="W98" s="58" t="n">
        <v>1</v>
      </c>
      <c r="X98" s="59" t="n">
        <f aca="false">W98*8/$T$87</f>
        <v>0.016</v>
      </c>
      <c r="Y98" s="1" t="n">
        <v>220.52</v>
      </c>
      <c r="Z98" s="30" t="n">
        <f aca="false">X98*Y98</f>
        <v>3.52832</v>
      </c>
    </row>
    <row r="99" customFormat="false" ht="15" hidden="false" customHeight="false" outlineLevel="0" collapsed="false">
      <c r="Q99" s="62"/>
      <c r="R99" s="62"/>
      <c r="S99" s="62"/>
      <c r="T99" s="62"/>
      <c r="U99" s="62"/>
      <c r="V99" s="62"/>
      <c r="W99" s="62"/>
      <c r="X99" s="62"/>
      <c r="Y99" s="83"/>
      <c r="Z99" s="63" t="n">
        <f aca="false">SUM(Z95:Z98)</f>
        <v>6.012584</v>
      </c>
    </row>
    <row r="101" customFormat="false" ht="15" hidden="false" customHeight="false" outlineLevel="0" collapsed="false">
      <c r="Q101" s="14" t="s">
        <v>276</v>
      </c>
      <c r="R101" s="14"/>
      <c r="S101" s="14" t="s">
        <v>467</v>
      </c>
      <c r="T101" s="14"/>
    </row>
    <row r="102" customFormat="false" ht="15" hidden="false" customHeight="false" outlineLevel="0" collapsed="false">
      <c r="Q102" s="14" t="s">
        <v>277</v>
      </c>
      <c r="R102" s="14" t="s">
        <v>313</v>
      </c>
      <c r="S102" s="38" t="s">
        <v>279</v>
      </c>
      <c r="T102" s="54" t="n">
        <v>80</v>
      </c>
      <c r="U102" s="38" t="s">
        <v>280</v>
      </c>
      <c r="V102" s="54" t="n">
        <f aca="false">T102</f>
        <v>80</v>
      </c>
      <c r="W102" s="14" t="s">
        <v>281</v>
      </c>
      <c r="Y102" s="38" t="s">
        <v>143</v>
      </c>
      <c r="Z102" s="55" t="n">
        <f aca="false">Z106+Z110</f>
        <v>12.11253</v>
      </c>
    </row>
    <row r="103" customFormat="false" ht="15" hidden="false" customHeight="false" outlineLevel="0" collapsed="false">
      <c r="Q103" s="14" t="s">
        <v>282</v>
      </c>
      <c r="R103" s="14" t="s">
        <v>283</v>
      </c>
      <c r="V103" s="38" t="s">
        <v>121</v>
      </c>
      <c r="W103" s="38" t="s">
        <v>284</v>
      </c>
      <c r="X103" s="38" t="s">
        <v>285</v>
      </c>
      <c r="Y103" s="38" t="s">
        <v>286</v>
      </c>
      <c r="Z103" s="38" t="s">
        <v>287</v>
      </c>
    </row>
    <row r="104" customFormat="false" ht="15" hidden="false" customHeight="false" outlineLevel="0" collapsed="false">
      <c r="R104" s="56" t="s">
        <v>288</v>
      </c>
    </row>
    <row r="105" customFormat="false" ht="15" hidden="false" customHeight="false" outlineLevel="0" collapsed="false">
      <c r="R105" s="1" t="s">
        <v>292</v>
      </c>
      <c r="V105" s="57" t="s">
        <v>290</v>
      </c>
      <c r="W105" s="58" t="n">
        <v>1</v>
      </c>
      <c r="X105" s="59" t="n">
        <f aca="false">W105*8/$V$102</f>
        <v>0.1</v>
      </c>
      <c r="Y105" s="1" t="n">
        <v>20.51</v>
      </c>
      <c r="Z105" s="30" t="n">
        <f aca="false">X105*Y105</f>
        <v>2.051</v>
      </c>
    </row>
    <row r="106" customFormat="false" ht="15" hidden="false" customHeight="false" outlineLevel="0" collapsed="false">
      <c r="V106" s="57"/>
      <c r="W106" s="58"/>
      <c r="X106" s="59"/>
      <c r="Z106" s="55" t="n">
        <f aca="false">SUM(Z105:Z105)</f>
        <v>2.051</v>
      </c>
    </row>
    <row r="107" customFormat="false" ht="15" hidden="false" customHeight="false" outlineLevel="0" collapsed="false">
      <c r="R107" s="56" t="s">
        <v>308</v>
      </c>
    </row>
    <row r="108" customFormat="false" ht="15" hidden="false" customHeight="false" outlineLevel="0" collapsed="false">
      <c r="R108" s="1" t="s">
        <v>309</v>
      </c>
      <c r="V108" s="57" t="s">
        <v>310</v>
      </c>
      <c r="X108" s="59" t="n">
        <v>3</v>
      </c>
      <c r="Y108" s="30" t="n">
        <f aca="false">Z106</f>
        <v>2.051</v>
      </c>
      <c r="Z108" s="30" t="n">
        <f aca="false">X108%*Y108</f>
        <v>0.06153</v>
      </c>
    </row>
    <row r="109" customFormat="false" ht="15" hidden="false" customHeight="false" outlineLevel="0" collapsed="false">
      <c r="R109" s="1" t="s">
        <v>659</v>
      </c>
      <c r="V109" s="57" t="s">
        <v>337</v>
      </c>
      <c r="W109" s="58" t="n">
        <v>1</v>
      </c>
      <c r="X109" s="59" t="n">
        <f aca="false">W109*8/$V$102</f>
        <v>0.1</v>
      </c>
      <c r="Y109" s="1" t="n">
        <v>100</v>
      </c>
      <c r="Z109" s="30" t="n">
        <f aca="false">X109*Y109</f>
        <v>10</v>
      </c>
    </row>
    <row r="110" customFormat="false" ht="15" hidden="false" customHeight="false" outlineLevel="0" collapsed="false">
      <c r="Q110" s="62"/>
      <c r="R110" s="62"/>
      <c r="S110" s="62"/>
      <c r="T110" s="62"/>
      <c r="U110" s="62"/>
      <c r="V110" s="62"/>
      <c r="W110" s="62"/>
      <c r="X110" s="62"/>
      <c r="Y110" s="83"/>
      <c r="Z110" s="63" t="n">
        <f aca="false">SUM(Z108:Z109)</f>
        <v>10.06153</v>
      </c>
    </row>
    <row r="112" customFormat="false" ht="15" hidden="false" customHeight="false" outlineLevel="0" collapsed="false">
      <c r="Q112" s="14" t="s">
        <v>276</v>
      </c>
      <c r="R112" s="14"/>
      <c r="S112" s="14" t="s">
        <v>469</v>
      </c>
      <c r="T112" s="14"/>
    </row>
    <row r="113" customFormat="false" ht="15" hidden="false" customHeight="false" outlineLevel="0" collapsed="false">
      <c r="Q113" s="14" t="s">
        <v>277</v>
      </c>
      <c r="R113" s="14" t="s">
        <v>415</v>
      </c>
      <c r="S113" s="38" t="s">
        <v>279</v>
      </c>
      <c r="T113" s="54" t="n">
        <v>187.5</v>
      </c>
      <c r="U113" s="38" t="s">
        <v>280</v>
      </c>
      <c r="V113" s="54" t="n">
        <f aca="false">T113</f>
        <v>187.5</v>
      </c>
      <c r="W113" s="14" t="s">
        <v>281</v>
      </c>
      <c r="Y113" s="38" t="s">
        <v>202</v>
      </c>
      <c r="Z113" s="55" t="n">
        <f aca="false">Z118+Z123</f>
        <v>22.9100074666667</v>
      </c>
    </row>
    <row r="114" customFormat="false" ht="15" hidden="false" customHeight="false" outlineLevel="0" collapsed="false">
      <c r="Q114" s="14" t="s">
        <v>282</v>
      </c>
      <c r="R114" s="14" t="s">
        <v>283</v>
      </c>
      <c r="V114" s="38" t="s">
        <v>121</v>
      </c>
      <c r="W114" s="38" t="s">
        <v>284</v>
      </c>
      <c r="X114" s="38" t="s">
        <v>285</v>
      </c>
      <c r="Y114" s="38" t="s">
        <v>286</v>
      </c>
      <c r="Z114" s="38" t="s">
        <v>287</v>
      </c>
    </row>
    <row r="115" customFormat="false" ht="15" hidden="false" customHeight="false" outlineLevel="0" collapsed="false">
      <c r="R115" s="56" t="s">
        <v>288</v>
      </c>
    </row>
    <row r="116" customFormat="false" ht="15" hidden="false" customHeight="false" outlineLevel="0" collapsed="false">
      <c r="R116" s="1" t="s">
        <v>291</v>
      </c>
      <c r="V116" s="57" t="s">
        <v>290</v>
      </c>
      <c r="W116" s="58" t="n">
        <v>1</v>
      </c>
      <c r="X116" s="59" t="n">
        <f aca="false">W116*8/$V$113</f>
        <v>0.0426666666666667</v>
      </c>
      <c r="Y116" s="1" t="n">
        <v>23.6</v>
      </c>
      <c r="Z116" s="30" t="n">
        <f aca="false">X116*Y116</f>
        <v>1.00693333333333</v>
      </c>
    </row>
    <row r="117" customFormat="false" ht="15" hidden="false" customHeight="false" outlineLevel="0" collapsed="false">
      <c r="R117" s="1" t="s">
        <v>292</v>
      </c>
      <c r="V117" s="57" t="s">
        <v>290</v>
      </c>
      <c r="W117" s="58" t="n">
        <v>1</v>
      </c>
      <c r="X117" s="59" t="n">
        <f aca="false">W117*8/$V$113</f>
        <v>0.0426666666666667</v>
      </c>
      <c r="Y117" s="1" t="n">
        <v>20.51</v>
      </c>
      <c r="Z117" s="30" t="n">
        <f aca="false">X117*Y117</f>
        <v>0.875093333333333</v>
      </c>
    </row>
    <row r="118" customFormat="false" ht="15" hidden="false" customHeight="false" outlineLevel="0" collapsed="false">
      <c r="V118" s="57"/>
      <c r="W118" s="58"/>
      <c r="X118" s="59"/>
      <c r="Z118" s="55" t="n">
        <f aca="false">SUM(Z116:Z117)</f>
        <v>1.88202666666667</v>
      </c>
    </row>
    <row r="119" customFormat="false" ht="15" hidden="false" customHeight="false" outlineLevel="0" collapsed="false">
      <c r="R119" s="56" t="s">
        <v>308</v>
      </c>
    </row>
    <row r="120" customFormat="false" ht="15" hidden="false" customHeight="false" outlineLevel="0" collapsed="false">
      <c r="R120" s="1" t="s">
        <v>309</v>
      </c>
      <c r="V120" s="57" t="s">
        <v>310</v>
      </c>
      <c r="X120" s="59" t="n">
        <v>3</v>
      </c>
      <c r="Y120" s="30" t="n">
        <f aca="false">Z118</f>
        <v>1.88202666666667</v>
      </c>
      <c r="Z120" s="30" t="n">
        <f aca="false">X120%*Y120</f>
        <v>0.0564608</v>
      </c>
    </row>
    <row r="121" customFormat="false" ht="15" hidden="false" customHeight="false" outlineLevel="0" collapsed="false">
      <c r="R121" s="1" t="s">
        <v>660</v>
      </c>
      <c r="V121" s="57" t="s">
        <v>337</v>
      </c>
      <c r="W121" s="58" t="n">
        <v>1</v>
      </c>
      <c r="X121" s="59" t="n">
        <f aca="false">W121*8/$V$113</f>
        <v>0.0426666666666667</v>
      </c>
      <c r="Y121" s="65" t="n">
        <v>118.64</v>
      </c>
      <c r="Z121" s="30" t="n">
        <f aca="false">X121*Y121</f>
        <v>5.06197333333333</v>
      </c>
    </row>
    <row r="122" customFormat="false" ht="15" hidden="false" customHeight="false" outlineLevel="0" collapsed="false">
      <c r="R122" s="1" t="s">
        <v>661</v>
      </c>
      <c r="V122" s="57" t="s">
        <v>337</v>
      </c>
      <c r="W122" s="58" t="n">
        <v>2</v>
      </c>
      <c r="X122" s="59" t="n">
        <f aca="false">W122*8/$V$113</f>
        <v>0.0853333333333333</v>
      </c>
      <c r="Y122" s="65" t="n">
        <v>186.44</v>
      </c>
      <c r="Z122" s="30" t="n">
        <f aca="false">X122*Y122</f>
        <v>15.9095466666667</v>
      </c>
    </row>
    <row r="123" customFormat="false" ht="15" hidden="false" customHeight="false" outlineLevel="0" collapsed="false">
      <c r="Q123" s="62"/>
      <c r="R123" s="62"/>
      <c r="S123" s="62"/>
      <c r="T123" s="62"/>
      <c r="U123" s="62"/>
      <c r="V123" s="62"/>
      <c r="W123" s="62"/>
      <c r="X123" s="62"/>
      <c r="Y123" s="83"/>
      <c r="Z123" s="63" t="n">
        <f aca="false">SUM(Z120:Z122)</f>
        <v>21.0279808</v>
      </c>
    </row>
    <row r="125" customFormat="false" ht="15" hidden="false" customHeight="false" outlineLevel="0" collapsed="false">
      <c r="Q125" s="85" t="s">
        <v>276</v>
      </c>
      <c r="R125" s="85"/>
      <c r="S125" s="85" t="s">
        <v>482</v>
      </c>
      <c r="T125" s="85"/>
    </row>
    <row r="126" customFormat="false" ht="15" hidden="false" customHeight="false" outlineLevel="0" collapsed="false">
      <c r="Q126" s="85" t="s">
        <v>277</v>
      </c>
      <c r="R126" s="85" t="s">
        <v>278</v>
      </c>
      <c r="S126" s="87" t="s">
        <v>279</v>
      </c>
      <c r="T126" s="88" t="n">
        <v>50</v>
      </c>
      <c r="U126" s="87" t="s">
        <v>280</v>
      </c>
      <c r="V126" s="88" t="n">
        <f aca="false">T126</f>
        <v>50</v>
      </c>
      <c r="W126" s="85" t="s">
        <v>281</v>
      </c>
      <c r="Y126" s="87" t="s">
        <v>132</v>
      </c>
      <c r="Z126" s="89" t="n">
        <f aca="false">Z134+Z141+Z145</f>
        <v>238.3435744</v>
      </c>
    </row>
    <row r="127" customFormat="false" ht="15" hidden="false" customHeight="false" outlineLevel="0" collapsed="false">
      <c r="Q127" s="85" t="s">
        <v>282</v>
      </c>
      <c r="R127" s="85" t="s">
        <v>283</v>
      </c>
      <c r="V127" s="87" t="s">
        <v>121</v>
      </c>
      <c r="W127" s="87" t="s">
        <v>284</v>
      </c>
      <c r="X127" s="87" t="s">
        <v>285</v>
      </c>
      <c r="Y127" s="87" t="s">
        <v>286</v>
      </c>
      <c r="Z127" s="87" t="s">
        <v>287</v>
      </c>
    </row>
    <row r="128" customFormat="false" ht="15" hidden="false" customHeight="false" outlineLevel="0" collapsed="false">
      <c r="R128" s="90" t="s">
        <v>288</v>
      </c>
    </row>
    <row r="129" customFormat="false" ht="15" hidden="false" customHeight="false" outlineLevel="0" collapsed="false">
      <c r="R129" s="1" t="s">
        <v>649</v>
      </c>
      <c r="V129" s="57" t="s">
        <v>290</v>
      </c>
      <c r="W129" s="58" t="n">
        <v>0.1</v>
      </c>
      <c r="X129" s="59" t="n">
        <f aca="false">W129*8/$T$126</f>
        <v>0.016</v>
      </c>
      <c r="Y129" s="1" t="n">
        <v>34.73</v>
      </c>
      <c r="Z129" s="30" t="n">
        <f aca="false">X129*Y129</f>
        <v>0.55568</v>
      </c>
    </row>
    <row r="130" customFormat="false" ht="15" hidden="false" customHeight="false" outlineLevel="0" collapsed="false">
      <c r="R130" s="1" t="s">
        <v>289</v>
      </c>
      <c r="V130" s="57" t="s">
        <v>290</v>
      </c>
      <c r="W130" s="58" t="n">
        <v>1</v>
      </c>
      <c r="X130" s="59" t="n">
        <f aca="false">W130*8/$T$126</f>
        <v>0.16</v>
      </c>
      <c r="Y130" s="30" t="n">
        <v>28.94</v>
      </c>
      <c r="Z130" s="30" t="n">
        <f aca="false">X130*Y130</f>
        <v>4.6304</v>
      </c>
    </row>
    <row r="131" customFormat="false" ht="15" hidden="false" customHeight="false" outlineLevel="0" collapsed="false">
      <c r="R131" s="1" t="s">
        <v>291</v>
      </c>
      <c r="V131" s="57" t="s">
        <v>290</v>
      </c>
      <c r="W131" s="58" t="n">
        <v>2</v>
      </c>
      <c r="X131" s="59" t="n">
        <f aca="false">W131*8/$T$126</f>
        <v>0.32</v>
      </c>
      <c r="Y131" s="30" t="n">
        <v>23.6</v>
      </c>
      <c r="Z131" s="30" t="n">
        <f aca="false">X131*Y131</f>
        <v>7.552</v>
      </c>
    </row>
    <row r="132" customFormat="false" ht="15" hidden="false" customHeight="false" outlineLevel="0" collapsed="false">
      <c r="R132" s="1" t="s">
        <v>292</v>
      </c>
      <c r="V132" s="57" t="s">
        <v>290</v>
      </c>
      <c r="W132" s="58" t="n">
        <v>5</v>
      </c>
      <c r="X132" s="59" t="n">
        <f aca="false">W132*8/$T$126</f>
        <v>0.8</v>
      </c>
      <c r="Y132" s="30" t="n">
        <v>21.36</v>
      </c>
      <c r="Z132" s="30" t="n">
        <f aca="false">X132*Y132</f>
        <v>17.088</v>
      </c>
    </row>
    <row r="133" customFormat="false" ht="15" hidden="false" customHeight="false" outlineLevel="0" collapsed="false">
      <c r="R133" s="1" t="s">
        <v>651</v>
      </c>
      <c r="V133" s="57" t="s">
        <v>290</v>
      </c>
      <c r="W133" s="58" t="n">
        <v>1</v>
      </c>
      <c r="X133" s="59" t="n">
        <f aca="false">W133*8/$T$126</f>
        <v>0.16</v>
      </c>
      <c r="Y133" s="1" t="n">
        <v>29.94</v>
      </c>
      <c r="Z133" s="30" t="n">
        <f aca="false">X133*Y133</f>
        <v>4.7904</v>
      </c>
    </row>
    <row r="134" customFormat="false" ht="15" hidden="false" customHeight="false" outlineLevel="0" collapsed="false">
      <c r="V134" s="57"/>
      <c r="W134" s="58"/>
      <c r="X134" s="59"/>
      <c r="Z134" s="89" t="n">
        <f aca="false">SUM(Z129:Z133)</f>
        <v>34.61648</v>
      </c>
    </row>
    <row r="135" customFormat="false" ht="15" hidden="false" customHeight="false" outlineLevel="0" collapsed="false">
      <c r="R135" s="90" t="s">
        <v>652</v>
      </c>
      <c r="V135" s="57"/>
      <c r="W135" s="58"/>
      <c r="X135" s="59"/>
      <c r="Z135" s="30"/>
    </row>
    <row r="136" customFormat="false" ht="15" hidden="false" customHeight="false" outlineLevel="0" collapsed="false">
      <c r="R136" s="1" t="s">
        <v>305</v>
      </c>
      <c r="V136" s="57" t="s">
        <v>306</v>
      </c>
      <c r="X136" s="59" t="n">
        <v>3.8</v>
      </c>
      <c r="Y136" s="30" t="n">
        <v>24.52</v>
      </c>
      <c r="Z136" s="30" t="n">
        <f aca="false">X136*Y136</f>
        <v>93.176</v>
      </c>
    </row>
    <row r="137" customFormat="false" ht="15" hidden="false" customHeight="false" outlineLevel="0" collapsed="false">
      <c r="R137" s="1" t="s">
        <v>654</v>
      </c>
      <c r="V137" s="57" t="s">
        <v>202</v>
      </c>
      <c r="X137" s="59" t="n">
        <v>0.08</v>
      </c>
      <c r="Y137" s="1" t="n">
        <v>6.14</v>
      </c>
      <c r="Z137" s="30" t="n">
        <f aca="false">X137*Y137</f>
        <v>0.4912</v>
      </c>
    </row>
    <row r="138" customFormat="false" ht="15" hidden="false" customHeight="false" outlineLevel="0" collapsed="false">
      <c r="R138" s="1" t="s">
        <v>663</v>
      </c>
      <c r="V138" s="57" t="s">
        <v>437</v>
      </c>
      <c r="X138" s="59" t="n">
        <v>0.5</v>
      </c>
      <c r="Y138" s="1" t="n">
        <v>13.93</v>
      </c>
      <c r="Z138" s="30" t="n">
        <f aca="false">X138*Y138</f>
        <v>6.965</v>
      </c>
    </row>
    <row r="139" customFormat="false" ht="15" hidden="false" customHeight="false" outlineLevel="0" collapsed="false">
      <c r="R139" s="1" t="s">
        <v>311</v>
      </c>
      <c r="V139" s="57" t="s">
        <v>202</v>
      </c>
      <c r="X139" s="59" t="n">
        <v>0.93</v>
      </c>
      <c r="Y139" s="71" t="n">
        <v>70.92</v>
      </c>
      <c r="Z139" s="30" t="n">
        <f aca="false">X139*Y139</f>
        <v>65.9556</v>
      </c>
    </row>
    <row r="140" customFormat="false" ht="15" hidden="false" customHeight="false" outlineLevel="0" collapsed="false">
      <c r="R140" s="1" t="s">
        <v>664</v>
      </c>
      <c r="V140" s="57" t="s">
        <v>202</v>
      </c>
      <c r="X140" s="59" t="n">
        <v>0.4</v>
      </c>
      <c r="Y140" s="71" t="n">
        <v>80</v>
      </c>
      <c r="Z140" s="30" t="n">
        <f aca="false">X140*Y140</f>
        <v>32</v>
      </c>
    </row>
    <row r="141" customFormat="false" ht="15" hidden="false" customHeight="false" outlineLevel="0" collapsed="false">
      <c r="V141" s="57"/>
      <c r="X141" s="59"/>
      <c r="Y141" s="30"/>
      <c r="Z141" s="89" t="n">
        <f aca="false">SUM(Z136:Z140)</f>
        <v>198.5878</v>
      </c>
    </row>
    <row r="142" customFormat="false" ht="15" hidden="false" customHeight="false" outlineLevel="0" collapsed="false">
      <c r="R142" s="90" t="s">
        <v>308</v>
      </c>
    </row>
    <row r="143" customFormat="false" ht="15" hidden="false" customHeight="false" outlineLevel="0" collapsed="false">
      <c r="R143" s="1" t="s">
        <v>309</v>
      </c>
      <c r="V143" s="57" t="s">
        <v>310</v>
      </c>
      <c r="X143" s="59" t="n">
        <v>3</v>
      </c>
      <c r="Y143" s="30" t="n">
        <f aca="false">Z134</f>
        <v>34.61648</v>
      </c>
      <c r="Z143" s="30" t="n">
        <f aca="false">X143%*Y143</f>
        <v>1.0384944</v>
      </c>
    </row>
    <row r="144" customFormat="false" ht="15" hidden="false" customHeight="false" outlineLevel="0" collapsed="false">
      <c r="R144" s="1" t="s">
        <v>665</v>
      </c>
      <c r="V144" s="57" t="s">
        <v>337</v>
      </c>
      <c r="W144" s="58" t="n">
        <v>1</v>
      </c>
      <c r="X144" s="59" t="n">
        <f aca="false">W144*8/$T$126</f>
        <v>0.16</v>
      </c>
      <c r="Y144" s="30" t="n">
        <v>25.63</v>
      </c>
      <c r="Z144" s="30" t="n">
        <f aca="false">X144*Y144</f>
        <v>4.1008</v>
      </c>
    </row>
    <row r="145" customFormat="false" ht="15" hidden="false" customHeight="false" outlineLevel="0" collapsed="false">
      <c r="Q145" s="62"/>
      <c r="R145" s="62"/>
      <c r="S145" s="62"/>
      <c r="T145" s="62"/>
      <c r="U145" s="62"/>
      <c r="V145" s="62"/>
      <c r="W145" s="62"/>
      <c r="X145" s="62"/>
      <c r="Y145" s="62"/>
      <c r="Z145" s="91" t="n">
        <f aca="false">SUM(Z143:Z144)</f>
        <v>5.1392944</v>
      </c>
    </row>
    <row r="151" customFormat="false" ht="15" hidden="false" customHeight="false" outlineLevel="0" collapsed="false">
      <c r="Q151" s="85" t="s">
        <v>276</v>
      </c>
      <c r="R151" s="85"/>
      <c r="S151" s="85" t="s">
        <v>666</v>
      </c>
      <c r="T151" s="85"/>
    </row>
    <row r="152" customFormat="false" ht="15" hidden="false" customHeight="false" outlineLevel="0" collapsed="false">
      <c r="Q152" s="85" t="s">
        <v>277</v>
      </c>
      <c r="R152" s="85" t="s">
        <v>278</v>
      </c>
      <c r="S152" s="87" t="s">
        <v>279</v>
      </c>
      <c r="T152" s="88" t="n">
        <v>110</v>
      </c>
      <c r="U152" s="87" t="s">
        <v>280</v>
      </c>
      <c r="V152" s="88" t="n">
        <f aca="false">T152</f>
        <v>110</v>
      </c>
      <c r="W152" s="85" t="s">
        <v>281</v>
      </c>
      <c r="Y152" s="87" t="s">
        <v>132</v>
      </c>
      <c r="Z152" s="89" t="n">
        <f aca="false">Z158+Z164+Z168</f>
        <v>39.6208818181818</v>
      </c>
    </row>
    <row r="153" customFormat="false" ht="15" hidden="false" customHeight="false" outlineLevel="0" collapsed="false">
      <c r="Q153" s="85" t="s">
        <v>282</v>
      </c>
      <c r="R153" s="85" t="s">
        <v>283</v>
      </c>
      <c r="V153" s="87" t="s">
        <v>121</v>
      </c>
      <c r="W153" s="87" t="s">
        <v>284</v>
      </c>
      <c r="X153" s="87" t="s">
        <v>285</v>
      </c>
      <c r="Y153" s="87" t="s">
        <v>286</v>
      </c>
      <c r="Z153" s="87" t="s">
        <v>287</v>
      </c>
    </row>
    <row r="154" customFormat="false" ht="15" hidden="false" customHeight="false" outlineLevel="0" collapsed="false">
      <c r="R154" s="90" t="s">
        <v>288</v>
      </c>
    </row>
    <row r="155" customFormat="false" ht="15" hidden="false" customHeight="false" outlineLevel="0" collapsed="false">
      <c r="R155" s="1" t="s">
        <v>289</v>
      </c>
      <c r="V155" s="57" t="s">
        <v>290</v>
      </c>
      <c r="W155" s="58" t="n">
        <v>2</v>
      </c>
      <c r="X155" s="59" t="n">
        <f aca="false">W155*8/$T$152</f>
        <v>0.145454545454545</v>
      </c>
      <c r="Y155" s="30" t="n">
        <v>28.94</v>
      </c>
      <c r="Z155" s="30" t="n">
        <f aca="false">X155*Y155</f>
        <v>4.20945454545455</v>
      </c>
    </row>
    <row r="156" customFormat="false" ht="15" hidden="false" customHeight="false" outlineLevel="0" collapsed="false">
      <c r="R156" s="1" t="s">
        <v>291</v>
      </c>
      <c r="V156" s="57" t="s">
        <v>290</v>
      </c>
      <c r="W156" s="58" t="n">
        <v>1</v>
      </c>
      <c r="X156" s="59" t="n">
        <f aca="false">W156*8/$T$152</f>
        <v>0.0727272727272727</v>
      </c>
      <c r="Y156" s="30" t="n">
        <v>23.6</v>
      </c>
      <c r="Z156" s="30" t="n">
        <f aca="false">X156*Y156</f>
        <v>1.71636363636364</v>
      </c>
    </row>
    <row r="157" customFormat="false" ht="15" hidden="false" customHeight="false" outlineLevel="0" collapsed="false">
      <c r="R157" s="1" t="s">
        <v>292</v>
      </c>
      <c r="V157" s="57" t="s">
        <v>290</v>
      </c>
      <c r="W157" s="58" t="n">
        <v>6</v>
      </c>
      <c r="X157" s="59" t="n">
        <f aca="false">W157*8/$T$152</f>
        <v>0.436363636363636</v>
      </c>
      <c r="Y157" s="30" t="n">
        <v>21.36</v>
      </c>
      <c r="Z157" s="30" t="n">
        <f aca="false">X157*Y157</f>
        <v>9.32072727272727</v>
      </c>
    </row>
    <row r="158" customFormat="false" ht="15" hidden="false" customHeight="false" outlineLevel="0" collapsed="false">
      <c r="V158" s="57"/>
      <c r="W158" s="58"/>
      <c r="X158" s="59"/>
      <c r="Z158" s="89" t="n">
        <f aca="false">SUM(Z155:Z157)</f>
        <v>15.2465454545455</v>
      </c>
    </row>
    <row r="159" customFormat="false" ht="15" hidden="false" customHeight="false" outlineLevel="0" collapsed="false">
      <c r="R159" s="90" t="s">
        <v>652</v>
      </c>
      <c r="V159" s="57"/>
      <c r="W159" s="58"/>
      <c r="X159" s="59"/>
      <c r="Z159" s="30"/>
    </row>
    <row r="160" customFormat="false" ht="15" hidden="false" customHeight="false" outlineLevel="0" collapsed="false">
      <c r="R160" s="1" t="s">
        <v>305</v>
      </c>
      <c r="V160" s="57" t="s">
        <v>306</v>
      </c>
      <c r="X160" s="59" t="n">
        <v>0.42</v>
      </c>
      <c r="Y160" s="30" t="n">
        <v>24.52</v>
      </c>
      <c r="Z160" s="30" t="n">
        <f aca="false">X160*Y160</f>
        <v>10.2984</v>
      </c>
    </row>
    <row r="161" customFormat="false" ht="15" hidden="false" customHeight="false" outlineLevel="0" collapsed="false">
      <c r="R161" s="1" t="s">
        <v>654</v>
      </c>
      <c r="V161" s="57" t="s">
        <v>202</v>
      </c>
      <c r="X161" s="59" t="n">
        <v>0.025</v>
      </c>
      <c r="Y161" s="1" t="n">
        <v>6.14</v>
      </c>
      <c r="Z161" s="30" t="n">
        <f aca="false">X161*Y161</f>
        <v>0.1535</v>
      </c>
    </row>
    <row r="162" customFormat="false" ht="15" hidden="false" customHeight="false" outlineLevel="0" collapsed="false">
      <c r="R162" s="1" t="s">
        <v>311</v>
      </c>
      <c r="V162" s="57" t="s">
        <v>202</v>
      </c>
      <c r="X162" s="59" t="n">
        <v>0.162</v>
      </c>
      <c r="Y162" s="71" t="n">
        <v>70.92</v>
      </c>
      <c r="Z162" s="30" t="n">
        <f aca="false">X162*Y162</f>
        <v>11.48904</v>
      </c>
    </row>
    <row r="163" customFormat="false" ht="15" hidden="false" customHeight="false" outlineLevel="0" collapsed="false">
      <c r="R163" s="1" t="s">
        <v>667</v>
      </c>
      <c r="V163" s="57" t="s">
        <v>304</v>
      </c>
      <c r="X163" s="59" t="n">
        <v>0.18</v>
      </c>
      <c r="Y163" s="30" t="n">
        <v>5.8</v>
      </c>
      <c r="Z163" s="30" t="n">
        <f aca="false">X163*Y163</f>
        <v>1.044</v>
      </c>
    </row>
    <row r="164" customFormat="false" ht="15" hidden="false" customHeight="false" outlineLevel="0" collapsed="false">
      <c r="V164" s="57"/>
      <c r="X164" s="59"/>
      <c r="Y164" s="30"/>
      <c r="Z164" s="89" t="n">
        <f aca="false">SUM(Z160:Z163)</f>
        <v>22.98494</v>
      </c>
    </row>
    <row r="165" customFormat="false" ht="15" hidden="false" customHeight="false" outlineLevel="0" collapsed="false">
      <c r="R165" s="90" t="s">
        <v>308</v>
      </c>
    </row>
    <row r="166" customFormat="false" ht="15" hidden="false" customHeight="false" outlineLevel="0" collapsed="false">
      <c r="R166" s="1" t="s">
        <v>309</v>
      </c>
      <c r="V166" s="57" t="s">
        <v>310</v>
      </c>
      <c r="X166" s="59" t="n">
        <v>3</v>
      </c>
      <c r="Y166" s="30" t="n">
        <f aca="false">Z158</f>
        <v>15.2465454545455</v>
      </c>
      <c r="Z166" s="30" t="n">
        <f aca="false">X166%*Y166</f>
        <v>0.457396363636364</v>
      </c>
    </row>
    <row r="167" customFormat="false" ht="15" hidden="false" customHeight="false" outlineLevel="0" collapsed="false">
      <c r="R167" s="1" t="s">
        <v>665</v>
      </c>
      <c r="V167" s="57" t="s">
        <v>337</v>
      </c>
      <c r="W167" s="58" t="n">
        <v>0.5</v>
      </c>
      <c r="X167" s="59" t="n">
        <f aca="false">W167*8/$T$152</f>
        <v>0.0363636363636364</v>
      </c>
      <c r="Y167" s="30" t="n">
        <v>25.63</v>
      </c>
      <c r="Z167" s="30" t="n">
        <f aca="false">X167*Y167</f>
        <v>0.932</v>
      </c>
    </row>
    <row r="168" customFormat="false" ht="15" hidden="false" customHeight="false" outlineLevel="0" collapsed="false">
      <c r="Q168" s="62"/>
      <c r="R168" s="62"/>
      <c r="S168" s="62"/>
      <c r="T168" s="62"/>
      <c r="U168" s="62"/>
      <c r="V168" s="62"/>
      <c r="W168" s="62"/>
      <c r="X168" s="62"/>
      <c r="Y168" s="62"/>
      <c r="Z168" s="91" t="n">
        <f aca="false">SUM(Z166:Z167)</f>
        <v>1.38939636363636</v>
      </c>
    </row>
    <row r="170" customFormat="false" ht="15" hidden="false" customHeight="false" outlineLevel="0" collapsed="false">
      <c r="Q170" s="85" t="s">
        <v>276</v>
      </c>
      <c r="R170" s="85"/>
      <c r="S170" s="85" t="s">
        <v>668</v>
      </c>
      <c r="T170" s="85"/>
    </row>
    <row r="171" customFormat="false" ht="15" hidden="false" customHeight="false" outlineLevel="0" collapsed="false">
      <c r="Q171" s="85" t="s">
        <v>277</v>
      </c>
      <c r="R171" s="85" t="s">
        <v>278</v>
      </c>
      <c r="S171" s="87" t="s">
        <v>279</v>
      </c>
      <c r="T171" s="88" t="n">
        <v>120</v>
      </c>
      <c r="U171" s="87" t="s">
        <v>280</v>
      </c>
      <c r="V171" s="88" t="n">
        <f aca="false">T171</f>
        <v>120</v>
      </c>
      <c r="W171" s="85" t="s">
        <v>281</v>
      </c>
      <c r="Y171" s="87" t="s">
        <v>132</v>
      </c>
      <c r="Z171" s="89" t="n">
        <f aca="false">Z177+Z183+Z187</f>
        <v>27.126394</v>
      </c>
    </row>
    <row r="172" customFormat="false" ht="15" hidden="false" customHeight="false" outlineLevel="0" collapsed="false">
      <c r="Q172" s="85" t="s">
        <v>282</v>
      </c>
      <c r="R172" s="85" t="s">
        <v>283</v>
      </c>
      <c r="V172" s="87" t="s">
        <v>121</v>
      </c>
      <c r="W172" s="87" t="s">
        <v>284</v>
      </c>
      <c r="X172" s="87" t="s">
        <v>285</v>
      </c>
      <c r="Y172" s="87" t="s">
        <v>286</v>
      </c>
      <c r="Z172" s="87" t="s">
        <v>287</v>
      </c>
    </row>
    <row r="173" customFormat="false" ht="15" hidden="false" customHeight="false" outlineLevel="0" collapsed="false">
      <c r="R173" s="90" t="s">
        <v>288</v>
      </c>
    </row>
    <row r="174" customFormat="false" ht="15" hidden="false" customHeight="false" outlineLevel="0" collapsed="false">
      <c r="R174" s="1" t="s">
        <v>289</v>
      </c>
      <c r="V174" s="57" t="s">
        <v>290</v>
      </c>
      <c r="W174" s="58" t="n">
        <v>2</v>
      </c>
      <c r="X174" s="59" t="n">
        <f aca="false">W174*8/$T$171</f>
        <v>0.133333333333333</v>
      </c>
      <c r="Y174" s="30" t="n">
        <v>28.94</v>
      </c>
      <c r="Z174" s="30" t="n">
        <f aca="false">X174*Y174</f>
        <v>3.85866666666667</v>
      </c>
    </row>
    <row r="175" customFormat="false" ht="15" hidden="false" customHeight="false" outlineLevel="0" collapsed="false">
      <c r="R175" s="1" t="s">
        <v>291</v>
      </c>
      <c r="V175" s="57" t="s">
        <v>290</v>
      </c>
      <c r="W175" s="58" t="n">
        <v>2</v>
      </c>
      <c r="X175" s="59" t="n">
        <f aca="false">W175*8/$T$171</f>
        <v>0.133333333333333</v>
      </c>
      <c r="Y175" s="30" t="n">
        <v>23.6</v>
      </c>
      <c r="Z175" s="30" t="n">
        <f aca="false">X175*Y175</f>
        <v>3.14666666666667</v>
      </c>
    </row>
    <row r="176" customFormat="false" ht="15" hidden="false" customHeight="false" outlineLevel="0" collapsed="false">
      <c r="R176" s="1" t="s">
        <v>292</v>
      </c>
      <c r="V176" s="57" t="s">
        <v>290</v>
      </c>
      <c r="W176" s="58" t="n">
        <v>6</v>
      </c>
      <c r="X176" s="59" t="n">
        <f aca="false">W176*8/$T$171</f>
        <v>0.4</v>
      </c>
      <c r="Y176" s="30" t="n">
        <v>21.36</v>
      </c>
      <c r="Z176" s="30" t="n">
        <f aca="false">X176*Y176</f>
        <v>8.544</v>
      </c>
    </row>
    <row r="177" customFormat="false" ht="15" hidden="false" customHeight="false" outlineLevel="0" collapsed="false">
      <c r="V177" s="57"/>
      <c r="W177" s="58"/>
      <c r="X177" s="59"/>
      <c r="Z177" s="89" t="n">
        <f aca="false">SUM(Z174:Z176)</f>
        <v>15.5493333333333</v>
      </c>
    </row>
    <row r="178" customFormat="false" ht="15" hidden="false" customHeight="false" outlineLevel="0" collapsed="false">
      <c r="R178" s="90" t="s">
        <v>652</v>
      </c>
      <c r="V178" s="57"/>
      <c r="W178" s="58"/>
      <c r="X178" s="59"/>
      <c r="Z178" s="30"/>
    </row>
    <row r="179" customFormat="false" ht="15" hidden="false" customHeight="false" outlineLevel="0" collapsed="false">
      <c r="R179" s="1" t="s">
        <v>305</v>
      </c>
      <c r="V179" s="57" t="s">
        <v>306</v>
      </c>
      <c r="X179" s="59" t="n">
        <v>0.19</v>
      </c>
      <c r="Y179" s="30" t="n">
        <v>24.52</v>
      </c>
      <c r="Z179" s="30" t="n">
        <f aca="false">X179*Y179</f>
        <v>4.6588</v>
      </c>
    </row>
    <row r="180" customFormat="false" ht="15" hidden="false" customHeight="false" outlineLevel="0" collapsed="false">
      <c r="R180" s="1" t="s">
        <v>654</v>
      </c>
      <c r="V180" s="57" t="s">
        <v>202</v>
      </c>
      <c r="X180" s="59" t="n">
        <v>0.0081</v>
      </c>
      <c r="Y180" s="1" t="n">
        <v>6.14</v>
      </c>
      <c r="Z180" s="30" t="n">
        <f aca="false">X180*Y180</f>
        <v>0.049734</v>
      </c>
    </row>
    <row r="181" customFormat="false" ht="15" hidden="false" customHeight="false" outlineLevel="0" collapsed="false">
      <c r="R181" s="1" t="s">
        <v>663</v>
      </c>
      <c r="V181" s="57" t="s">
        <v>437</v>
      </c>
      <c r="X181" s="59" t="n">
        <v>0.006</v>
      </c>
      <c r="Y181" s="1" t="n">
        <v>13.93</v>
      </c>
      <c r="Z181" s="30" t="n">
        <f aca="false">X181*Y181</f>
        <v>0.08358</v>
      </c>
    </row>
    <row r="182" customFormat="false" ht="15" hidden="false" customHeight="false" outlineLevel="0" collapsed="false">
      <c r="R182" s="1" t="s">
        <v>311</v>
      </c>
      <c r="V182" s="57" t="s">
        <v>202</v>
      </c>
      <c r="X182" s="59" t="n">
        <v>0.065</v>
      </c>
      <c r="Y182" s="71" t="n">
        <v>70.92</v>
      </c>
      <c r="Z182" s="30" t="n">
        <f aca="false">X182*Y182</f>
        <v>4.6098</v>
      </c>
    </row>
    <row r="183" customFormat="false" ht="15" hidden="false" customHeight="false" outlineLevel="0" collapsed="false">
      <c r="V183" s="57"/>
      <c r="X183" s="59"/>
      <c r="Y183" s="30"/>
      <c r="Z183" s="89" t="n">
        <f aca="false">SUM(Z179:Z182)</f>
        <v>9.401914</v>
      </c>
    </row>
    <row r="184" customFormat="false" ht="15" hidden="false" customHeight="false" outlineLevel="0" collapsed="false">
      <c r="R184" s="90" t="s">
        <v>308</v>
      </c>
    </row>
    <row r="185" customFormat="false" ht="15" hidden="false" customHeight="false" outlineLevel="0" collapsed="false">
      <c r="R185" s="1" t="s">
        <v>309</v>
      </c>
      <c r="V185" s="57" t="s">
        <v>310</v>
      </c>
      <c r="X185" s="59" t="n">
        <v>3</v>
      </c>
      <c r="Y185" s="30" t="n">
        <f aca="false">Z177</f>
        <v>15.5493333333333</v>
      </c>
      <c r="Z185" s="30" t="n">
        <f aca="false">X185%*Y185</f>
        <v>0.46648</v>
      </c>
    </row>
    <row r="186" customFormat="false" ht="15" hidden="false" customHeight="false" outlineLevel="0" collapsed="false">
      <c r="R186" s="1" t="s">
        <v>665</v>
      </c>
      <c r="V186" s="57" t="s">
        <v>337</v>
      </c>
      <c r="W186" s="58" t="n">
        <v>1</v>
      </c>
      <c r="X186" s="59" t="n">
        <f aca="false">W186*8/$T$171</f>
        <v>0.0666666666666667</v>
      </c>
      <c r="Y186" s="30" t="n">
        <v>25.63</v>
      </c>
      <c r="Z186" s="30" t="n">
        <f aca="false">X186*Y186</f>
        <v>1.70866666666667</v>
      </c>
    </row>
    <row r="187" customFormat="false" ht="15" hidden="false" customHeight="false" outlineLevel="0" collapsed="false">
      <c r="Q187" s="62"/>
      <c r="R187" s="62"/>
      <c r="S187" s="62"/>
      <c r="T187" s="62"/>
      <c r="U187" s="62"/>
      <c r="V187" s="62"/>
      <c r="W187" s="62"/>
      <c r="X187" s="62"/>
      <c r="Y187" s="62"/>
      <c r="Z187" s="91" t="n">
        <f aca="false">SUM(Z185:Z186)</f>
        <v>2.17514666666667</v>
      </c>
    </row>
    <row r="189" customFormat="false" ht="15" hidden="false" customHeight="false" outlineLevel="0" collapsed="false">
      <c r="Q189" s="85" t="s">
        <v>276</v>
      </c>
      <c r="R189" s="85"/>
      <c r="S189" s="85" t="s">
        <v>495</v>
      </c>
      <c r="T189" s="85"/>
    </row>
    <row r="190" customFormat="false" ht="15" hidden="false" customHeight="false" outlineLevel="0" collapsed="false">
      <c r="Q190" s="85" t="s">
        <v>277</v>
      </c>
      <c r="R190" s="85" t="s">
        <v>415</v>
      </c>
      <c r="S190" s="87" t="s">
        <v>279</v>
      </c>
      <c r="T190" s="88" t="n">
        <v>25</v>
      </c>
      <c r="U190" s="87" t="s">
        <v>280</v>
      </c>
      <c r="V190" s="88" t="n">
        <f aca="false">T190</f>
        <v>25</v>
      </c>
      <c r="W190" s="85" t="s">
        <v>281</v>
      </c>
      <c r="Y190" s="87" t="s">
        <v>202</v>
      </c>
      <c r="Z190" s="89" t="n">
        <f aca="false">Z196+Z204+Z209</f>
        <v>426.397544</v>
      </c>
    </row>
    <row r="191" customFormat="false" ht="15" hidden="false" customHeight="false" outlineLevel="0" collapsed="false">
      <c r="Q191" s="85" t="s">
        <v>282</v>
      </c>
      <c r="R191" s="85" t="s">
        <v>283</v>
      </c>
      <c r="V191" s="87" t="s">
        <v>121</v>
      </c>
      <c r="W191" s="87" t="s">
        <v>284</v>
      </c>
      <c r="X191" s="87" t="s">
        <v>285</v>
      </c>
      <c r="Y191" s="87" t="s">
        <v>286</v>
      </c>
      <c r="Z191" s="87" t="s">
        <v>287</v>
      </c>
    </row>
    <row r="192" customFormat="false" ht="15" hidden="false" customHeight="false" outlineLevel="0" collapsed="false">
      <c r="R192" s="90" t="s">
        <v>288</v>
      </c>
    </row>
    <row r="193" customFormat="false" ht="15" hidden="false" customHeight="false" outlineLevel="0" collapsed="false">
      <c r="R193" s="1" t="s">
        <v>289</v>
      </c>
      <c r="V193" s="57" t="s">
        <v>290</v>
      </c>
      <c r="W193" s="58" t="n">
        <v>2</v>
      </c>
      <c r="X193" s="59" t="n">
        <f aca="false">W193*8/$T$190</f>
        <v>0.64</v>
      </c>
      <c r="Y193" s="30" t="n">
        <v>28.94</v>
      </c>
      <c r="Z193" s="30" t="n">
        <f aca="false">X193*Y193</f>
        <v>18.5216</v>
      </c>
    </row>
    <row r="194" customFormat="false" ht="15" hidden="false" customHeight="false" outlineLevel="0" collapsed="false">
      <c r="R194" s="1" t="s">
        <v>291</v>
      </c>
      <c r="V194" s="57" t="s">
        <v>290</v>
      </c>
      <c r="W194" s="58" t="n">
        <v>2</v>
      </c>
      <c r="X194" s="59" t="n">
        <f aca="false">W194*8/$T$190</f>
        <v>0.64</v>
      </c>
      <c r="Y194" s="30" t="n">
        <v>23.6</v>
      </c>
      <c r="Z194" s="30" t="n">
        <f aca="false">X194*Y194</f>
        <v>15.104</v>
      </c>
    </row>
    <row r="195" customFormat="false" ht="15" hidden="false" customHeight="false" outlineLevel="0" collapsed="false">
      <c r="R195" s="1" t="s">
        <v>292</v>
      </c>
      <c r="V195" s="57" t="s">
        <v>290</v>
      </c>
      <c r="W195" s="58" t="n">
        <v>6</v>
      </c>
      <c r="X195" s="59" t="n">
        <f aca="false">W195*8/$T$190</f>
        <v>1.92</v>
      </c>
      <c r="Y195" s="30" t="n">
        <v>21.36</v>
      </c>
      <c r="Z195" s="30" t="n">
        <f aca="false">X195*Y195</f>
        <v>41.0112</v>
      </c>
    </row>
    <row r="196" customFormat="false" ht="15" hidden="false" customHeight="false" outlineLevel="0" collapsed="false">
      <c r="V196" s="57"/>
      <c r="W196" s="58"/>
      <c r="X196" s="59"/>
      <c r="Z196" s="89" t="n">
        <f aca="false">SUM(Z193:Z195)</f>
        <v>74.6368</v>
      </c>
    </row>
    <row r="197" customFormat="false" ht="15" hidden="false" customHeight="false" outlineLevel="0" collapsed="false">
      <c r="R197" s="90" t="s">
        <v>652</v>
      </c>
      <c r="V197" s="57"/>
      <c r="W197" s="58"/>
      <c r="X197" s="59"/>
      <c r="Z197" s="30"/>
    </row>
    <row r="198" customFormat="false" ht="15" hidden="false" customHeight="false" outlineLevel="0" collapsed="false">
      <c r="R198" s="1" t="s">
        <v>670</v>
      </c>
      <c r="V198" s="57" t="s">
        <v>202</v>
      </c>
      <c r="X198" s="59" t="n">
        <v>0.53</v>
      </c>
      <c r="Y198" s="30" t="n">
        <v>55.08</v>
      </c>
      <c r="Z198" s="30" t="n">
        <f aca="false">X198*Y198</f>
        <v>29.1924</v>
      </c>
    </row>
    <row r="199" customFormat="false" ht="15" hidden="false" customHeight="false" outlineLevel="0" collapsed="false">
      <c r="R199" s="1" t="s">
        <v>671</v>
      </c>
      <c r="V199" s="57" t="s">
        <v>202</v>
      </c>
      <c r="X199" s="59" t="n">
        <v>0.52</v>
      </c>
      <c r="Y199" s="30" t="n">
        <v>47</v>
      </c>
      <c r="Z199" s="30" t="n">
        <f aca="false">X199*Y199</f>
        <v>24.44</v>
      </c>
    </row>
    <row r="200" customFormat="false" ht="15" hidden="false" customHeight="false" outlineLevel="0" collapsed="false">
      <c r="R200" s="1" t="s">
        <v>305</v>
      </c>
      <c r="V200" s="57" t="s">
        <v>306</v>
      </c>
      <c r="X200" s="59" t="n">
        <v>9.73</v>
      </c>
      <c r="Y200" s="30" t="n">
        <v>24.52</v>
      </c>
      <c r="Z200" s="30" t="n">
        <f aca="false">X200*Y200</f>
        <v>238.5796</v>
      </c>
    </row>
    <row r="201" customFormat="false" ht="15" hidden="false" customHeight="false" outlineLevel="0" collapsed="false">
      <c r="R201" s="1" t="s">
        <v>654</v>
      </c>
      <c r="V201" s="57" t="s">
        <v>202</v>
      </c>
      <c r="X201" s="59" t="n">
        <v>0.186</v>
      </c>
      <c r="Y201" s="1" t="n">
        <v>6.14</v>
      </c>
      <c r="Z201" s="30" t="n">
        <f aca="false">X201*Y201</f>
        <v>1.14204</v>
      </c>
    </row>
    <row r="202" customFormat="false" ht="15" hidden="false" customHeight="false" outlineLevel="0" collapsed="false">
      <c r="R202" s="1" t="s">
        <v>663</v>
      </c>
      <c r="V202" s="57" t="s">
        <v>437</v>
      </c>
      <c r="X202" s="59" t="n">
        <v>0.36</v>
      </c>
      <c r="Y202" s="1" t="n">
        <v>13.93</v>
      </c>
      <c r="Z202" s="30" t="n">
        <f aca="false">X202*Y202</f>
        <v>5.0148</v>
      </c>
    </row>
    <row r="203" customFormat="false" ht="15" hidden="false" customHeight="false" outlineLevel="0" collapsed="false">
      <c r="R203" s="1" t="s">
        <v>672</v>
      </c>
      <c r="V203" s="57" t="s">
        <v>437</v>
      </c>
      <c r="X203" s="59" t="n">
        <v>1.5</v>
      </c>
      <c r="Y203" s="71" t="n">
        <v>27.88</v>
      </c>
      <c r="Z203" s="30" t="n">
        <f aca="false">X203*Y203</f>
        <v>41.82</v>
      </c>
    </row>
    <row r="204" customFormat="false" ht="15" hidden="false" customHeight="false" outlineLevel="0" collapsed="false">
      <c r="V204" s="57"/>
      <c r="X204" s="59"/>
      <c r="Y204" s="30"/>
      <c r="Z204" s="89" t="n">
        <f aca="false">SUM(Z198:Z203)</f>
        <v>340.18884</v>
      </c>
    </row>
    <row r="205" customFormat="false" ht="15" hidden="false" customHeight="false" outlineLevel="0" collapsed="false">
      <c r="R205" s="90" t="s">
        <v>308</v>
      </c>
    </row>
    <row r="206" customFormat="false" ht="15" hidden="false" customHeight="false" outlineLevel="0" collapsed="false">
      <c r="R206" s="1" t="s">
        <v>309</v>
      </c>
      <c r="V206" s="57" t="s">
        <v>310</v>
      </c>
      <c r="X206" s="59" t="n">
        <v>3</v>
      </c>
      <c r="Y206" s="30" t="n">
        <f aca="false">Z196</f>
        <v>74.6368</v>
      </c>
      <c r="Z206" s="30" t="n">
        <f aca="false">X206%*Y206</f>
        <v>2.239104</v>
      </c>
    </row>
    <row r="207" customFormat="false" ht="15" hidden="false" customHeight="false" outlineLevel="0" collapsed="false">
      <c r="R207" s="1" t="s">
        <v>665</v>
      </c>
      <c r="V207" s="57" t="s">
        <v>337</v>
      </c>
      <c r="W207" s="58" t="n">
        <v>1</v>
      </c>
      <c r="X207" s="59" t="n">
        <f aca="false">W207*8/$T$190</f>
        <v>0.32</v>
      </c>
      <c r="Y207" s="30" t="n">
        <v>25.63</v>
      </c>
      <c r="Z207" s="30" t="n">
        <f aca="false">X207*Y207</f>
        <v>8.2016</v>
      </c>
    </row>
    <row r="208" customFormat="false" ht="15" hidden="false" customHeight="false" outlineLevel="0" collapsed="false">
      <c r="R208" s="1" t="s">
        <v>673</v>
      </c>
      <c r="V208" s="57" t="s">
        <v>337</v>
      </c>
      <c r="W208" s="58" t="n">
        <v>0.5</v>
      </c>
      <c r="X208" s="59" t="n">
        <f aca="false">W208*8/$T$190</f>
        <v>0.16</v>
      </c>
      <c r="Y208" s="30" t="n">
        <v>7.07</v>
      </c>
      <c r="Z208" s="30" t="n">
        <f aca="false">X208*Y208</f>
        <v>1.1312</v>
      </c>
    </row>
    <row r="209" customFormat="false" ht="15" hidden="false" customHeight="false" outlineLevel="0" collapsed="false">
      <c r="Q209" s="62"/>
      <c r="R209" s="62"/>
      <c r="S209" s="62"/>
      <c r="T209" s="62"/>
      <c r="U209" s="62"/>
      <c r="V209" s="62"/>
      <c r="W209" s="62"/>
      <c r="X209" s="62"/>
      <c r="Y209" s="62"/>
      <c r="Z209" s="91" t="n">
        <f aca="false">SUM(Z206:Z208)</f>
        <v>11.571904</v>
      </c>
    </row>
    <row r="211" customFormat="false" ht="15" hidden="false" customHeight="false" outlineLevel="0" collapsed="false">
      <c r="Q211" s="85" t="s">
        <v>276</v>
      </c>
      <c r="R211" s="85"/>
      <c r="S211" s="85" t="s">
        <v>1382</v>
      </c>
      <c r="T211" s="85"/>
    </row>
    <row r="212" customFormat="false" ht="15" hidden="false" customHeight="false" outlineLevel="0" collapsed="false">
      <c r="Q212" s="85" t="s">
        <v>277</v>
      </c>
      <c r="R212" s="85" t="s">
        <v>278</v>
      </c>
      <c r="S212" s="87" t="s">
        <v>279</v>
      </c>
      <c r="T212" s="88" t="n">
        <v>8</v>
      </c>
      <c r="U212" s="87" t="s">
        <v>280</v>
      </c>
      <c r="V212" s="88" t="n">
        <f aca="false">T212</f>
        <v>8</v>
      </c>
      <c r="W212" s="85" t="s">
        <v>281</v>
      </c>
      <c r="Y212" s="87" t="s">
        <v>132</v>
      </c>
      <c r="Z212" s="89" t="n">
        <f aca="false">Z217+Z222+Z225</f>
        <v>75.1142</v>
      </c>
    </row>
    <row r="213" customFormat="false" ht="15" hidden="false" customHeight="false" outlineLevel="0" collapsed="false">
      <c r="Q213" s="85" t="s">
        <v>282</v>
      </c>
      <c r="R213" s="85" t="s">
        <v>283</v>
      </c>
      <c r="V213" s="87" t="s">
        <v>121</v>
      </c>
      <c r="W213" s="87" t="s">
        <v>284</v>
      </c>
      <c r="X213" s="87" t="s">
        <v>285</v>
      </c>
      <c r="Y213" s="87" t="s">
        <v>286</v>
      </c>
      <c r="Z213" s="87" t="s">
        <v>287</v>
      </c>
    </row>
    <row r="214" customFormat="false" ht="15" hidden="false" customHeight="false" outlineLevel="0" collapsed="false">
      <c r="R214" s="90" t="s">
        <v>288</v>
      </c>
    </row>
    <row r="215" customFormat="false" ht="15" hidden="false" customHeight="false" outlineLevel="0" collapsed="false">
      <c r="R215" s="1" t="s">
        <v>289</v>
      </c>
      <c r="V215" s="57" t="s">
        <v>290</v>
      </c>
      <c r="W215" s="58" t="n">
        <v>1</v>
      </c>
      <c r="X215" s="59" t="n">
        <f aca="false">W215*8/$T$212</f>
        <v>1</v>
      </c>
      <c r="Y215" s="30" t="n">
        <v>28.94</v>
      </c>
      <c r="Z215" s="30" t="n">
        <f aca="false">X215*Y215</f>
        <v>28.94</v>
      </c>
    </row>
    <row r="216" customFormat="false" ht="15" hidden="false" customHeight="false" outlineLevel="0" collapsed="false">
      <c r="R216" s="1" t="s">
        <v>291</v>
      </c>
      <c r="V216" s="57" t="s">
        <v>290</v>
      </c>
      <c r="W216" s="58" t="n">
        <v>1</v>
      </c>
      <c r="X216" s="59" t="n">
        <f aca="false">W216*8/$T$212</f>
        <v>1</v>
      </c>
      <c r="Y216" s="30" t="n">
        <v>23.6</v>
      </c>
      <c r="Z216" s="30" t="n">
        <f aca="false">X216*Y216</f>
        <v>23.6</v>
      </c>
    </row>
    <row r="217" customFormat="false" ht="15" hidden="false" customHeight="false" outlineLevel="0" collapsed="false">
      <c r="V217" s="57"/>
      <c r="W217" s="58"/>
      <c r="X217" s="59"/>
      <c r="Z217" s="89" t="n">
        <f aca="false">SUM(Z215:Z216)</f>
        <v>52.54</v>
      </c>
    </row>
    <row r="218" customFormat="false" ht="15" hidden="false" customHeight="false" outlineLevel="0" collapsed="false">
      <c r="R218" s="90" t="s">
        <v>652</v>
      </c>
      <c r="V218" s="57"/>
      <c r="W218" s="58"/>
      <c r="X218" s="59"/>
      <c r="Z218" s="30"/>
    </row>
    <row r="219" customFormat="false" ht="15" hidden="false" customHeight="false" outlineLevel="0" collapsed="false">
      <c r="R219" s="1" t="s">
        <v>680</v>
      </c>
      <c r="V219" s="57" t="s">
        <v>295</v>
      </c>
      <c r="X219" s="59" t="n">
        <v>0.26</v>
      </c>
      <c r="Y219" s="30" t="n">
        <v>2.64</v>
      </c>
      <c r="Z219" s="30" t="n">
        <f aca="false">X219*Y219</f>
        <v>0.6864</v>
      </c>
    </row>
    <row r="220" customFormat="false" ht="15" hidden="false" customHeight="false" outlineLevel="0" collapsed="false">
      <c r="R220" s="1" t="s">
        <v>300</v>
      </c>
      <c r="V220" s="57" t="s">
        <v>295</v>
      </c>
      <c r="X220" s="59" t="n">
        <v>0.16</v>
      </c>
      <c r="Y220" s="30" t="n">
        <v>5.51</v>
      </c>
      <c r="Z220" s="30" t="n">
        <f aca="false">X220*Y220</f>
        <v>0.8816</v>
      </c>
    </row>
    <row r="221" customFormat="false" ht="15" hidden="false" customHeight="false" outlineLevel="0" collapsed="false">
      <c r="R221" s="1" t="s">
        <v>667</v>
      </c>
      <c r="V221" s="57" t="s">
        <v>304</v>
      </c>
      <c r="X221" s="59" t="n">
        <v>3.35</v>
      </c>
      <c r="Y221" s="30" t="n">
        <v>5.8</v>
      </c>
      <c r="Z221" s="30" t="n">
        <f aca="false">X221*Y221</f>
        <v>19.43</v>
      </c>
    </row>
    <row r="222" customFormat="false" ht="15" hidden="false" customHeight="false" outlineLevel="0" collapsed="false">
      <c r="V222" s="57"/>
      <c r="X222" s="59"/>
      <c r="Y222" s="30"/>
      <c r="Z222" s="89" t="n">
        <f aca="false">SUM(Z219:Z221)</f>
        <v>20.998</v>
      </c>
    </row>
    <row r="223" customFormat="false" ht="15" hidden="false" customHeight="false" outlineLevel="0" collapsed="false">
      <c r="R223" s="90" t="s">
        <v>308</v>
      </c>
    </row>
    <row r="224" customFormat="false" ht="15" hidden="false" customHeight="false" outlineLevel="0" collapsed="false">
      <c r="R224" s="1" t="s">
        <v>309</v>
      </c>
      <c r="V224" s="57" t="s">
        <v>310</v>
      </c>
      <c r="X224" s="59" t="n">
        <v>3</v>
      </c>
      <c r="Y224" s="30" t="n">
        <f aca="false">Z217</f>
        <v>52.54</v>
      </c>
      <c r="Z224" s="30" t="n">
        <f aca="false">X224%*Y224</f>
        <v>1.5762</v>
      </c>
    </row>
    <row r="225" customFormat="false" ht="15" hidden="false" customHeight="false" outlineLevel="0" collapsed="false">
      <c r="Q225" s="62"/>
      <c r="R225" s="62"/>
      <c r="S225" s="62"/>
      <c r="T225" s="62"/>
      <c r="U225" s="62"/>
      <c r="V225" s="62"/>
      <c r="W225" s="62"/>
      <c r="X225" s="62"/>
      <c r="Y225" s="62"/>
      <c r="Z225" s="91" t="n">
        <f aca="false">SUM(Z224)</f>
        <v>1.5762</v>
      </c>
    </row>
    <row r="228" customFormat="false" ht="15" hidden="false" customHeight="false" outlineLevel="0" collapsed="false">
      <c r="Q228" s="85" t="s">
        <v>276</v>
      </c>
      <c r="R228" s="85"/>
      <c r="S228" s="85" t="s">
        <v>497</v>
      </c>
      <c r="T228" s="85"/>
    </row>
    <row r="229" customFormat="false" ht="15" hidden="false" customHeight="false" outlineLevel="0" collapsed="false">
      <c r="Q229" s="85" t="s">
        <v>277</v>
      </c>
      <c r="R229" s="85" t="s">
        <v>674</v>
      </c>
      <c r="S229" s="87" t="s">
        <v>279</v>
      </c>
      <c r="T229" s="88" t="n">
        <v>250</v>
      </c>
      <c r="U229" s="87" t="s">
        <v>280</v>
      </c>
      <c r="V229" s="88" t="n">
        <f aca="false">T229</f>
        <v>250</v>
      </c>
      <c r="W229" s="85" t="s">
        <v>281</v>
      </c>
      <c r="Y229" s="87" t="s">
        <v>295</v>
      </c>
      <c r="Z229" s="89" t="n">
        <f aca="false">Z234+Z238+Z242</f>
        <v>5.5639628445</v>
      </c>
    </row>
    <row r="230" customFormat="false" ht="15" hidden="false" customHeight="false" outlineLevel="0" collapsed="false">
      <c r="Q230" s="85" t="s">
        <v>282</v>
      </c>
      <c r="R230" s="85" t="s">
        <v>283</v>
      </c>
      <c r="V230" s="87" t="s">
        <v>121</v>
      </c>
      <c r="W230" s="87" t="s">
        <v>284</v>
      </c>
      <c r="X230" s="87" t="s">
        <v>285</v>
      </c>
      <c r="Y230" s="87" t="s">
        <v>286</v>
      </c>
      <c r="Z230" s="87" t="s">
        <v>287</v>
      </c>
    </row>
    <row r="231" customFormat="false" ht="15" hidden="false" customHeight="false" outlineLevel="0" collapsed="false">
      <c r="R231" s="90" t="s">
        <v>288</v>
      </c>
      <c r="W231" s="58"/>
    </row>
    <row r="232" customFormat="false" ht="15" hidden="false" customHeight="false" outlineLevel="0" collapsed="false">
      <c r="R232" s="1" t="s">
        <v>289</v>
      </c>
      <c r="V232" s="57" t="s">
        <v>290</v>
      </c>
      <c r="W232" s="58" t="n">
        <v>1</v>
      </c>
      <c r="X232" s="101" t="n">
        <f aca="false">W232*8/$T$229</f>
        <v>0.032</v>
      </c>
      <c r="Y232" s="30" t="n">
        <v>28.94</v>
      </c>
      <c r="Z232" s="30" t="n">
        <f aca="false">X232*Y232</f>
        <v>0.92608</v>
      </c>
    </row>
    <row r="233" customFormat="false" ht="15" hidden="false" customHeight="false" outlineLevel="0" collapsed="false">
      <c r="R233" s="1" t="s">
        <v>675</v>
      </c>
      <c r="V233" s="57" t="s">
        <v>290</v>
      </c>
      <c r="W233" s="58" t="n">
        <v>1</v>
      </c>
      <c r="X233" s="101" t="n">
        <f aca="false">W233*8/$T$229</f>
        <v>0.032</v>
      </c>
      <c r="Y233" s="30" t="n">
        <v>23.6</v>
      </c>
      <c r="Z233" s="30" t="n">
        <f aca="false">X233*Y233</f>
        <v>0.7552</v>
      </c>
    </row>
    <row r="234" customFormat="false" ht="15" hidden="false" customHeight="false" outlineLevel="0" collapsed="false">
      <c r="V234" s="57"/>
      <c r="W234" s="58"/>
      <c r="Z234" s="89" t="n">
        <f aca="false">SUM(Z232:Z233)</f>
        <v>1.68128</v>
      </c>
    </row>
    <row r="235" customFormat="false" ht="15" hidden="false" customHeight="false" outlineLevel="0" collapsed="false">
      <c r="R235" s="90" t="s">
        <v>293</v>
      </c>
      <c r="V235" s="57"/>
      <c r="W235" s="58"/>
      <c r="X235" s="101"/>
    </row>
    <row r="236" customFormat="false" ht="15" hidden="false" customHeight="false" outlineLevel="0" collapsed="false">
      <c r="R236" s="1" t="s">
        <v>294</v>
      </c>
      <c r="V236" s="57" t="s">
        <v>295</v>
      </c>
      <c r="W236" s="58"/>
      <c r="X236" s="101" t="n">
        <v>0.03</v>
      </c>
      <c r="Y236" s="30" t="n">
        <v>2.64</v>
      </c>
      <c r="Z236" s="30" t="n">
        <f aca="false">X236*Y236</f>
        <v>0.0792</v>
      </c>
    </row>
    <row r="237" customFormat="false" ht="15" hidden="false" customHeight="false" outlineLevel="0" collapsed="false">
      <c r="R237" s="1" t="s">
        <v>676</v>
      </c>
      <c r="V237" s="57" t="s">
        <v>295</v>
      </c>
      <c r="W237" s="58"/>
      <c r="X237" s="101" t="n">
        <v>1.05</v>
      </c>
      <c r="Y237" s="30" t="n">
        <f aca="false">1012.71*3.379/1000</f>
        <v>3.42194709</v>
      </c>
      <c r="Z237" s="30" t="n">
        <f aca="false">X237*Y237</f>
        <v>3.5930444445</v>
      </c>
    </row>
    <row r="238" customFormat="false" ht="15" hidden="false" customHeight="false" outlineLevel="0" collapsed="false">
      <c r="V238" s="57"/>
      <c r="W238" s="58"/>
      <c r="Z238" s="89" t="n">
        <f aca="false">SUM(Z236:Z237)</f>
        <v>3.6722444445</v>
      </c>
    </row>
    <row r="239" customFormat="false" ht="15" hidden="false" customHeight="false" outlineLevel="0" collapsed="false">
      <c r="R239" s="90" t="s">
        <v>317</v>
      </c>
      <c r="V239" s="57"/>
      <c r="W239" s="58"/>
    </row>
    <row r="240" customFormat="false" ht="15" hidden="false" customHeight="false" outlineLevel="0" collapsed="false">
      <c r="R240" s="1" t="s">
        <v>309</v>
      </c>
      <c r="V240" s="57" t="s">
        <v>310</v>
      </c>
      <c r="X240" s="59" t="n">
        <v>3</v>
      </c>
      <c r="Y240" s="30" t="n">
        <f aca="false">Z234</f>
        <v>1.68128</v>
      </c>
      <c r="Z240" s="30" t="n">
        <f aca="false">X240%*Y240</f>
        <v>0.0504384</v>
      </c>
    </row>
    <row r="241" customFormat="false" ht="15" hidden="false" customHeight="false" outlineLevel="0" collapsed="false">
      <c r="R241" s="1" t="s">
        <v>677</v>
      </c>
      <c r="V241" s="57" t="s">
        <v>290</v>
      </c>
      <c r="W241" s="58" t="n">
        <v>1</v>
      </c>
      <c r="X241" s="101" t="n">
        <f aca="false">W241*8/$T$229</f>
        <v>0.032</v>
      </c>
      <c r="Y241" s="65" t="n">
        <v>5</v>
      </c>
      <c r="Z241" s="30" t="n">
        <f aca="false">X241*Y241</f>
        <v>0.16</v>
      </c>
    </row>
    <row r="242" customFormat="false" ht="15" hidden="false" customHeight="false" outlineLevel="0" collapsed="false">
      <c r="Q242" s="62"/>
      <c r="R242" s="62"/>
      <c r="S242" s="62"/>
      <c r="T242" s="62"/>
      <c r="U242" s="62"/>
      <c r="V242" s="62"/>
      <c r="W242" s="62"/>
      <c r="X242" s="62"/>
      <c r="Y242" s="62"/>
      <c r="Z242" s="91" t="n">
        <f aca="false">SUM(Z240:Z241)</f>
        <v>0.2104384</v>
      </c>
    </row>
    <row r="244" customFormat="false" ht="15" hidden="false" customHeight="false" outlineLevel="0" collapsed="false">
      <c r="Q244" s="85" t="s">
        <v>276</v>
      </c>
      <c r="R244" s="85"/>
      <c r="S244" s="85" t="s">
        <v>509</v>
      </c>
      <c r="T244" s="85"/>
    </row>
    <row r="245" customFormat="false" ht="15" hidden="false" customHeight="false" outlineLevel="0" collapsed="false">
      <c r="Q245" s="85" t="s">
        <v>277</v>
      </c>
      <c r="R245" s="85" t="s">
        <v>415</v>
      </c>
      <c r="S245" s="87" t="s">
        <v>279</v>
      </c>
      <c r="T245" s="88" t="n">
        <v>20</v>
      </c>
      <c r="U245" s="87" t="s">
        <v>280</v>
      </c>
      <c r="V245" s="88" t="n">
        <f aca="false">T245</f>
        <v>20</v>
      </c>
      <c r="W245" s="85" t="s">
        <v>281</v>
      </c>
      <c r="Y245" s="87" t="s">
        <v>202</v>
      </c>
      <c r="Z245" s="89" t="n">
        <f aca="false">Z251+Z259+Z264</f>
        <v>438.22652</v>
      </c>
    </row>
    <row r="246" customFormat="false" ht="15" hidden="false" customHeight="false" outlineLevel="0" collapsed="false">
      <c r="Q246" s="85" t="s">
        <v>282</v>
      </c>
      <c r="R246" s="85" t="s">
        <v>283</v>
      </c>
      <c r="V246" s="87" t="s">
        <v>121</v>
      </c>
      <c r="W246" s="87" t="s">
        <v>284</v>
      </c>
      <c r="X246" s="87" t="s">
        <v>285</v>
      </c>
      <c r="Y246" s="87" t="s">
        <v>286</v>
      </c>
      <c r="Z246" s="87" t="s">
        <v>287</v>
      </c>
    </row>
    <row r="247" customFormat="false" ht="15" hidden="false" customHeight="false" outlineLevel="0" collapsed="false">
      <c r="R247" s="90" t="s">
        <v>288</v>
      </c>
    </row>
    <row r="248" customFormat="false" ht="15" hidden="false" customHeight="false" outlineLevel="0" collapsed="false">
      <c r="R248" s="1" t="s">
        <v>289</v>
      </c>
      <c r="V248" s="57" t="s">
        <v>290</v>
      </c>
      <c r="W248" s="58" t="n">
        <v>2</v>
      </c>
      <c r="X248" s="59" t="n">
        <f aca="false">W248*8/$T$245</f>
        <v>0.8</v>
      </c>
      <c r="Y248" s="30" t="n">
        <v>28.94</v>
      </c>
      <c r="Z248" s="30" t="n">
        <f aca="false">X248*Y248</f>
        <v>23.152</v>
      </c>
    </row>
    <row r="249" customFormat="false" ht="15" hidden="false" customHeight="false" outlineLevel="0" collapsed="false">
      <c r="R249" s="1" t="s">
        <v>291</v>
      </c>
      <c r="V249" s="57" t="s">
        <v>290</v>
      </c>
      <c r="W249" s="58" t="n">
        <v>1</v>
      </c>
      <c r="X249" s="59" t="n">
        <f aca="false">W249*8/$T$245</f>
        <v>0.4</v>
      </c>
      <c r="Y249" s="30" t="n">
        <v>23.6</v>
      </c>
      <c r="Z249" s="30" t="n">
        <f aca="false">X249*Y249</f>
        <v>9.44</v>
      </c>
    </row>
    <row r="250" customFormat="false" ht="15" hidden="false" customHeight="false" outlineLevel="0" collapsed="false">
      <c r="R250" s="1" t="s">
        <v>292</v>
      </c>
      <c r="V250" s="57" t="s">
        <v>290</v>
      </c>
      <c r="W250" s="58" t="n">
        <v>6</v>
      </c>
      <c r="X250" s="59" t="n">
        <f aca="false">W250*8/$T$245</f>
        <v>2.4</v>
      </c>
      <c r="Y250" s="30" t="n">
        <v>21.36</v>
      </c>
      <c r="Z250" s="30" t="n">
        <f aca="false">X250*Y250</f>
        <v>51.264</v>
      </c>
    </row>
    <row r="251" customFormat="false" ht="15" hidden="false" customHeight="false" outlineLevel="0" collapsed="false">
      <c r="V251" s="57"/>
      <c r="W251" s="58"/>
      <c r="X251" s="59"/>
      <c r="Z251" s="89" t="n">
        <f aca="false">SUM(Z248:Z250)</f>
        <v>83.856</v>
      </c>
    </row>
    <row r="252" customFormat="false" ht="15" hidden="false" customHeight="false" outlineLevel="0" collapsed="false">
      <c r="R252" s="90" t="s">
        <v>652</v>
      </c>
      <c r="V252" s="57"/>
      <c r="W252" s="58"/>
      <c r="X252" s="59"/>
      <c r="Z252" s="30"/>
    </row>
    <row r="253" customFormat="false" ht="15" hidden="false" customHeight="false" outlineLevel="0" collapsed="false">
      <c r="R253" s="1" t="s">
        <v>670</v>
      </c>
      <c r="V253" s="57" t="s">
        <v>202</v>
      </c>
      <c r="X253" s="59" t="n">
        <v>0.53</v>
      </c>
      <c r="Y253" s="30" t="n">
        <v>55.08</v>
      </c>
      <c r="Z253" s="30" t="n">
        <f aca="false">X253*Y253</f>
        <v>29.1924</v>
      </c>
    </row>
    <row r="254" customFormat="false" ht="15" hidden="false" customHeight="false" outlineLevel="0" collapsed="false">
      <c r="R254" s="1" t="s">
        <v>671</v>
      </c>
      <c r="V254" s="57" t="s">
        <v>202</v>
      </c>
      <c r="X254" s="59" t="n">
        <v>0.52</v>
      </c>
      <c r="Y254" s="30" t="n">
        <v>47</v>
      </c>
      <c r="Z254" s="30" t="n">
        <f aca="false">X254*Y254</f>
        <v>24.44</v>
      </c>
    </row>
    <row r="255" customFormat="false" ht="15" hidden="false" customHeight="false" outlineLevel="0" collapsed="false">
      <c r="R255" s="1" t="s">
        <v>305</v>
      </c>
      <c r="V255" s="57" t="s">
        <v>306</v>
      </c>
      <c r="X255" s="59" t="n">
        <v>9.73</v>
      </c>
      <c r="Y255" s="30" t="n">
        <v>24.52</v>
      </c>
      <c r="Z255" s="30" t="n">
        <f aca="false">X255*Y255</f>
        <v>238.5796</v>
      </c>
    </row>
    <row r="256" customFormat="false" ht="15" hidden="false" customHeight="false" outlineLevel="0" collapsed="false">
      <c r="R256" s="1" t="s">
        <v>654</v>
      </c>
      <c r="V256" s="57" t="s">
        <v>202</v>
      </c>
      <c r="X256" s="59" t="n">
        <v>0.186</v>
      </c>
      <c r="Y256" s="1" t="n">
        <v>6.14</v>
      </c>
      <c r="Z256" s="30" t="n">
        <f aca="false">X256*Y256</f>
        <v>1.14204</v>
      </c>
    </row>
    <row r="257" customFormat="false" ht="15" hidden="false" customHeight="false" outlineLevel="0" collapsed="false">
      <c r="R257" s="1" t="s">
        <v>663</v>
      </c>
      <c r="V257" s="57" t="s">
        <v>437</v>
      </c>
      <c r="X257" s="59" t="n">
        <v>0.36</v>
      </c>
      <c r="Y257" s="1" t="n">
        <v>13.93</v>
      </c>
      <c r="Z257" s="30" t="n">
        <f aca="false">X257*Y257</f>
        <v>5.0148</v>
      </c>
    </row>
    <row r="258" customFormat="false" ht="15" hidden="false" customHeight="false" outlineLevel="0" collapsed="false">
      <c r="R258" s="1" t="s">
        <v>672</v>
      </c>
      <c r="V258" s="57" t="s">
        <v>437</v>
      </c>
      <c r="X258" s="59" t="n">
        <v>1.5</v>
      </c>
      <c r="Y258" s="71" t="n">
        <v>27.88</v>
      </c>
      <c r="Z258" s="30" t="n">
        <f aca="false">X258*Y258</f>
        <v>41.82</v>
      </c>
    </row>
    <row r="259" customFormat="false" ht="15" hidden="false" customHeight="false" outlineLevel="0" collapsed="false">
      <c r="V259" s="57"/>
      <c r="X259" s="59"/>
      <c r="Y259" s="30"/>
      <c r="Z259" s="89" t="n">
        <f aca="false">SUM(Z253:Z258)</f>
        <v>340.18884</v>
      </c>
    </row>
    <row r="260" customFormat="false" ht="15" hidden="false" customHeight="false" outlineLevel="0" collapsed="false">
      <c r="R260" s="90" t="s">
        <v>308</v>
      </c>
    </row>
    <row r="261" customFormat="false" ht="15" hidden="false" customHeight="false" outlineLevel="0" collapsed="false">
      <c r="R261" s="1" t="s">
        <v>309</v>
      </c>
      <c r="V261" s="57" t="s">
        <v>310</v>
      </c>
      <c r="X261" s="59" t="n">
        <v>3</v>
      </c>
      <c r="Y261" s="30" t="n">
        <f aca="false">Z251</f>
        <v>83.856</v>
      </c>
      <c r="Z261" s="30" t="n">
        <f aca="false">X261%*Y261</f>
        <v>2.51568</v>
      </c>
    </row>
    <row r="262" customFormat="false" ht="15" hidden="false" customHeight="false" outlineLevel="0" collapsed="false">
      <c r="R262" s="1" t="s">
        <v>665</v>
      </c>
      <c r="V262" s="57" t="s">
        <v>337</v>
      </c>
      <c r="W262" s="58" t="n">
        <v>1</v>
      </c>
      <c r="X262" s="59" t="n">
        <f aca="false">W262*8/$T$245</f>
        <v>0.4</v>
      </c>
      <c r="Y262" s="30" t="n">
        <v>25.63</v>
      </c>
      <c r="Z262" s="30" t="n">
        <f aca="false">X262*Y262</f>
        <v>10.252</v>
      </c>
    </row>
    <row r="263" customFormat="false" ht="15" hidden="false" customHeight="false" outlineLevel="0" collapsed="false">
      <c r="R263" s="1" t="s">
        <v>673</v>
      </c>
      <c r="V263" s="57" t="s">
        <v>337</v>
      </c>
      <c r="W263" s="58" t="n">
        <v>0.5</v>
      </c>
      <c r="X263" s="59" t="n">
        <f aca="false">W263*8/$T$245</f>
        <v>0.2</v>
      </c>
      <c r="Y263" s="30" t="n">
        <v>7.07</v>
      </c>
      <c r="Z263" s="30" t="n">
        <f aca="false">X263*Y263</f>
        <v>1.414</v>
      </c>
    </row>
    <row r="264" customFormat="false" ht="15" hidden="false" customHeight="false" outlineLevel="0" collapsed="false">
      <c r="Q264" s="62"/>
      <c r="R264" s="62"/>
      <c r="S264" s="62"/>
      <c r="T264" s="62"/>
      <c r="U264" s="62"/>
      <c r="V264" s="62"/>
      <c r="W264" s="62"/>
      <c r="X264" s="62"/>
      <c r="Y264" s="62"/>
      <c r="Z264" s="91" t="n">
        <f aca="false">SUM(Z261:Z263)</f>
        <v>14.18168</v>
      </c>
    </row>
    <row r="265" customFormat="false" ht="15" hidden="false" customHeight="false" outlineLevel="0" collapsed="false">
      <c r="Z265" s="89"/>
    </row>
    <row r="266" customFormat="false" ht="15" hidden="false" customHeight="false" outlineLevel="0" collapsed="false">
      <c r="Q266" s="85" t="s">
        <v>276</v>
      </c>
      <c r="R266" s="85"/>
      <c r="S266" s="85" t="s">
        <v>511</v>
      </c>
      <c r="T266" s="85"/>
    </row>
    <row r="267" customFormat="false" ht="15" hidden="false" customHeight="false" outlineLevel="0" collapsed="false">
      <c r="Q267" s="85" t="s">
        <v>277</v>
      </c>
      <c r="R267" s="85" t="s">
        <v>278</v>
      </c>
      <c r="S267" s="87" t="s">
        <v>279</v>
      </c>
      <c r="T267" s="88" t="n">
        <v>20</v>
      </c>
      <c r="U267" s="87" t="s">
        <v>280</v>
      </c>
      <c r="V267" s="88" t="n">
        <f aca="false">T267</f>
        <v>20</v>
      </c>
      <c r="W267" s="85" t="s">
        <v>281</v>
      </c>
      <c r="Y267" s="87" t="s">
        <v>132</v>
      </c>
      <c r="Z267" s="89" t="n">
        <f aca="false">Z272+Z277+Z280</f>
        <v>64.02696</v>
      </c>
    </row>
    <row r="268" customFormat="false" ht="15" hidden="false" customHeight="false" outlineLevel="0" collapsed="false">
      <c r="Q268" s="85" t="s">
        <v>282</v>
      </c>
      <c r="R268" s="85" t="s">
        <v>283</v>
      </c>
      <c r="V268" s="87" t="s">
        <v>121</v>
      </c>
      <c r="W268" s="87" t="s">
        <v>284</v>
      </c>
      <c r="X268" s="87" t="s">
        <v>285</v>
      </c>
      <c r="Y268" s="87" t="s">
        <v>286</v>
      </c>
      <c r="Z268" s="87" t="s">
        <v>287</v>
      </c>
    </row>
    <row r="269" customFormat="false" ht="15" hidden="false" customHeight="false" outlineLevel="0" collapsed="false">
      <c r="R269" s="90" t="s">
        <v>288</v>
      </c>
      <c r="AC269" s="30"/>
    </row>
    <row r="270" customFormat="false" ht="15" hidden="false" customHeight="false" outlineLevel="0" collapsed="false">
      <c r="R270" s="1" t="s">
        <v>289</v>
      </c>
      <c r="V270" s="57" t="s">
        <v>290</v>
      </c>
      <c r="W270" s="58" t="n">
        <v>2</v>
      </c>
      <c r="X270" s="59" t="n">
        <f aca="false">W270*8/$T$267</f>
        <v>0.8</v>
      </c>
      <c r="Y270" s="30" t="n">
        <v>28.94</v>
      </c>
      <c r="Z270" s="30" t="n">
        <f aca="false">X270*Y270</f>
        <v>23.152</v>
      </c>
      <c r="AC270" s="30"/>
    </row>
    <row r="271" customFormat="false" ht="15" hidden="false" customHeight="false" outlineLevel="0" collapsed="false">
      <c r="R271" s="1" t="s">
        <v>291</v>
      </c>
      <c r="V271" s="57" t="s">
        <v>290</v>
      </c>
      <c r="W271" s="58" t="n">
        <v>2</v>
      </c>
      <c r="X271" s="59" t="n">
        <f aca="false">W271*8/$T$267</f>
        <v>0.8</v>
      </c>
      <c r="Y271" s="30" t="n">
        <v>23.6</v>
      </c>
      <c r="Z271" s="30" t="n">
        <f aca="false">X271*Y271</f>
        <v>18.88</v>
      </c>
    </row>
    <row r="272" customFormat="false" ht="15" hidden="false" customHeight="false" outlineLevel="0" collapsed="false">
      <c r="V272" s="57"/>
      <c r="W272" s="58"/>
      <c r="X272" s="59"/>
      <c r="Z272" s="89" t="n">
        <f aca="false">SUM(Z270:Z271)</f>
        <v>42.032</v>
      </c>
    </row>
    <row r="273" customFormat="false" ht="15" hidden="false" customHeight="false" outlineLevel="0" collapsed="false">
      <c r="R273" s="90" t="s">
        <v>652</v>
      </c>
      <c r="V273" s="57"/>
      <c r="W273" s="58"/>
      <c r="X273" s="59"/>
      <c r="Z273" s="30"/>
    </row>
    <row r="274" customFormat="false" ht="15" hidden="false" customHeight="false" outlineLevel="0" collapsed="false">
      <c r="R274" s="1" t="s">
        <v>680</v>
      </c>
      <c r="V274" s="57" t="s">
        <v>295</v>
      </c>
      <c r="X274" s="59" t="n">
        <v>0.16</v>
      </c>
      <c r="Y274" s="30" t="n">
        <v>2.64</v>
      </c>
      <c r="Z274" s="30" t="n">
        <f aca="false">X274*Y274</f>
        <v>0.4224</v>
      </c>
    </row>
    <row r="275" customFormat="false" ht="15" hidden="false" customHeight="false" outlineLevel="0" collapsed="false">
      <c r="R275" s="1" t="s">
        <v>300</v>
      </c>
      <c r="V275" s="57" t="s">
        <v>295</v>
      </c>
      <c r="X275" s="59" t="n">
        <v>0.16</v>
      </c>
      <c r="Y275" s="30" t="n">
        <v>5.51</v>
      </c>
      <c r="Z275" s="30" t="n">
        <f aca="false">X275*Y275</f>
        <v>0.8816</v>
      </c>
    </row>
    <row r="276" customFormat="false" ht="15" hidden="false" customHeight="false" outlineLevel="0" collapsed="false">
      <c r="R276" s="1" t="s">
        <v>667</v>
      </c>
      <c r="V276" s="57" t="s">
        <v>304</v>
      </c>
      <c r="X276" s="59" t="n">
        <v>3.35</v>
      </c>
      <c r="Y276" s="30" t="n">
        <v>5.8</v>
      </c>
      <c r="Z276" s="30" t="n">
        <f aca="false">X276*Y276</f>
        <v>19.43</v>
      </c>
    </row>
    <row r="277" customFormat="false" ht="15" hidden="false" customHeight="false" outlineLevel="0" collapsed="false">
      <c r="V277" s="57"/>
      <c r="X277" s="59"/>
      <c r="Y277" s="30"/>
      <c r="Z277" s="89" t="n">
        <f aca="false">SUM(Z274:Z276)</f>
        <v>20.734</v>
      </c>
    </row>
    <row r="278" customFormat="false" ht="15" hidden="false" customHeight="false" outlineLevel="0" collapsed="false">
      <c r="R278" s="90" t="s">
        <v>308</v>
      </c>
    </row>
    <row r="279" customFormat="false" ht="15" hidden="false" customHeight="false" outlineLevel="0" collapsed="false">
      <c r="R279" s="1" t="s">
        <v>309</v>
      </c>
      <c r="V279" s="57" t="s">
        <v>310</v>
      </c>
      <c r="X279" s="59" t="n">
        <v>3</v>
      </c>
      <c r="Y279" s="30" t="n">
        <f aca="false">Z272</f>
        <v>42.032</v>
      </c>
      <c r="Z279" s="30" t="n">
        <f aca="false">X279%*Y279</f>
        <v>1.26096</v>
      </c>
    </row>
    <row r="280" customFormat="false" ht="15" hidden="false" customHeight="false" outlineLevel="0" collapsed="false">
      <c r="Q280" s="62"/>
      <c r="R280" s="62"/>
      <c r="S280" s="62"/>
      <c r="T280" s="62"/>
      <c r="U280" s="62"/>
      <c r="V280" s="62"/>
      <c r="W280" s="62"/>
      <c r="X280" s="62"/>
      <c r="Y280" s="62"/>
      <c r="Z280" s="91" t="n">
        <f aca="false">SUM(Z279)</f>
        <v>1.26096</v>
      </c>
    </row>
    <row r="281" customFormat="false" ht="15" hidden="false" customHeight="false" outlineLevel="0" collapsed="false">
      <c r="Z281" s="89"/>
    </row>
    <row r="282" customFormat="false" ht="15" hidden="false" customHeight="false" outlineLevel="0" collapsed="false">
      <c r="Q282" s="85" t="s">
        <v>276</v>
      </c>
      <c r="R282" s="85"/>
      <c r="S282" s="85" t="s">
        <v>681</v>
      </c>
      <c r="T282" s="85"/>
    </row>
    <row r="283" customFormat="false" ht="15" hidden="false" customHeight="false" outlineLevel="0" collapsed="false">
      <c r="Q283" s="85" t="s">
        <v>277</v>
      </c>
      <c r="R283" s="85" t="s">
        <v>674</v>
      </c>
      <c r="S283" s="87" t="s">
        <v>279</v>
      </c>
      <c r="T283" s="88" t="n">
        <v>250</v>
      </c>
      <c r="U283" s="87" t="s">
        <v>280</v>
      </c>
      <c r="V283" s="88" t="n">
        <f aca="false">T283</f>
        <v>250</v>
      </c>
      <c r="W283" s="85" t="s">
        <v>281</v>
      </c>
      <c r="Y283" s="87" t="s">
        <v>295</v>
      </c>
      <c r="Z283" s="89" t="n">
        <f aca="false">Z289+Z293+Z297</f>
        <v>5.5639628445</v>
      </c>
    </row>
    <row r="284" customFormat="false" ht="15" hidden="false" customHeight="false" outlineLevel="0" collapsed="false">
      <c r="Q284" s="85" t="s">
        <v>282</v>
      </c>
      <c r="R284" s="85" t="s">
        <v>283</v>
      </c>
      <c r="V284" s="87" t="s">
        <v>121</v>
      </c>
      <c r="W284" s="87" t="s">
        <v>284</v>
      </c>
      <c r="X284" s="87" t="s">
        <v>285</v>
      </c>
      <c r="Y284" s="87" t="s">
        <v>286</v>
      </c>
      <c r="Z284" s="87" t="s">
        <v>287</v>
      </c>
    </row>
    <row r="285" customFormat="false" ht="15" hidden="false" customHeight="false" outlineLevel="0" collapsed="false">
      <c r="R285" s="90" t="s">
        <v>288</v>
      </c>
      <c r="W285" s="58"/>
    </row>
    <row r="286" customFormat="false" ht="15" hidden="false" customHeight="false" outlineLevel="0" collapsed="false">
      <c r="R286" s="1" t="s">
        <v>289</v>
      </c>
      <c r="V286" s="57" t="s">
        <v>290</v>
      </c>
      <c r="W286" s="58" t="n">
        <v>1</v>
      </c>
      <c r="X286" s="101" t="n">
        <f aca="false">W286*8/$T$229</f>
        <v>0.032</v>
      </c>
      <c r="Y286" s="30" t="n">
        <v>28.94</v>
      </c>
      <c r="Z286" s="30" t="n">
        <f aca="false">X286*Y286</f>
        <v>0.92608</v>
      </c>
    </row>
    <row r="287" customFormat="false" ht="15" hidden="false" customHeight="false" outlineLevel="0" collapsed="false">
      <c r="R287" s="1" t="s">
        <v>675</v>
      </c>
      <c r="V287" s="57" t="s">
        <v>290</v>
      </c>
      <c r="W287" s="58" t="n">
        <v>1</v>
      </c>
      <c r="X287" s="101" t="n">
        <f aca="false">W287*8/$T$229</f>
        <v>0.032</v>
      </c>
      <c r="Y287" s="30" t="n">
        <v>23.6</v>
      </c>
      <c r="Z287" s="30" t="n">
        <f aca="false">X287*Y287</f>
        <v>0.7552</v>
      </c>
    </row>
    <row r="288" customFormat="false" ht="15" hidden="false" customHeight="false" outlineLevel="0" collapsed="false">
      <c r="V288" s="57"/>
      <c r="W288" s="58"/>
      <c r="X288" s="101"/>
      <c r="Y288" s="30"/>
      <c r="Z288" s="30"/>
    </row>
    <row r="289" customFormat="false" ht="15" hidden="false" customHeight="false" outlineLevel="0" collapsed="false">
      <c r="V289" s="57"/>
      <c r="W289" s="58"/>
      <c r="Z289" s="89" t="n">
        <f aca="false">SUM(Z286:Z288)</f>
        <v>1.68128</v>
      </c>
    </row>
    <row r="290" customFormat="false" ht="15" hidden="false" customHeight="false" outlineLevel="0" collapsed="false">
      <c r="R290" s="90" t="s">
        <v>293</v>
      </c>
      <c r="V290" s="57"/>
      <c r="W290" s="58"/>
      <c r="X290" s="101"/>
    </row>
    <row r="291" customFormat="false" ht="15" hidden="false" customHeight="false" outlineLevel="0" collapsed="false">
      <c r="R291" s="1" t="s">
        <v>294</v>
      </c>
      <c r="V291" s="57" t="s">
        <v>295</v>
      </c>
      <c r="W291" s="58"/>
      <c r="X291" s="101" t="n">
        <v>0.03</v>
      </c>
      <c r="Y291" s="30" t="n">
        <v>2.64</v>
      </c>
      <c r="Z291" s="30" t="n">
        <f aca="false">X291*Y291</f>
        <v>0.0792</v>
      </c>
    </row>
    <row r="292" customFormat="false" ht="15" hidden="false" customHeight="false" outlineLevel="0" collapsed="false">
      <c r="R292" s="1" t="s">
        <v>676</v>
      </c>
      <c r="V292" s="57" t="s">
        <v>295</v>
      </c>
      <c r="W292" s="58"/>
      <c r="X292" s="101" t="n">
        <v>1.05</v>
      </c>
      <c r="Y292" s="30" t="n">
        <f aca="false">1012.71*3.379/1000</f>
        <v>3.42194709</v>
      </c>
      <c r="Z292" s="30" t="n">
        <f aca="false">X292*Y292</f>
        <v>3.5930444445</v>
      </c>
    </row>
    <row r="293" customFormat="false" ht="15" hidden="false" customHeight="false" outlineLevel="0" collapsed="false">
      <c r="V293" s="57"/>
      <c r="W293" s="58"/>
      <c r="Z293" s="89" t="n">
        <f aca="false">SUM(Z291:Z292)</f>
        <v>3.6722444445</v>
      </c>
    </row>
    <row r="294" customFormat="false" ht="15" hidden="false" customHeight="false" outlineLevel="0" collapsed="false">
      <c r="R294" s="90" t="s">
        <v>317</v>
      </c>
      <c r="V294" s="57"/>
      <c r="W294" s="58"/>
    </row>
    <row r="295" customFormat="false" ht="15" hidden="false" customHeight="false" outlineLevel="0" collapsed="false">
      <c r="R295" s="1" t="s">
        <v>309</v>
      </c>
      <c r="V295" s="57" t="s">
        <v>310</v>
      </c>
      <c r="X295" s="59" t="n">
        <v>3</v>
      </c>
      <c r="Y295" s="30" t="n">
        <f aca="false">Z289</f>
        <v>1.68128</v>
      </c>
      <c r="Z295" s="30" t="n">
        <f aca="false">X295%*Y295</f>
        <v>0.0504384</v>
      </c>
    </row>
    <row r="296" customFormat="false" ht="15" hidden="false" customHeight="false" outlineLevel="0" collapsed="false">
      <c r="R296" s="1" t="s">
        <v>677</v>
      </c>
      <c r="V296" s="57" t="s">
        <v>290</v>
      </c>
      <c r="W296" s="58" t="n">
        <v>1</v>
      </c>
      <c r="X296" s="59" t="n">
        <f aca="false">W296*8/$T$283</f>
        <v>0.032</v>
      </c>
      <c r="Y296" s="65" t="n">
        <v>5</v>
      </c>
      <c r="Z296" s="30" t="n">
        <f aca="false">X296*Y296</f>
        <v>0.16</v>
      </c>
    </row>
    <row r="297" customFormat="false" ht="15" hidden="false" customHeight="false" outlineLevel="0" collapsed="false">
      <c r="Q297" s="62"/>
      <c r="R297" s="62"/>
      <c r="S297" s="62"/>
      <c r="T297" s="62"/>
      <c r="U297" s="62"/>
      <c r="V297" s="62"/>
      <c r="W297" s="62"/>
      <c r="X297" s="62"/>
      <c r="Y297" s="62"/>
      <c r="Z297" s="91" t="n">
        <f aca="false">SUM(Z295:Z296)</f>
        <v>0.2104384</v>
      </c>
    </row>
    <row r="300" customFormat="false" ht="15" hidden="false" customHeight="false" outlineLevel="0" collapsed="false">
      <c r="Q300" s="85" t="s">
        <v>276</v>
      </c>
      <c r="R300" s="85"/>
      <c r="S300" s="85" t="s">
        <v>682</v>
      </c>
      <c r="T300" s="85"/>
    </row>
    <row r="301" customFormat="false" ht="15" hidden="false" customHeight="false" outlineLevel="0" collapsed="false">
      <c r="Q301" s="85" t="s">
        <v>277</v>
      </c>
      <c r="R301" s="85" t="s">
        <v>415</v>
      </c>
      <c r="S301" s="87" t="s">
        <v>279</v>
      </c>
      <c r="T301" s="88" t="n">
        <v>15</v>
      </c>
      <c r="U301" s="87" t="s">
        <v>280</v>
      </c>
      <c r="V301" s="88" t="n">
        <f aca="false">T301</f>
        <v>15</v>
      </c>
      <c r="W301" s="85" t="s">
        <v>281</v>
      </c>
      <c r="Y301" s="87" t="s">
        <v>202</v>
      </c>
      <c r="Z301" s="89" t="n">
        <f aca="false">Z307+Z314+Z319</f>
        <v>424.9218</v>
      </c>
    </row>
    <row r="302" customFormat="false" ht="15" hidden="false" customHeight="false" outlineLevel="0" collapsed="false">
      <c r="Q302" s="85" t="s">
        <v>282</v>
      </c>
      <c r="R302" s="85" t="s">
        <v>283</v>
      </c>
      <c r="V302" s="87" t="s">
        <v>121</v>
      </c>
      <c r="W302" s="87" t="s">
        <v>284</v>
      </c>
      <c r="X302" s="87" t="s">
        <v>285</v>
      </c>
      <c r="Y302" s="87" t="s">
        <v>286</v>
      </c>
      <c r="Z302" s="87" t="s">
        <v>287</v>
      </c>
    </row>
    <row r="303" customFormat="false" ht="15" hidden="false" customHeight="false" outlineLevel="0" collapsed="false">
      <c r="R303" s="90" t="s">
        <v>288</v>
      </c>
    </row>
    <row r="304" customFormat="false" ht="15" hidden="false" customHeight="false" outlineLevel="0" collapsed="false">
      <c r="R304" s="1" t="s">
        <v>289</v>
      </c>
      <c r="V304" s="57" t="s">
        <v>290</v>
      </c>
      <c r="W304" s="58" t="n">
        <v>1</v>
      </c>
      <c r="X304" s="59" t="n">
        <f aca="false">W304*8/$T$301</f>
        <v>0.533333333333333</v>
      </c>
      <c r="Y304" s="30" t="n">
        <v>28.94</v>
      </c>
      <c r="Z304" s="30" t="n">
        <f aca="false">X304*Y304</f>
        <v>15.4346666666667</v>
      </c>
    </row>
    <row r="305" customFormat="false" ht="15" hidden="false" customHeight="false" outlineLevel="0" collapsed="false">
      <c r="R305" s="1" t="s">
        <v>291</v>
      </c>
      <c r="V305" s="57" t="s">
        <v>290</v>
      </c>
      <c r="W305" s="58" t="n">
        <v>1</v>
      </c>
      <c r="X305" s="59" t="n">
        <f aca="false">W305*8/$T$301</f>
        <v>0.533333333333333</v>
      </c>
      <c r="Y305" s="30" t="n">
        <v>23.6</v>
      </c>
      <c r="Z305" s="30" t="n">
        <f aca="false">X305*Y305</f>
        <v>12.5866666666667</v>
      </c>
    </row>
    <row r="306" customFormat="false" ht="15" hidden="false" customHeight="false" outlineLevel="0" collapsed="false">
      <c r="R306" s="1" t="s">
        <v>292</v>
      </c>
      <c r="V306" s="57" t="s">
        <v>290</v>
      </c>
      <c r="W306" s="58" t="n">
        <v>7</v>
      </c>
      <c r="X306" s="59" t="n">
        <f aca="false">W306*8/$T$301</f>
        <v>3.73333333333333</v>
      </c>
      <c r="Y306" s="30" t="n">
        <v>21.36</v>
      </c>
      <c r="Z306" s="30" t="n">
        <f aca="false">X306*Y306</f>
        <v>79.744</v>
      </c>
    </row>
    <row r="307" customFormat="false" ht="15" hidden="false" customHeight="false" outlineLevel="0" collapsed="false">
      <c r="V307" s="57"/>
      <c r="W307" s="58"/>
      <c r="X307" s="59"/>
      <c r="Z307" s="89" t="n">
        <f aca="false">SUM(Z304:Z306)</f>
        <v>107.765333333333</v>
      </c>
    </row>
    <row r="308" customFormat="false" ht="15" hidden="false" customHeight="false" outlineLevel="0" collapsed="false">
      <c r="R308" s="90" t="s">
        <v>652</v>
      </c>
      <c r="V308" s="57"/>
      <c r="W308" s="58"/>
      <c r="X308" s="59"/>
      <c r="Z308" s="30"/>
    </row>
    <row r="309" customFormat="false" ht="15" hidden="false" customHeight="false" outlineLevel="0" collapsed="false">
      <c r="R309" s="1" t="s">
        <v>670</v>
      </c>
      <c r="V309" s="57" t="s">
        <v>202</v>
      </c>
      <c r="X309" s="59" t="n">
        <v>0.53</v>
      </c>
      <c r="Y309" s="30" t="n">
        <v>55.08</v>
      </c>
      <c r="Z309" s="30" t="n">
        <f aca="false">X309*Y309</f>
        <v>29.1924</v>
      </c>
    </row>
    <row r="310" customFormat="false" ht="15" hidden="false" customHeight="false" outlineLevel="0" collapsed="false">
      <c r="R310" s="1" t="s">
        <v>671</v>
      </c>
      <c r="V310" s="57" t="s">
        <v>202</v>
      </c>
      <c r="X310" s="59" t="n">
        <v>0.52</v>
      </c>
      <c r="Y310" s="30" t="n">
        <v>47</v>
      </c>
      <c r="Z310" s="30" t="n">
        <f aca="false">X310*Y310</f>
        <v>24.44</v>
      </c>
    </row>
    <row r="311" customFormat="false" ht="15" hidden="false" customHeight="false" outlineLevel="0" collapsed="false">
      <c r="R311" s="1" t="s">
        <v>305</v>
      </c>
      <c r="V311" s="57" t="s">
        <v>306</v>
      </c>
      <c r="X311" s="59" t="n">
        <v>9.73</v>
      </c>
      <c r="Y311" s="30" t="n">
        <v>24.52</v>
      </c>
      <c r="Z311" s="30" t="n">
        <f aca="false">X311*Y311</f>
        <v>238.5796</v>
      </c>
    </row>
    <row r="312" customFormat="false" ht="15" hidden="false" customHeight="false" outlineLevel="0" collapsed="false">
      <c r="R312" s="1" t="s">
        <v>654</v>
      </c>
      <c r="V312" s="57" t="s">
        <v>202</v>
      </c>
      <c r="X312" s="59" t="n">
        <v>0.186</v>
      </c>
      <c r="Y312" s="1" t="n">
        <v>6.14</v>
      </c>
      <c r="Z312" s="30" t="n">
        <f aca="false">X312*Y312</f>
        <v>1.14204</v>
      </c>
    </row>
    <row r="313" customFormat="false" ht="15" hidden="false" customHeight="false" outlineLevel="0" collapsed="false">
      <c r="R313" s="1" t="s">
        <v>663</v>
      </c>
      <c r="V313" s="57" t="s">
        <v>437</v>
      </c>
      <c r="X313" s="59" t="n">
        <v>0.36</v>
      </c>
      <c r="Y313" s="1" t="n">
        <v>13.93</v>
      </c>
      <c r="Z313" s="30" t="n">
        <f aca="false">X313*Y313</f>
        <v>5.0148</v>
      </c>
    </row>
    <row r="314" customFormat="false" ht="15" hidden="false" customHeight="false" outlineLevel="0" collapsed="false">
      <c r="V314" s="57"/>
      <c r="X314" s="59"/>
      <c r="Y314" s="30"/>
      <c r="Z314" s="89" t="n">
        <f aca="false">SUM(Z309:Z313)</f>
        <v>298.36884</v>
      </c>
    </row>
    <row r="315" customFormat="false" ht="15" hidden="false" customHeight="false" outlineLevel="0" collapsed="false">
      <c r="R315" s="90" t="s">
        <v>308</v>
      </c>
    </row>
    <row r="316" customFormat="false" ht="15" hidden="false" customHeight="false" outlineLevel="0" collapsed="false">
      <c r="R316" s="1" t="s">
        <v>309</v>
      </c>
      <c r="V316" s="57" t="s">
        <v>310</v>
      </c>
      <c r="X316" s="59" t="n">
        <v>3</v>
      </c>
      <c r="Y316" s="30" t="n">
        <f aca="false">Z307</f>
        <v>107.765333333333</v>
      </c>
      <c r="Z316" s="30" t="n">
        <f aca="false">X316%*Y316</f>
        <v>3.23296</v>
      </c>
    </row>
    <row r="317" customFormat="false" ht="15" hidden="false" customHeight="false" outlineLevel="0" collapsed="false">
      <c r="R317" s="1" t="s">
        <v>665</v>
      </c>
      <c r="V317" s="57" t="s">
        <v>337</v>
      </c>
      <c r="W317" s="58" t="n">
        <v>1</v>
      </c>
      <c r="X317" s="59" t="n">
        <f aca="false">W317*8/$T$301</f>
        <v>0.533333333333333</v>
      </c>
      <c r="Y317" s="30" t="n">
        <v>25.63</v>
      </c>
      <c r="Z317" s="30" t="n">
        <f aca="false">X317*Y317</f>
        <v>13.6693333333333</v>
      </c>
    </row>
    <row r="318" customFormat="false" ht="15" hidden="false" customHeight="false" outlineLevel="0" collapsed="false">
      <c r="R318" s="1" t="s">
        <v>673</v>
      </c>
      <c r="V318" s="57" t="s">
        <v>337</v>
      </c>
      <c r="W318" s="58" t="n">
        <v>0.5</v>
      </c>
      <c r="X318" s="59" t="n">
        <f aca="false">W318*8/$T$301</f>
        <v>0.266666666666667</v>
      </c>
      <c r="Y318" s="30" t="n">
        <v>7.07</v>
      </c>
      <c r="Z318" s="30" t="n">
        <f aca="false">X318*Y318</f>
        <v>1.88533333333333</v>
      </c>
    </row>
    <row r="319" customFormat="false" ht="15" hidden="false" customHeight="false" outlineLevel="0" collapsed="false">
      <c r="Q319" s="62"/>
      <c r="R319" s="62"/>
      <c r="S319" s="62"/>
      <c r="T319" s="62"/>
      <c r="U319" s="62"/>
      <c r="V319" s="62"/>
      <c r="W319" s="62"/>
      <c r="X319" s="62"/>
      <c r="Y319" s="62"/>
      <c r="Z319" s="91" t="n">
        <f aca="false">SUM(Z316:Z318)</f>
        <v>18.7876266666667</v>
      </c>
    </row>
    <row r="321" customFormat="false" ht="15" hidden="false" customHeight="false" outlineLevel="0" collapsed="false">
      <c r="Q321" s="85" t="s">
        <v>276</v>
      </c>
      <c r="R321" s="85"/>
      <c r="S321" s="85" t="s">
        <v>683</v>
      </c>
      <c r="T321" s="85"/>
    </row>
    <row r="322" customFormat="false" ht="15" hidden="false" customHeight="false" outlineLevel="0" collapsed="false">
      <c r="Q322" s="85" t="s">
        <v>277</v>
      </c>
      <c r="R322" s="85" t="s">
        <v>278</v>
      </c>
      <c r="S322" s="87" t="s">
        <v>279</v>
      </c>
      <c r="T322" s="88" t="n">
        <v>20</v>
      </c>
      <c r="U322" s="87" t="s">
        <v>280</v>
      </c>
      <c r="V322" s="88" t="n">
        <f aca="false">T322</f>
        <v>20</v>
      </c>
      <c r="W322" s="85" t="s">
        <v>281</v>
      </c>
      <c r="Y322" s="87" t="s">
        <v>132</v>
      </c>
      <c r="Z322" s="89" t="n">
        <f aca="false">Z327+Z332+Z335</f>
        <v>42.64448</v>
      </c>
    </row>
    <row r="323" customFormat="false" ht="15" hidden="false" customHeight="false" outlineLevel="0" collapsed="false">
      <c r="Q323" s="85" t="s">
        <v>282</v>
      </c>
      <c r="R323" s="85" t="s">
        <v>283</v>
      </c>
      <c r="V323" s="87" t="s">
        <v>121</v>
      </c>
      <c r="W323" s="87" t="s">
        <v>284</v>
      </c>
      <c r="X323" s="87" t="s">
        <v>285</v>
      </c>
      <c r="Y323" s="87" t="s">
        <v>286</v>
      </c>
      <c r="Z323" s="87" t="s">
        <v>287</v>
      </c>
    </row>
    <row r="324" customFormat="false" ht="15" hidden="false" customHeight="false" outlineLevel="0" collapsed="false">
      <c r="R324" s="90" t="s">
        <v>288</v>
      </c>
    </row>
    <row r="325" customFormat="false" ht="15" hidden="false" customHeight="false" outlineLevel="0" collapsed="false">
      <c r="R325" s="1" t="s">
        <v>289</v>
      </c>
      <c r="V325" s="57" t="s">
        <v>290</v>
      </c>
      <c r="W325" s="58" t="n">
        <v>1</v>
      </c>
      <c r="X325" s="59" t="n">
        <f aca="false">W325*8/$T$322</f>
        <v>0.4</v>
      </c>
      <c r="Y325" s="30" t="n">
        <v>28.94</v>
      </c>
      <c r="Z325" s="30" t="n">
        <f aca="false">X325*Y325</f>
        <v>11.576</v>
      </c>
    </row>
    <row r="326" customFormat="false" ht="15" hidden="false" customHeight="false" outlineLevel="0" collapsed="false">
      <c r="R326" s="1" t="s">
        <v>291</v>
      </c>
      <c r="V326" s="57" t="s">
        <v>290</v>
      </c>
      <c r="W326" s="58" t="n">
        <v>1</v>
      </c>
      <c r="X326" s="59" t="n">
        <f aca="false">W326*8/$T$322</f>
        <v>0.4</v>
      </c>
      <c r="Y326" s="30" t="n">
        <v>23.6</v>
      </c>
      <c r="Z326" s="30" t="n">
        <f aca="false">X326*Y326</f>
        <v>9.44</v>
      </c>
    </row>
    <row r="327" customFormat="false" ht="15" hidden="false" customHeight="false" outlineLevel="0" collapsed="false">
      <c r="V327" s="57"/>
      <c r="W327" s="58"/>
      <c r="X327" s="59"/>
      <c r="Z327" s="89" t="n">
        <f aca="false">SUM(Z325:Z326)</f>
        <v>21.016</v>
      </c>
    </row>
    <row r="328" customFormat="false" ht="15" hidden="false" customHeight="false" outlineLevel="0" collapsed="false">
      <c r="R328" s="90" t="s">
        <v>652</v>
      </c>
      <c r="V328" s="57"/>
      <c r="W328" s="58"/>
      <c r="X328" s="59"/>
      <c r="Z328" s="30"/>
    </row>
    <row r="329" customFormat="false" ht="15" hidden="false" customHeight="false" outlineLevel="0" collapsed="false">
      <c r="R329" s="1" t="s">
        <v>680</v>
      </c>
      <c r="V329" s="57" t="s">
        <v>295</v>
      </c>
      <c r="X329" s="59" t="n">
        <v>0.26</v>
      </c>
      <c r="Y329" s="30" t="n">
        <v>2.64</v>
      </c>
      <c r="Z329" s="30" t="n">
        <f aca="false">X329*Y329</f>
        <v>0.6864</v>
      </c>
    </row>
    <row r="330" customFormat="false" ht="15" hidden="false" customHeight="false" outlineLevel="0" collapsed="false">
      <c r="R330" s="1" t="s">
        <v>300</v>
      </c>
      <c r="V330" s="57" t="s">
        <v>295</v>
      </c>
      <c r="X330" s="59" t="n">
        <v>0.16</v>
      </c>
      <c r="Y330" s="30" t="n">
        <v>5.51</v>
      </c>
      <c r="Z330" s="30" t="n">
        <f aca="false">X330*Y330</f>
        <v>0.8816</v>
      </c>
    </row>
    <row r="331" customFormat="false" ht="15" hidden="false" customHeight="false" outlineLevel="0" collapsed="false">
      <c r="R331" s="1" t="s">
        <v>667</v>
      </c>
      <c r="V331" s="57" t="s">
        <v>304</v>
      </c>
      <c r="X331" s="59" t="n">
        <v>3.35</v>
      </c>
      <c r="Y331" s="30" t="n">
        <v>5.8</v>
      </c>
      <c r="Z331" s="30" t="n">
        <f aca="false">X331*Y331</f>
        <v>19.43</v>
      </c>
    </row>
    <row r="332" customFormat="false" ht="15" hidden="false" customHeight="false" outlineLevel="0" collapsed="false">
      <c r="V332" s="57"/>
      <c r="X332" s="59"/>
      <c r="Y332" s="30"/>
      <c r="Z332" s="89" t="n">
        <f aca="false">SUM(Z329:Z331)</f>
        <v>20.998</v>
      </c>
    </row>
    <row r="333" customFormat="false" ht="15" hidden="false" customHeight="false" outlineLevel="0" collapsed="false">
      <c r="R333" s="90" t="s">
        <v>308</v>
      </c>
    </row>
    <row r="334" customFormat="false" ht="15" hidden="false" customHeight="false" outlineLevel="0" collapsed="false">
      <c r="R334" s="1" t="s">
        <v>309</v>
      </c>
      <c r="V334" s="57" t="s">
        <v>310</v>
      </c>
      <c r="X334" s="59" t="n">
        <v>3</v>
      </c>
      <c r="Y334" s="30" t="n">
        <f aca="false">Z327</f>
        <v>21.016</v>
      </c>
      <c r="Z334" s="30" t="n">
        <f aca="false">X334%*Y334</f>
        <v>0.63048</v>
      </c>
    </row>
    <row r="335" customFormat="false" ht="15" hidden="false" customHeight="false" outlineLevel="0" collapsed="false">
      <c r="Q335" s="62"/>
      <c r="R335" s="62"/>
      <c r="S335" s="62"/>
      <c r="T335" s="62"/>
      <c r="U335" s="62"/>
      <c r="V335" s="62"/>
      <c r="W335" s="62"/>
      <c r="X335" s="62"/>
      <c r="Y335" s="62"/>
      <c r="Z335" s="91" t="n">
        <f aca="false">SUM(Z334)</f>
        <v>0.63048</v>
      </c>
    </row>
    <row r="337" customFormat="false" ht="15" hidden="false" customHeight="false" outlineLevel="0" collapsed="false">
      <c r="Q337" s="85" t="s">
        <v>276</v>
      </c>
      <c r="R337" s="85"/>
      <c r="S337" s="85" t="s">
        <v>684</v>
      </c>
      <c r="T337" s="85"/>
    </row>
    <row r="338" customFormat="false" ht="15" hidden="false" customHeight="false" outlineLevel="0" collapsed="false">
      <c r="Q338" s="85" t="s">
        <v>277</v>
      </c>
      <c r="R338" s="85" t="s">
        <v>674</v>
      </c>
      <c r="S338" s="87" t="s">
        <v>279</v>
      </c>
      <c r="T338" s="88" t="n">
        <v>250</v>
      </c>
      <c r="U338" s="87" t="s">
        <v>280</v>
      </c>
      <c r="V338" s="88" t="n">
        <f aca="false">T338</f>
        <v>250</v>
      </c>
      <c r="W338" s="85" t="s">
        <v>281</v>
      </c>
      <c r="Y338" s="87" t="s">
        <v>295</v>
      </c>
      <c r="Z338" s="89" t="n">
        <f aca="false">Z343+Z347+Z351</f>
        <v>5.5639628445</v>
      </c>
    </row>
    <row r="339" customFormat="false" ht="15" hidden="false" customHeight="false" outlineLevel="0" collapsed="false">
      <c r="Q339" s="85" t="s">
        <v>282</v>
      </c>
      <c r="R339" s="85" t="s">
        <v>283</v>
      </c>
      <c r="V339" s="87" t="s">
        <v>121</v>
      </c>
      <c r="W339" s="87" t="s">
        <v>284</v>
      </c>
      <c r="X339" s="87" t="s">
        <v>285</v>
      </c>
      <c r="Y339" s="87" t="s">
        <v>286</v>
      </c>
      <c r="Z339" s="87" t="s">
        <v>287</v>
      </c>
    </row>
    <row r="340" customFormat="false" ht="15" hidden="false" customHeight="false" outlineLevel="0" collapsed="false">
      <c r="R340" s="90" t="s">
        <v>288</v>
      </c>
      <c r="W340" s="58"/>
    </row>
    <row r="341" customFormat="false" ht="15" hidden="false" customHeight="false" outlineLevel="0" collapsed="false">
      <c r="R341" s="1" t="s">
        <v>289</v>
      </c>
      <c r="V341" s="57" t="s">
        <v>290</v>
      </c>
      <c r="W341" s="58" t="n">
        <v>1</v>
      </c>
      <c r="X341" s="59" t="n">
        <f aca="false">W341*8/$T$338</f>
        <v>0.032</v>
      </c>
      <c r="Y341" s="30" t="n">
        <v>28.94</v>
      </c>
      <c r="Z341" s="30" t="n">
        <f aca="false">X341*Y341</f>
        <v>0.92608</v>
      </c>
    </row>
    <row r="342" customFormat="false" ht="15" hidden="false" customHeight="false" outlineLevel="0" collapsed="false">
      <c r="R342" s="1" t="s">
        <v>675</v>
      </c>
      <c r="V342" s="57" t="s">
        <v>290</v>
      </c>
      <c r="W342" s="58" t="n">
        <v>1</v>
      </c>
      <c r="X342" s="59" t="n">
        <f aca="false">W342*8/$T$338</f>
        <v>0.032</v>
      </c>
      <c r="Y342" s="30" t="n">
        <v>23.6</v>
      </c>
      <c r="Z342" s="30" t="n">
        <f aca="false">X342*Y342</f>
        <v>0.7552</v>
      </c>
    </row>
    <row r="343" customFormat="false" ht="15" hidden="false" customHeight="false" outlineLevel="0" collapsed="false">
      <c r="V343" s="57"/>
      <c r="W343" s="58"/>
      <c r="Z343" s="89" t="n">
        <f aca="false">SUM(Z341:Z342)</f>
        <v>1.68128</v>
      </c>
    </row>
    <row r="344" customFormat="false" ht="15" hidden="false" customHeight="false" outlineLevel="0" collapsed="false">
      <c r="R344" s="90" t="s">
        <v>293</v>
      </c>
      <c r="V344" s="57"/>
      <c r="W344" s="58"/>
      <c r="X344" s="101"/>
    </row>
    <row r="345" customFormat="false" ht="15" hidden="false" customHeight="false" outlineLevel="0" collapsed="false">
      <c r="R345" s="1" t="s">
        <v>294</v>
      </c>
      <c r="V345" s="57" t="s">
        <v>295</v>
      </c>
      <c r="W345" s="58"/>
      <c r="X345" s="101" t="n">
        <v>0.03</v>
      </c>
      <c r="Y345" s="30" t="n">
        <v>2.64</v>
      </c>
      <c r="Z345" s="30" t="n">
        <f aca="false">X345*Y345</f>
        <v>0.0792</v>
      </c>
    </row>
    <row r="346" customFormat="false" ht="15" hidden="false" customHeight="false" outlineLevel="0" collapsed="false">
      <c r="R346" s="1" t="s">
        <v>676</v>
      </c>
      <c r="V346" s="57" t="s">
        <v>295</v>
      </c>
      <c r="W346" s="58"/>
      <c r="X346" s="101" t="n">
        <v>1.05</v>
      </c>
      <c r="Y346" s="30" t="n">
        <f aca="false">1012.71*3.379/1000</f>
        <v>3.42194709</v>
      </c>
      <c r="Z346" s="30" t="n">
        <f aca="false">X346*Y346</f>
        <v>3.5930444445</v>
      </c>
    </row>
    <row r="347" customFormat="false" ht="15" hidden="false" customHeight="false" outlineLevel="0" collapsed="false">
      <c r="V347" s="57"/>
      <c r="W347" s="58"/>
      <c r="Z347" s="89" t="n">
        <f aca="false">SUM(Z345:Z346)</f>
        <v>3.6722444445</v>
      </c>
    </row>
    <row r="348" customFormat="false" ht="15" hidden="false" customHeight="false" outlineLevel="0" collapsed="false">
      <c r="R348" s="90" t="s">
        <v>317</v>
      </c>
      <c r="V348" s="57"/>
      <c r="W348" s="58"/>
    </row>
    <row r="349" customFormat="false" ht="15" hidden="false" customHeight="false" outlineLevel="0" collapsed="false">
      <c r="R349" s="1" t="s">
        <v>309</v>
      </c>
      <c r="V349" s="57" t="s">
        <v>310</v>
      </c>
      <c r="X349" s="59" t="n">
        <v>3</v>
      </c>
      <c r="Y349" s="30" t="n">
        <f aca="false">Z343</f>
        <v>1.68128</v>
      </c>
      <c r="Z349" s="30" t="n">
        <f aca="false">X349%*Y349</f>
        <v>0.0504384</v>
      </c>
    </row>
    <row r="350" customFormat="false" ht="15" hidden="false" customHeight="false" outlineLevel="0" collapsed="false">
      <c r="R350" s="1" t="s">
        <v>677</v>
      </c>
      <c r="V350" s="57" t="s">
        <v>290</v>
      </c>
      <c r="W350" s="58" t="n">
        <v>1</v>
      </c>
      <c r="X350" s="59" t="n">
        <f aca="false">W350*8/$T$338</f>
        <v>0.032</v>
      </c>
      <c r="Y350" s="65" t="n">
        <v>5</v>
      </c>
      <c r="Z350" s="30" t="n">
        <f aca="false">X350*Y350</f>
        <v>0.16</v>
      </c>
    </row>
    <row r="351" customFormat="false" ht="15" hidden="false" customHeight="false" outlineLevel="0" collapsed="false">
      <c r="Q351" s="62"/>
      <c r="R351" s="62"/>
      <c r="S351" s="62"/>
      <c r="T351" s="62"/>
      <c r="U351" s="62"/>
      <c r="V351" s="62"/>
      <c r="W351" s="62"/>
      <c r="X351" s="62"/>
      <c r="Y351" s="62"/>
      <c r="Z351" s="91" t="n">
        <f aca="false">SUM(Z349:Z350)</f>
        <v>0.2104384</v>
      </c>
    </row>
    <row r="352" customFormat="false" ht="15" hidden="false" customHeight="false" outlineLevel="0" collapsed="false">
      <c r="Z352" s="89"/>
    </row>
    <row r="354" customFormat="false" ht="15" hidden="false" customHeight="false" outlineLevel="0" collapsed="false">
      <c r="Q354" s="85"/>
      <c r="R354" s="85"/>
      <c r="S354" s="85"/>
      <c r="T354" s="85"/>
    </row>
    <row r="355" customFormat="false" ht="15" hidden="false" customHeight="false" outlineLevel="0" collapsed="false">
      <c r="Q355" s="85"/>
      <c r="R355" s="85"/>
      <c r="S355" s="87"/>
      <c r="T355" s="88"/>
      <c r="U355" s="87"/>
      <c r="V355" s="88"/>
      <c r="W355" s="85"/>
      <c r="Y355" s="87"/>
      <c r="Z355" s="8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4" activeCellId="0" sqref="N4"/>
    </sheetView>
  </sheetViews>
  <sheetFormatPr defaultColWidth="8.59765625" defaultRowHeight="15" zeroHeight="false" outlineLevelRow="0" outlineLevelCol="0"/>
  <cols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9" t="s">
        <v>1383</v>
      </c>
      <c r="N2" s="221" t="n">
        <f aca="false">IF('Datos iniciales '!D8="zapatas y vigas de cimentación",'Datos iniciales '!B8,0)</f>
        <v>1</v>
      </c>
    </row>
    <row r="3" customFormat="false" ht="15" hidden="false" customHeight="false" outlineLevel="0" collapsed="false">
      <c r="E3" s="38" t="s">
        <v>1222</v>
      </c>
      <c r="F3" s="38" t="s">
        <v>1223</v>
      </c>
      <c r="G3" s="38" t="s">
        <v>121</v>
      </c>
      <c r="H3" s="38" t="s">
        <v>122</v>
      </c>
      <c r="I3" s="38" t="s">
        <v>123</v>
      </c>
      <c r="J3" s="38" t="s">
        <v>452</v>
      </c>
      <c r="K3" s="38" t="s">
        <v>453</v>
      </c>
      <c r="M3" s="159"/>
      <c r="N3" s="159"/>
    </row>
    <row r="4" customFormat="false" ht="15" hidden="false" customHeight="false" outlineLevel="0" collapsed="false">
      <c r="G4" s="160"/>
      <c r="H4" s="76"/>
      <c r="I4" s="30"/>
      <c r="K4" s="1" t="n">
        <f aca="false">SUM(J4:J37)</f>
        <v>1126.39524134753</v>
      </c>
      <c r="M4" s="159" t="s">
        <v>1373</v>
      </c>
      <c r="N4" s="159" t="n">
        <f aca="false">K4/N2</f>
        <v>1126.39524134753</v>
      </c>
    </row>
    <row r="6" customFormat="false" ht="15" hidden="false" customHeight="false" outlineLevel="0" collapsed="false">
      <c r="A6" s="27"/>
      <c r="B6" s="14"/>
      <c r="G6" s="14"/>
      <c r="Q6" s="14" t="s">
        <v>276</v>
      </c>
      <c r="R6" s="14"/>
      <c r="S6" s="14" t="s">
        <v>1376</v>
      </c>
      <c r="T6" s="14"/>
    </row>
    <row r="7" customFormat="false" ht="15" hidden="false" customHeight="false" outlineLevel="0" collapsed="false">
      <c r="F7" s="30"/>
      <c r="I7" s="30"/>
      <c r="K7" s="30"/>
      <c r="Q7" s="14" t="s">
        <v>277</v>
      </c>
      <c r="R7" s="14" t="s">
        <v>278</v>
      </c>
      <c r="S7" s="38" t="s">
        <v>279</v>
      </c>
      <c r="T7" s="54" t="n">
        <v>500</v>
      </c>
      <c r="U7" s="38" t="s">
        <v>280</v>
      </c>
      <c r="V7" s="54" t="n">
        <f aca="false">T7</f>
        <v>500</v>
      </c>
      <c r="W7" s="14" t="s">
        <v>281</v>
      </c>
      <c r="Y7" s="38" t="s">
        <v>132</v>
      </c>
      <c r="Z7" s="55" t="n">
        <f aca="false">Z13+Z18+Z23</f>
        <v>2.89927064</v>
      </c>
    </row>
    <row r="8" customFormat="false" ht="15" hidden="false" customHeight="false" outlineLevel="0" collapsed="false">
      <c r="A8" s="27" t="s">
        <v>455</v>
      </c>
      <c r="B8" s="14"/>
      <c r="F8" s="30"/>
      <c r="J8" s="30"/>
      <c r="Q8" s="14" t="s">
        <v>282</v>
      </c>
      <c r="R8" s="14" t="s">
        <v>283</v>
      </c>
      <c r="V8" s="38" t="s">
        <v>121</v>
      </c>
      <c r="W8" s="38" t="s">
        <v>284</v>
      </c>
      <c r="X8" s="38" t="s">
        <v>285</v>
      </c>
      <c r="Y8" s="38" t="s">
        <v>286</v>
      </c>
      <c r="Z8" s="38" t="s">
        <v>287</v>
      </c>
    </row>
    <row r="9" customFormat="false" ht="15" hidden="false" customHeight="false" outlineLevel="0" collapsed="false">
      <c r="A9" s="213" t="s">
        <v>457</v>
      </c>
      <c r="E9" s="1" t="n">
        <v>1</v>
      </c>
      <c r="F9" s="30" t="n">
        <v>4.36975929978118</v>
      </c>
      <c r="G9" s="1" t="s">
        <v>202</v>
      </c>
      <c r="H9" s="1" t="n">
        <f aca="false">E9*F9*$N$2</f>
        <v>4.36975929978118</v>
      </c>
      <c r="I9" s="30" t="n">
        <f aca="false">Z26</f>
        <v>8.45820448</v>
      </c>
      <c r="J9" s="30" t="n">
        <f aca="false">H9*I9</f>
        <v>36.9603176859309</v>
      </c>
      <c r="M9" s="30"/>
      <c r="R9" s="56" t="s">
        <v>288</v>
      </c>
    </row>
    <row r="10" customFormat="false" ht="15" hidden="false" customHeight="false" outlineLevel="0" collapsed="false">
      <c r="A10" s="213" t="s">
        <v>459</v>
      </c>
      <c r="E10" s="1" t="n">
        <v>1</v>
      </c>
      <c r="F10" s="30" t="n">
        <v>0.0588183807439825</v>
      </c>
      <c r="G10" s="1" t="s">
        <v>202</v>
      </c>
      <c r="H10" s="1" t="n">
        <f aca="false">E10*F10*$N$2</f>
        <v>0.0588183807439825</v>
      </c>
      <c r="I10" s="30" t="n">
        <f aca="false">Z42</f>
        <v>49.40498</v>
      </c>
      <c r="J10" s="30" t="n">
        <f aca="false">H10*I10</f>
        <v>2.90592092428884</v>
      </c>
      <c r="R10" s="1" t="s">
        <v>1378</v>
      </c>
      <c r="V10" s="57" t="s">
        <v>290</v>
      </c>
      <c r="W10" s="58" t="n">
        <v>1</v>
      </c>
      <c r="X10" s="59" t="n">
        <f aca="false">W10*8/$V$7</f>
        <v>0.016</v>
      </c>
      <c r="Y10" s="1" t="n">
        <v>28.94</v>
      </c>
      <c r="Z10" s="30" t="n">
        <f aca="false">X10*Y10</f>
        <v>0.46304</v>
      </c>
    </row>
    <row r="11" customFormat="false" ht="15" hidden="false" customHeight="false" outlineLevel="0" collapsed="false">
      <c r="A11" s="213" t="s">
        <v>461</v>
      </c>
      <c r="E11" s="1" t="n">
        <v>1</v>
      </c>
      <c r="F11" s="30" t="n">
        <v>0.269540481400438</v>
      </c>
      <c r="G11" s="1" t="s">
        <v>202</v>
      </c>
      <c r="H11" s="1" t="n">
        <f aca="false">E11*F11*$N$2</f>
        <v>0.269540481400438</v>
      </c>
      <c r="I11" s="30" t="n">
        <f aca="false">Z53</f>
        <v>66.2342173333333</v>
      </c>
      <c r="J11" s="30" t="n">
        <f aca="false">H11*I11</f>
        <v>17.8528028252079</v>
      </c>
      <c r="R11" s="1" t="s">
        <v>292</v>
      </c>
      <c r="V11" s="57" t="s">
        <v>290</v>
      </c>
      <c r="W11" s="58" t="n">
        <v>3</v>
      </c>
      <c r="X11" s="59" t="n">
        <f aca="false">W11*8/$V$7</f>
        <v>0.048</v>
      </c>
      <c r="Y11" s="1" t="n">
        <v>20.51</v>
      </c>
      <c r="Z11" s="30" t="n">
        <f aca="false">X11*Y11</f>
        <v>0.98448</v>
      </c>
    </row>
    <row r="12" customFormat="false" ht="15" hidden="false" customHeight="false" outlineLevel="0" collapsed="false">
      <c r="A12" s="213" t="s">
        <v>463</v>
      </c>
      <c r="E12" s="1" t="n">
        <v>1</v>
      </c>
      <c r="F12" s="30" t="n">
        <v>2.57973012399708</v>
      </c>
      <c r="G12" s="1" t="s">
        <v>202</v>
      </c>
      <c r="H12" s="1" t="n">
        <f aca="false">E12*F12*$N$2</f>
        <v>2.57973012399708</v>
      </c>
      <c r="I12" s="30" t="n">
        <f aca="false">Z70</f>
        <v>19.29963</v>
      </c>
      <c r="J12" s="30" t="n">
        <f aca="false">H12*I12</f>
        <v>49.7878368929978</v>
      </c>
      <c r="K12" s="160"/>
      <c r="R12" s="1" t="s">
        <v>649</v>
      </c>
      <c r="V12" s="57" t="s">
        <v>290</v>
      </c>
      <c r="W12" s="58" t="n">
        <v>0.1</v>
      </c>
      <c r="X12" s="59" t="n">
        <f aca="false">W12*8/$V$7</f>
        <v>0.0016</v>
      </c>
      <c r="Y12" s="1" t="n">
        <v>34.73</v>
      </c>
      <c r="Z12" s="30" t="n">
        <f aca="false">X12*Y12</f>
        <v>0.055568</v>
      </c>
    </row>
    <row r="13" customFormat="false" ht="15" hidden="false" customHeight="false" outlineLevel="0" collapsed="false">
      <c r="A13" s="213" t="s">
        <v>1384</v>
      </c>
      <c r="E13" s="1" t="n">
        <v>1</v>
      </c>
      <c r="F13" s="30" t="n">
        <v>2.05368344274252</v>
      </c>
      <c r="G13" s="1" t="s">
        <v>132</v>
      </c>
      <c r="H13" s="1" t="n">
        <f aca="false">E13*F13*$N$2</f>
        <v>2.05368344274252</v>
      </c>
      <c r="I13" s="30" t="n">
        <f aca="false">Z87</f>
        <v>7.930344</v>
      </c>
      <c r="J13" s="30" t="n">
        <f aca="false">H13*I13</f>
        <v>16.2864161680525</v>
      </c>
      <c r="Z13" s="55" t="n">
        <f aca="false">SUM(Z10:Z12)</f>
        <v>1.503088</v>
      </c>
    </row>
    <row r="14" customFormat="false" ht="15" hidden="false" customHeight="false" outlineLevel="0" collapsed="false">
      <c r="A14" s="213" t="s">
        <v>467</v>
      </c>
      <c r="E14" s="1" t="n">
        <v>1</v>
      </c>
      <c r="F14" s="30" t="n">
        <v>2.3110594456601</v>
      </c>
      <c r="G14" s="1" t="s">
        <v>132</v>
      </c>
      <c r="H14" s="1" t="n">
        <f aca="false">E14*F14*$N$2</f>
        <v>2.3110594456601</v>
      </c>
      <c r="I14" s="30" t="n">
        <f aca="false">Z102</f>
        <v>12.11253</v>
      </c>
      <c r="J14" s="30" t="n">
        <f aca="false">H14*I14</f>
        <v>27.9927768673414</v>
      </c>
      <c r="K14" s="225"/>
      <c r="R14" s="56" t="s">
        <v>652</v>
      </c>
    </row>
    <row r="15" customFormat="false" ht="15" hidden="false" customHeight="false" outlineLevel="0" collapsed="false">
      <c r="A15" s="213" t="s">
        <v>469</v>
      </c>
      <c r="E15" s="1" t="n">
        <v>1</v>
      </c>
      <c r="F15" s="30" t="n">
        <v>2.3110594456601</v>
      </c>
      <c r="G15" s="1" t="s">
        <v>202</v>
      </c>
      <c r="H15" s="1" t="n">
        <f aca="false">E15*F15*$N$2</f>
        <v>2.3110594456601</v>
      </c>
      <c r="I15" s="30" t="n">
        <f aca="false">Z113</f>
        <v>22.9100074666667</v>
      </c>
      <c r="J15" s="30" t="n">
        <f aca="false">H15*I15</f>
        <v>52.9463891559835</v>
      </c>
      <c r="R15" s="1" t="s">
        <v>300</v>
      </c>
      <c r="V15" s="57" t="s">
        <v>295</v>
      </c>
      <c r="X15" s="59" t="n">
        <v>0.005</v>
      </c>
      <c r="Y15" s="1" t="n">
        <v>5.51</v>
      </c>
      <c r="Z15" s="30" t="n">
        <f aca="false">X15*Y15</f>
        <v>0.02755</v>
      </c>
    </row>
    <row r="16" customFormat="false" ht="15" hidden="false" customHeight="false" outlineLevel="0" collapsed="false">
      <c r="A16" s="27" t="s">
        <v>474</v>
      </c>
      <c r="F16" s="30"/>
      <c r="R16" s="1" t="s">
        <v>1379</v>
      </c>
      <c r="S16" s="226"/>
      <c r="T16" s="226"/>
      <c r="U16" s="226"/>
      <c r="V16" s="57" t="s">
        <v>306</v>
      </c>
      <c r="W16" s="226"/>
      <c r="X16" s="59" t="n">
        <v>0.025</v>
      </c>
      <c r="Y16" s="30" t="n">
        <v>38.9</v>
      </c>
      <c r="Z16" s="30" t="n">
        <f aca="false">X16*Y16</f>
        <v>0.9725</v>
      </c>
    </row>
    <row r="17" customFormat="false" ht="15" hidden="false" customHeight="false" outlineLevel="0" collapsed="false">
      <c r="A17" s="1" t="s">
        <v>482</v>
      </c>
      <c r="E17" s="1" t="n">
        <v>1</v>
      </c>
      <c r="F17" s="30" t="n">
        <v>1</v>
      </c>
      <c r="G17" s="1" t="s">
        <v>202</v>
      </c>
      <c r="H17" s="1" t="n">
        <f aca="false">E17*F17*$N$2</f>
        <v>1</v>
      </c>
      <c r="I17" s="30" t="n">
        <f aca="false">Z126</f>
        <v>238.3435744</v>
      </c>
      <c r="J17" s="30" t="n">
        <f aca="false">H17*I17</f>
        <v>238.3435744</v>
      </c>
      <c r="R17" s="1" t="s">
        <v>307</v>
      </c>
      <c r="V17" s="57" t="s">
        <v>304</v>
      </c>
      <c r="X17" s="59" t="n">
        <v>0.02</v>
      </c>
      <c r="Y17" s="30" t="n">
        <v>5.8</v>
      </c>
      <c r="Z17" s="30" t="n">
        <f aca="false">X17*Y17</f>
        <v>0.116</v>
      </c>
    </row>
    <row r="18" customFormat="false" ht="15" hidden="false" customHeight="false" outlineLevel="0" collapsed="false">
      <c r="A18" s="15" t="s">
        <v>484</v>
      </c>
      <c r="F18" s="30"/>
      <c r="Z18" s="55" t="n">
        <f aca="false">SUM(Z15:Z17)</f>
        <v>1.11605</v>
      </c>
    </row>
    <row r="19" customFormat="false" ht="16.4" hidden="false" customHeight="false" outlineLevel="0" collapsed="false">
      <c r="A19" s="213" t="s">
        <v>486</v>
      </c>
      <c r="B19" s="213"/>
      <c r="C19" s="213"/>
      <c r="D19" s="213"/>
      <c r="E19" s="213" t="n">
        <v>1</v>
      </c>
      <c r="F19" s="30" t="n">
        <v>0.884609773887673</v>
      </c>
      <c r="G19" s="1" t="s">
        <v>132</v>
      </c>
      <c r="H19" s="1" t="n">
        <f aca="false">E19*F19*$N$2</f>
        <v>0.884609773887673</v>
      </c>
      <c r="I19" s="227" t="n">
        <f aca="false">Z152</f>
        <v>39.6208818181818</v>
      </c>
      <c r="J19" s="228" t="n">
        <f aca="false">H19*I19</f>
        <v>35.049019306412</v>
      </c>
      <c r="R19" s="56" t="s">
        <v>308</v>
      </c>
    </row>
    <row r="20" customFormat="false" ht="15" hidden="false" customHeight="false" outlineLevel="0" collapsed="false">
      <c r="A20" s="15" t="s">
        <v>488</v>
      </c>
      <c r="F20" s="30"/>
      <c r="I20" s="160"/>
      <c r="J20" s="30"/>
      <c r="K20" s="160"/>
      <c r="R20" s="1" t="s">
        <v>309</v>
      </c>
      <c r="V20" s="57" t="s">
        <v>310</v>
      </c>
      <c r="X20" s="59" t="n">
        <v>3</v>
      </c>
      <c r="Y20" s="30" t="n">
        <f aca="false">Z13</f>
        <v>1.503088</v>
      </c>
      <c r="Z20" s="30" t="n">
        <f aca="false">X20%*Y20</f>
        <v>0.04509264</v>
      </c>
    </row>
    <row r="21" customFormat="false" ht="16.4" hidden="false" customHeight="false" outlineLevel="0" collapsed="false">
      <c r="A21" s="1" t="s">
        <v>490</v>
      </c>
      <c r="E21" s="1" t="n">
        <v>1</v>
      </c>
      <c r="F21" s="30" t="n">
        <v>0.0510576221735959</v>
      </c>
      <c r="G21" s="1" t="s">
        <v>132</v>
      </c>
      <c r="H21" s="1" t="n">
        <f aca="false">E21*F21*$N$2</f>
        <v>0.0510576221735959</v>
      </c>
      <c r="I21" s="209" t="n">
        <f aca="false">Z171</f>
        <v>27.126394</v>
      </c>
      <c r="J21" s="30" t="n">
        <f aca="false">H21*I21</f>
        <v>1.3850091757841</v>
      </c>
      <c r="K21" s="225"/>
      <c r="R21" s="1" t="s">
        <v>1380</v>
      </c>
      <c r="V21" s="57" t="s">
        <v>337</v>
      </c>
      <c r="W21" s="58" t="n">
        <v>1</v>
      </c>
      <c r="X21" s="59" t="n">
        <f aca="false">W21*8/$V$7</f>
        <v>0.016</v>
      </c>
      <c r="Y21" s="30" t="n">
        <v>9.69</v>
      </c>
      <c r="Z21" s="30" t="n">
        <f aca="false">X21*Y21</f>
        <v>0.15504</v>
      </c>
    </row>
    <row r="22" customFormat="false" ht="15" hidden="false" customHeight="false" outlineLevel="0" collapsed="false">
      <c r="A22" s="15" t="s">
        <v>1377</v>
      </c>
      <c r="F22" s="30"/>
      <c r="I22" s="160"/>
      <c r="J22" s="30"/>
      <c r="K22" s="225"/>
      <c r="R22" s="1" t="s">
        <v>1381</v>
      </c>
      <c r="V22" s="57" t="s">
        <v>143</v>
      </c>
      <c r="X22" s="1" t="n">
        <v>0.008</v>
      </c>
      <c r="Y22" s="59" t="n">
        <v>10</v>
      </c>
      <c r="Z22" s="30" t="n">
        <f aca="false">X22*Y22</f>
        <v>0.08</v>
      </c>
    </row>
    <row r="23" customFormat="false" ht="15" hidden="false" customHeight="false" outlineLevel="0" collapsed="false">
      <c r="A23" s="15" t="s">
        <v>493</v>
      </c>
      <c r="F23" s="30"/>
      <c r="I23" s="160"/>
      <c r="J23" s="30"/>
      <c r="Q23" s="62"/>
      <c r="R23" s="62"/>
      <c r="S23" s="62"/>
      <c r="T23" s="62"/>
      <c r="U23" s="62"/>
      <c r="V23" s="62"/>
      <c r="W23" s="62"/>
      <c r="X23" s="62"/>
      <c r="Y23" s="83"/>
      <c r="Z23" s="63" t="n">
        <f aca="false">SUM(Z20:Z22)</f>
        <v>0.28013264</v>
      </c>
    </row>
    <row r="24" customFormat="false" ht="16.4" hidden="false" customHeight="false" outlineLevel="0" collapsed="false">
      <c r="A24" s="1" t="s">
        <v>495</v>
      </c>
      <c r="E24" s="1" t="n">
        <v>1</v>
      </c>
      <c r="F24" s="30" t="n">
        <v>0.632312180889861</v>
      </c>
      <c r="G24" s="1" t="s">
        <v>202</v>
      </c>
      <c r="H24" s="1" t="n">
        <f aca="false">E24*F24*$N$2</f>
        <v>0.632312180889861</v>
      </c>
      <c r="I24" s="209" t="n">
        <f aca="false">Z190</f>
        <v>426.397544</v>
      </c>
      <c r="J24" s="30" t="n">
        <f aca="false">H24*I24</f>
        <v>269.616360972721</v>
      </c>
    </row>
    <row r="25" customFormat="false" ht="16.4" hidden="false" customHeight="false" outlineLevel="0" collapsed="false">
      <c r="A25" s="1" t="s">
        <v>497</v>
      </c>
      <c r="E25" s="1" t="n">
        <v>1</v>
      </c>
      <c r="F25" s="30"/>
      <c r="G25" s="160" t="s">
        <v>295</v>
      </c>
      <c r="H25" s="233" t="n">
        <f aca="false">H24*40</f>
        <v>25.2924872355945</v>
      </c>
      <c r="I25" s="209" t="n">
        <f aca="false">Z229</f>
        <v>5.5639628445</v>
      </c>
      <c r="J25" s="30" t="n">
        <f aca="false">H25*I25</f>
        <v>140.726459223838</v>
      </c>
      <c r="K25" s="160" t="n">
        <f aca="false">H25/H24</f>
        <v>40</v>
      </c>
      <c r="Q25" s="14" t="s">
        <v>276</v>
      </c>
      <c r="R25" s="14"/>
      <c r="S25" s="14" t="s">
        <v>457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30" t="s">
        <v>507</v>
      </c>
      <c r="F26" s="30"/>
      <c r="G26" s="160"/>
      <c r="I26" s="160"/>
      <c r="J26" s="30"/>
      <c r="Q26" s="14" t="s">
        <v>277</v>
      </c>
      <c r="R26" s="14" t="s">
        <v>415</v>
      </c>
      <c r="S26" s="38" t="s">
        <v>279</v>
      </c>
      <c r="T26" s="54" t="n">
        <v>250</v>
      </c>
      <c r="U26" s="38" t="s">
        <v>280</v>
      </c>
      <c r="V26" s="54" t="n">
        <f aca="false">T26</f>
        <v>250</v>
      </c>
      <c r="W26" s="14" t="s">
        <v>281</v>
      </c>
      <c r="Y26" s="38" t="s">
        <v>202</v>
      </c>
      <c r="Z26" s="55" t="n">
        <f aca="false">Z32+Z36</f>
        <v>8.45820448</v>
      </c>
      <c r="AC26" s="14"/>
      <c r="AD26" s="14"/>
      <c r="AE26" s="38"/>
      <c r="AF26" s="54"/>
      <c r="AG26" s="38"/>
      <c r="AH26" s="54"/>
      <c r="AI26" s="14"/>
      <c r="AK26" s="38"/>
      <c r="AL26" s="55"/>
    </row>
    <row r="27" customFormat="false" ht="16.4" hidden="false" customHeight="false" outlineLevel="0" collapsed="false">
      <c r="A27" s="1" t="s">
        <v>509</v>
      </c>
      <c r="E27" s="1" t="n">
        <v>1</v>
      </c>
      <c r="F27" s="30" t="n">
        <v>0.120204230488694</v>
      </c>
      <c r="G27" s="160" t="s">
        <v>202</v>
      </c>
      <c r="H27" s="1" t="n">
        <f aca="false">E27*F27*$N$2</f>
        <v>0.120204230488694</v>
      </c>
      <c r="I27" s="209" t="n">
        <f aca="false">Z245</f>
        <v>438.22652</v>
      </c>
      <c r="J27" s="30" t="n">
        <f aca="false">H27*I27</f>
        <v>52.6766816163384</v>
      </c>
      <c r="Q27" s="14" t="s">
        <v>282</v>
      </c>
      <c r="R27" s="14" t="s">
        <v>283</v>
      </c>
      <c r="V27" s="38" t="s">
        <v>121</v>
      </c>
      <c r="W27" s="38" t="s">
        <v>284</v>
      </c>
      <c r="X27" s="38" t="s">
        <v>285</v>
      </c>
      <c r="Y27" s="38" t="s">
        <v>286</v>
      </c>
      <c r="Z27" s="38" t="s">
        <v>287</v>
      </c>
      <c r="AC27" s="14"/>
      <c r="AD27" s="14"/>
      <c r="AH27" s="38"/>
      <c r="AI27" s="38"/>
      <c r="AJ27" s="38"/>
      <c r="AK27" s="38"/>
      <c r="AL27" s="38"/>
    </row>
    <row r="28" customFormat="false" ht="16.4" hidden="false" customHeight="false" outlineLevel="0" collapsed="false">
      <c r="A28" s="1" t="s">
        <v>511</v>
      </c>
      <c r="E28" s="1" t="n">
        <v>1</v>
      </c>
      <c r="F28" s="30" t="n">
        <v>0.6490882567469</v>
      </c>
      <c r="G28" s="160" t="s">
        <v>132</v>
      </c>
      <c r="H28" s="1" t="n">
        <f aca="false">E28*F28*$N$2</f>
        <v>0.6490882567469</v>
      </c>
      <c r="I28" s="209" t="n">
        <f aca="false">Z267</f>
        <v>64.02696</v>
      </c>
      <c r="J28" s="30" t="n">
        <f aca="false">H28*I28</f>
        <v>41.5591478512035</v>
      </c>
      <c r="R28" s="56" t="s">
        <v>288</v>
      </c>
      <c r="AD28" s="56"/>
    </row>
    <row r="29" customFormat="false" ht="16.4" hidden="false" customHeight="false" outlineLevel="0" collapsed="false">
      <c r="A29" s="1" t="s">
        <v>513</v>
      </c>
      <c r="E29" s="1" t="n">
        <v>1</v>
      </c>
      <c r="F29" s="30"/>
      <c r="G29" s="160" t="s">
        <v>295</v>
      </c>
      <c r="H29" s="233" t="n">
        <f aca="false">H27*50</f>
        <v>6.01021152443472</v>
      </c>
      <c r="I29" s="209" t="n">
        <f aca="false">Z283</f>
        <v>5.5639628445</v>
      </c>
      <c r="J29" s="30" t="n">
        <f aca="false">H29*I29</f>
        <v>33.4405936095405</v>
      </c>
      <c r="K29" s="160" t="n">
        <f aca="false">H29/H27</f>
        <v>50</v>
      </c>
      <c r="R29" s="1" t="s">
        <v>649</v>
      </c>
      <c r="V29" s="57" t="s">
        <v>290</v>
      </c>
      <c r="W29" s="58" t="n">
        <v>0.1</v>
      </c>
      <c r="X29" s="59" t="n">
        <f aca="false">W29*8/$V$26</f>
        <v>0.0032</v>
      </c>
      <c r="Y29" s="1" t="n">
        <v>34.73</v>
      </c>
      <c r="Z29" s="30" t="n">
        <f aca="false">X29*Y29</f>
        <v>0.111136</v>
      </c>
      <c r="AH29" s="57"/>
      <c r="AI29" s="58"/>
      <c r="AJ29" s="59"/>
      <c r="AL29" s="30"/>
    </row>
    <row r="30" customFormat="false" ht="15" hidden="false" customHeight="false" outlineLevel="0" collapsed="false">
      <c r="A30" s="27" t="s">
        <v>515</v>
      </c>
      <c r="B30" s="14"/>
      <c r="F30" s="30"/>
      <c r="I30" s="160"/>
      <c r="J30" s="30"/>
      <c r="R30" s="1" t="s">
        <v>289</v>
      </c>
      <c r="V30" s="57" t="s">
        <v>290</v>
      </c>
      <c r="W30" s="58" t="n">
        <v>2</v>
      </c>
      <c r="X30" s="59" t="n">
        <f aca="false">W30*8/$V$26</f>
        <v>0.064</v>
      </c>
      <c r="Y30" s="30" t="n">
        <v>28.94</v>
      </c>
      <c r="Z30" s="30" t="n">
        <f aca="false">X30*Y30</f>
        <v>1.85216</v>
      </c>
      <c r="AH30" s="57"/>
      <c r="AI30" s="58"/>
      <c r="AJ30" s="59"/>
      <c r="AL30" s="30"/>
    </row>
    <row r="31" customFormat="false" ht="15" hidden="false" customHeight="false" outlineLevel="0" collapsed="false">
      <c r="A31" s="1" t="s">
        <v>517</v>
      </c>
      <c r="E31" s="1" t="n">
        <v>1</v>
      </c>
      <c r="F31" s="30" t="n">
        <v>0.0833698030634573</v>
      </c>
      <c r="G31" s="1" t="s">
        <v>202</v>
      </c>
      <c r="H31" s="1" t="n">
        <f aca="false">E31*F31*$N$2</f>
        <v>0.0833698030634573</v>
      </c>
      <c r="I31" s="30" t="n">
        <f aca="false">Z301</f>
        <v>424.9218</v>
      </c>
      <c r="J31" s="30" t="n">
        <f aca="false">H31*I31</f>
        <v>35.4256467833698</v>
      </c>
      <c r="R31" s="1" t="s">
        <v>292</v>
      </c>
      <c r="V31" s="57" t="s">
        <v>290</v>
      </c>
      <c r="W31" s="58" t="n">
        <v>1</v>
      </c>
      <c r="X31" s="59" t="n">
        <f aca="false">W31*8/$V$26</f>
        <v>0.032</v>
      </c>
      <c r="Y31" s="1" t="n">
        <v>20.51</v>
      </c>
      <c r="Z31" s="30" t="n">
        <f aca="false">X31*Y31</f>
        <v>0.65632</v>
      </c>
      <c r="AL31" s="55"/>
    </row>
    <row r="32" customFormat="false" ht="15" hidden="false" customHeight="false" outlineLevel="0" collapsed="false">
      <c r="A32" s="1" t="s">
        <v>519</v>
      </c>
      <c r="E32" s="1" t="n">
        <v>1</v>
      </c>
      <c r="F32" s="30" t="n">
        <v>0.416849015317287</v>
      </c>
      <c r="G32" s="1" t="s">
        <v>132</v>
      </c>
      <c r="H32" s="1" t="n">
        <f aca="false">E32*F32*$N$2</f>
        <v>0.416849015317287</v>
      </c>
      <c r="I32" s="30" t="n">
        <f aca="false">Z322</f>
        <v>42.64448</v>
      </c>
      <c r="J32" s="30" t="n">
        <f aca="false">H32*I32</f>
        <v>17.7763094967177</v>
      </c>
      <c r="Z32" s="55" t="n">
        <f aca="false">SUM(Z29:Z31)</f>
        <v>2.619616</v>
      </c>
      <c r="AD32" s="56"/>
    </row>
    <row r="33" customFormat="false" ht="16.4" hidden="false" customHeight="false" outlineLevel="0" collapsed="false">
      <c r="A33" s="1" t="s">
        <v>521</v>
      </c>
      <c r="E33" s="1" t="n">
        <v>1</v>
      </c>
      <c r="F33" s="30"/>
      <c r="G33" s="1" t="s">
        <v>295</v>
      </c>
      <c r="H33" s="233" t="n">
        <f aca="false">H31*120</f>
        <v>10.0043763676149</v>
      </c>
      <c r="I33" s="30" t="n">
        <f aca="false">Z338</f>
        <v>5.5639628445</v>
      </c>
      <c r="J33" s="30" t="n">
        <f aca="false">H33*I33</f>
        <v>55.6639783918031</v>
      </c>
      <c r="K33" s="160" t="n">
        <f aca="false">H33/H31</f>
        <v>120</v>
      </c>
      <c r="R33" s="56" t="s">
        <v>308</v>
      </c>
      <c r="AH33" s="57"/>
      <c r="AJ33" s="59"/>
      <c r="AK33" s="30"/>
      <c r="AL33" s="30"/>
    </row>
    <row r="34" customFormat="false" ht="15" hidden="false" customHeight="false" outlineLevel="0" collapsed="false">
      <c r="R34" s="1" t="s">
        <v>309</v>
      </c>
      <c r="V34" s="57" t="s">
        <v>310</v>
      </c>
      <c r="X34" s="59" t="n">
        <v>3</v>
      </c>
      <c r="Y34" s="30" t="n">
        <f aca="false">Z32</f>
        <v>2.619616</v>
      </c>
      <c r="Z34" s="30" t="n">
        <f aca="false">X34%*Y34</f>
        <v>0.07858848</v>
      </c>
    </row>
    <row r="35" customFormat="false" ht="15" hidden="false" customHeight="false" outlineLevel="0" collapsed="false">
      <c r="R35" s="1" t="s">
        <v>650</v>
      </c>
      <c r="V35" s="57" t="s">
        <v>337</v>
      </c>
      <c r="W35" s="58" t="n">
        <v>1</v>
      </c>
      <c r="X35" s="59" t="n">
        <f aca="false">W35*8/$V$26</f>
        <v>0.032</v>
      </c>
      <c r="Y35" s="1" t="n">
        <v>180</v>
      </c>
      <c r="Z35" s="30" t="n">
        <f aca="false">X35*Y35</f>
        <v>5.76</v>
      </c>
    </row>
    <row r="36" customFormat="false" ht="15" hidden="false" customHeight="false" outlineLevel="0" collapsed="false">
      <c r="Q36" s="62"/>
      <c r="R36" s="62"/>
      <c r="S36" s="62"/>
      <c r="T36" s="62"/>
      <c r="U36" s="62"/>
      <c r="V36" s="62"/>
      <c r="W36" s="62"/>
      <c r="X36" s="62"/>
      <c r="Y36" s="62"/>
      <c r="Z36" s="63" t="n">
        <f aca="false">SUM(Z34:Z35)</f>
        <v>5.83858848</v>
      </c>
    </row>
    <row r="37" customFormat="false" ht="15" hidden="false" customHeight="false" outlineLevel="0" collapsed="false">
      <c r="A37" s="213"/>
      <c r="G37" s="231"/>
      <c r="H37" s="231"/>
      <c r="I37" s="209"/>
      <c r="R37" s="56"/>
      <c r="V37" s="57"/>
      <c r="W37" s="58"/>
      <c r="X37" s="59"/>
    </row>
    <row r="38" customFormat="false" ht="15" hidden="false" customHeight="false" outlineLevel="0" collapsed="false">
      <c r="Y38" s="30"/>
      <c r="Z38" s="30"/>
    </row>
    <row r="39" customFormat="false" ht="15" hidden="false" customHeight="false" outlineLevel="0" collapsed="false">
      <c r="G39" s="160"/>
      <c r="H39" s="160"/>
      <c r="I39" s="209"/>
      <c r="Y39" s="14"/>
      <c r="Z39" s="55"/>
    </row>
    <row r="40" customFormat="false" ht="15" hidden="false" customHeight="false" outlineLevel="0" collapsed="false">
      <c r="G40" s="160"/>
      <c r="H40" s="160"/>
      <c r="I40" s="209"/>
    </row>
    <row r="41" customFormat="false" ht="15" hidden="false" customHeight="false" outlineLevel="0" collapsed="false">
      <c r="Q41" s="14" t="s">
        <v>276</v>
      </c>
      <c r="R41" s="14"/>
      <c r="S41" s="14" t="s">
        <v>459</v>
      </c>
      <c r="T41" s="14"/>
    </row>
    <row r="42" customFormat="false" ht="15" hidden="false" customHeight="false" outlineLevel="0" collapsed="false">
      <c r="Q42" s="14" t="s">
        <v>277</v>
      </c>
      <c r="R42" s="14" t="s">
        <v>415</v>
      </c>
      <c r="S42" s="38" t="s">
        <v>279</v>
      </c>
      <c r="T42" s="54" t="n">
        <v>4</v>
      </c>
      <c r="U42" s="38" t="s">
        <v>280</v>
      </c>
      <c r="V42" s="54" t="n">
        <f aca="false">T42</f>
        <v>4</v>
      </c>
      <c r="W42" s="14" t="s">
        <v>281</v>
      </c>
      <c r="Y42" s="38" t="s">
        <v>202</v>
      </c>
      <c r="Z42" s="55" t="n">
        <f aca="false">Z47+Z50</f>
        <v>49.40498</v>
      </c>
    </row>
    <row r="43" customFormat="false" ht="15" hidden="false" customHeight="false" outlineLevel="0" collapsed="false">
      <c r="Q43" s="14" t="s">
        <v>282</v>
      </c>
      <c r="R43" s="14" t="s">
        <v>283</v>
      </c>
      <c r="V43" s="38" t="s">
        <v>121</v>
      </c>
      <c r="W43" s="38" t="s">
        <v>284</v>
      </c>
      <c r="X43" s="38" t="s">
        <v>285</v>
      </c>
      <c r="Y43" s="38" t="s">
        <v>286</v>
      </c>
      <c r="Z43" s="38" t="s">
        <v>287</v>
      </c>
    </row>
    <row r="44" customFormat="false" ht="15" hidden="false" customHeight="false" outlineLevel="0" collapsed="false">
      <c r="R44" s="56" t="s">
        <v>288</v>
      </c>
    </row>
    <row r="45" customFormat="false" ht="15" hidden="false" customHeight="false" outlineLevel="0" collapsed="false">
      <c r="R45" s="1" t="s">
        <v>649</v>
      </c>
      <c r="V45" s="57" t="s">
        <v>290</v>
      </c>
      <c r="W45" s="58" t="n">
        <v>0.1</v>
      </c>
      <c r="X45" s="59" t="n">
        <f aca="false">W45*8/$V$42</f>
        <v>0.2</v>
      </c>
      <c r="Y45" s="1" t="n">
        <v>34.73</v>
      </c>
      <c r="Z45" s="30" t="n">
        <f aca="false">X45*Y45</f>
        <v>6.946</v>
      </c>
    </row>
    <row r="46" customFormat="false" ht="15" hidden="false" customHeight="false" outlineLevel="0" collapsed="false">
      <c r="R46" s="1" t="s">
        <v>292</v>
      </c>
      <c r="V46" s="57" t="s">
        <v>290</v>
      </c>
      <c r="W46" s="58" t="n">
        <v>1</v>
      </c>
      <c r="X46" s="59" t="n">
        <f aca="false">W46*8/$V$42</f>
        <v>2</v>
      </c>
      <c r="Y46" s="1" t="n">
        <v>20.51</v>
      </c>
      <c r="Z46" s="30" t="n">
        <f aca="false">X46*Y46</f>
        <v>41.02</v>
      </c>
    </row>
    <row r="47" customFormat="false" ht="15" hidden="false" customHeight="false" outlineLevel="0" collapsed="false">
      <c r="V47" s="57"/>
      <c r="W47" s="58"/>
      <c r="X47" s="59"/>
      <c r="Z47" s="55" t="n">
        <f aca="false">SUM(Z45:Z46)</f>
        <v>47.966</v>
      </c>
    </row>
    <row r="48" customFormat="false" ht="15" hidden="false" customHeight="false" outlineLevel="0" collapsed="false">
      <c r="R48" s="56" t="s">
        <v>308</v>
      </c>
    </row>
    <row r="49" customFormat="false" ht="15" hidden="false" customHeight="false" outlineLevel="0" collapsed="false">
      <c r="R49" s="1" t="s">
        <v>309</v>
      </c>
      <c r="V49" s="57" t="s">
        <v>310</v>
      </c>
      <c r="X49" s="59" t="n">
        <v>3</v>
      </c>
      <c r="Y49" s="30" t="n">
        <f aca="false">Z47</f>
        <v>47.966</v>
      </c>
      <c r="Z49" s="30" t="n">
        <f aca="false">X49%*Y49</f>
        <v>1.43898</v>
      </c>
    </row>
    <row r="50" customFormat="false" ht="15" hidden="false" customHeight="false" outlineLevel="0" collapsed="false">
      <c r="Q50" s="62"/>
      <c r="R50" s="62"/>
      <c r="S50" s="62"/>
      <c r="T50" s="62"/>
      <c r="U50" s="62"/>
      <c r="V50" s="62"/>
      <c r="W50" s="62"/>
      <c r="X50" s="62"/>
      <c r="Y50" s="83"/>
      <c r="Z50" s="63" t="n">
        <f aca="false">SUM(Z49)</f>
        <v>1.43898</v>
      </c>
    </row>
    <row r="52" customFormat="false" ht="15" hidden="false" customHeight="false" outlineLevel="0" collapsed="false">
      <c r="Q52" s="14" t="s">
        <v>276</v>
      </c>
      <c r="R52" s="14"/>
      <c r="S52" s="14" t="s">
        <v>461</v>
      </c>
      <c r="T52" s="14"/>
    </row>
    <row r="53" customFormat="false" ht="15" hidden="false" customHeight="false" outlineLevel="0" collapsed="false">
      <c r="Q53" s="14" t="s">
        <v>277</v>
      </c>
      <c r="R53" s="14" t="s">
        <v>415</v>
      </c>
      <c r="S53" s="38" t="s">
        <v>279</v>
      </c>
      <c r="T53" s="54" t="n">
        <v>30</v>
      </c>
      <c r="U53" s="38" t="s">
        <v>280</v>
      </c>
      <c r="V53" s="54" t="n">
        <f aca="false">T53</f>
        <v>30</v>
      </c>
      <c r="W53" s="14" t="s">
        <v>281</v>
      </c>
      <c r="Y53" s="38" t="s">
        <v>202</v>
      </c>
      <c r="Z53" s="55" t="n">
        <f aca="false">Z59+Z63+Z67</f>
        <v>66.2342173333333</v>
      </c>
    </row>
    <row r="54" customFormat="false" ht="15" hidden="false" customHeight="false" outlineLevel="0" collapsed="false">
      <c r="Q54" s="14" t="s">
        <v>282</v>
      </c>
      <c r="R54" s="14" t="s">
        <v>283</v>
      </c>
      <c r="V54" s="38" t="s">
        <v>121</v>
      </c>
      <c r="W54" s="38" t="s">
        <v>284</v>
      </c>
      <c r="X54" s="38" t="s">
        <v>285</v>
      </c>
      <c r="Y54" s="38" t="s">
        <v>286</v>
      </c>
      <c r="Z54" s="38" t="s">
        <v>287</v>
      </c>
    </row>
    <row r="55" customFormat="false" ht="15" hidden="false" customHeight="false" outlineLevel="0" collapsed="false">
      <c r="R55" s="56" t="s">
        <v>288</v>
      </c>
    </row>
    <row r="56" customFormat="false" ht="15" hidden="false" customHeight="false" outlineLevel="0" collapsed="false">
      <c r="R56" s="1" t="s">
        <v>649</v>
      </c>
      <c r="V56" s="57" t="s">
        <v>290</v>
      </c>
      <c r="W56" s="58" t="n">
        <v>0.1</v>
      </c>
      <c r="X56" s="59" t="n">
        <f aca="false">W56*8/$V$53</f>
        <v>0.0266666666666667</v>
      </c>
      <c r="Y56" s="1" t="n">
        <v>34.73</v>
      </c>
      <c r="Z56" s="30" t="n">
        <f aca="false">X56*Y56</f>
        <v>0.926133333333333</v>
      </c>
    </row>
    <row r="57" customFormat="false" ht="15" hidden="false" customHeight="false" outlineLevel="0" collapsed="false">
      <c r="R57" s="1" t="s">
        <v>292</v>
      </c>
      <c r="V57" s="57" t="s">
        <v>290</v>
      </c>
      <c r="W57" s="58" t="n">
        <v>1</v>
      </c>
      <c r="X57" s="59" t="n">
        <f aca="false">W57*8/$V$53</f>
        <v>0.266666666666667</v>
      </c>
      <c r="Y57" s="1" t="n">
        <v>20.51</v>
      </c>
      <c r="Z57" s="30" t="n">
        <f aca="false">X57*Y57</f>
        <v>5.46933333333333</v>
      </c>
    </row>
    <row r="58" customFormat="false" ht="15" hidden="false" customHeight="false" outlineLevel="0" collapsed="false">
      <c r="R58" s="1" t="s">
        <v>651</v>
      </c>
      <c r="V58" s="57" t="s">
        <v>290</v>
      </c>
      <c r="W58" s="58" t="n">
        <v>1</v>
      </c>
      <c r="X58" s="59" t="n">
        <f aca="false">W58*8/$V$53</f>
        <v>0.266666666666667</v>
      </c>
      <c r="Y58" s="1" t="n">
        <v>29.94</v>
      </c>
      <c r="Z58" s="30" t="n">
        <f aca="false">X58*Y58</f>
        <v>7.984</v>
      </c>
    </row>
    <row r="59" customFormat="false" ht="15" hidden="false" customHeight="false" outlineLevel="0" collapsed="false">
      <c r="V59" s="57"/>
      <c r="W59" s="58"/>
      <c r="X59" s="59"/>
      <c r="Z59" s="55" t="n">
        <f aca="false">SUM(Z56:Z58)</f>
        <v>14.3794666666667</v>
      </c>
    </row>
    <row r="60" customFormat="false" ht="15" hidden="false" customHeight="false" outlineLevel="0" collapsed="false">
      <c r="R60" s="56" t="s">
        <v>652</v>
      </c>
      <c r="V60" s="57"/>
      <c r="W60" s="58"/>
      <c r="X60" s="59"/>
      <c r="Z60" s="30"/>
    </row>
    <row r="61" customFormat="false" ht="15" hidden="false" customHeight="false" outlineLevel="0" collapsed="false">
      <c r="R61" s="1" t="s">
        <v>653</v>
      </c>
      <c r="V61" s="57" t="s">
        <v>202</v>
      </c>
      <c r="W61" s="58"/>
      <c r="X61" s="59" t="n">
        <v>1.05</v>
      </c>
      <c r="Y61" s="65" t="n">
        <v>44.07</v>
      </c>
      <c r="Z61" s="30" t="n">
        <f aca="false">X61*Y61</f>
        <v>46.2735</v>
      </c>
    </row>
    <row r="62" customFormat="false" ht="15" hidden="false" customHeight="false" outlineLevel="0" collapsed="false">
      <c r="R62" s="1" t="s">
        <v>654</v>
      </c>
      <c r="V62" s="57" t="s">
        <v>202</v>
      </c>
      <c r="W62" s="58"/>
      <c r="X62" s="59" t="n">
        <v>0.08</v>
      </c>
      <c r="Y62" s="1" t="n">
        <v>6.14</v>
      </c>
      <c r="Z62" s="30" t="n">
        <f aca="false">X62*Y62</f>
        <v>0.4912</v>
      </c>
    </row>
    <row r="63" customFormat="false" ht="15" hidden="false" customHeight="false" outlineLevel="0" collapsed="false">
      <c r="V63" s="57"/>
      <c r="X63" s="59"/>
      <c r="Z63" s="55" t="n">
        <f aca="false">SUM(Z61:Z62)</f>
        <v>46.7647</v>
      </c>
    </row>
    <row r="64" customFormat="false" ht="15" hidden="false" customHeight="false" outlineLevel="0" collapsed="false">
      <c r="R64" s="56" t="s">
        <v>308</v>
      </c>
    </row>
    <row r="65" customFormat="false" ht="15" hidden="false" customHeight="false" outlineLevel="0" collapsed="false">
      <c r="R65" s="1" t="s">
        <v>309</v>
      </c>
      <c r="V65" s="57" t="s">
        <v>310</v>
      </c>
      <c r="X65" s="59" t="n">
        <v>3</v>
      </c>
      <c r="Y65" s="30" t="n">
        <f aca="false">Z59</f>
        <v>14.3794666666667</v>
      </c>
      <c r="Z65" s="30" t="n">
        <f aca="false">X65%*Y65</f>
        <v>0.431384</v>
      </c>
    </row>
    <row r="66" customFormat="false" ht="15" hidden="false" customHeight="false" outlineLevel="0" collapsed="false">
      <c r="R66" s="1" t="s">
        <v>655</v>
      </c>
      <c r="V66" s="57" t="s">
        <v>337</v>
      </c>
      <c r="W66" s="58" t="n">
        <v>1</v>
      </c>
      <c r="X66" s="59" t="n">
        <f aca="false">W66*8/$V$53</f>
        <v>0.266666666666667</v>
      </c>
      <c r="Y66" s="1" t="n">
        <v>17.47</v>
      </c>
      <c r="Z66" s="30" t="n">
        <f aca="false">X66*Y66</f>
        <v>4.65866666666667</v>
      </c>
    </row>
    <row r="67" customFormat="false" ht="15" hidden="false" customHeight="false" outlineLevel="0" collapsed="false">
      <c r="Q67" s="62"/>
      <c r="R67" s="62"/>
      <c r="S67" s="62"/>
      <c r="T67" s="62"/>
      <c r="U67" s="62"/>
      <c r="V67" s="62"/>
      <c r="W67" s="62"/>
      <c r="X67" s="62"/>
      <c r="Y67" s="83"/>
      <c r="Z67" s="63" t="n">
        <f aca="false">SUM(Z65:Z66)</f>
        <v>5.09005066666667</v>
      </c>
    </row>
    <row r="69" customFormat="false" ht="15" hidden="false" customHeight="false" outlineLevel="0" collapsed="false">
      <c r="Q69" s="14" t="s">
        <v>276</v>
      </c>
      <c r="R69" s="14"/>
      <c r="S69" s="14" t="s">
        <v>463</v>
      </c>
      <c r="T69" s="14"/>
    </row>
    <row r="70" customFormat="false" ht="15" hidden="false" customHeight="false" outlineLevel="0" collapsed="false">
      <c r="Q70" s="14" t="s">
        <v>277</v>
      </c>
      <c r="R70" s="14" t="s">
        <v>415</v>
      </c>
      <c r="S70" s="38" t="s">
        <v>279</v>
      </c>
      <c r="T70" s="54" t="n">
        <v>40</v>
      </c>
      <c r="U70" s="38" t="s">
        <v>280</v>
      </c>
      <c r="V70" s="54" t="n">
        <f aca="false">T70</f>
        <v>40</v>
      </c>
      <c r="W70" s="14" t="s">
        <v>281</v>
      </c>
      <c r="Y70" s="38" t="s">
        <v>202</v>
      </c>
      <c r="Z70" s="55" t="n">
        <f aca="false">Z76+Z84</f>
        <v>19.29963</v>
      </c>
    </row>
    <row r="71" customFormat="false" ht="15" hidden="false" customHeight="false" outlineLevel="0" collapsed="false">
      <c r="Q71" s="14" t="s">
        <v>282</v>
      </c>
      <c r="R71" s="14" t="s">
        <v>283</v>
      </c>
      <c r="V71" s="38" t="s">
        <v>121</v>
      </c>
      <c r="W71" s="38" t="s">
        <v>284</v>
      </c>
      <c r="X71" s="38" t="s">
        <v>285</v>
      </c>
      <c r="Y71" s="38" t="s">
        <v>286</v>
      </c>
      <c r="Z71" s="38" t="s">
        <v>287</v>
      </c>
    </row>
    <row r="72" customFormat="false" ht="15" hidden="false" customHeight="false" outlineLevel="0" collapsed="false">
      <c r="R72" s="56" t="s">
        <v>288</v>
      </c>
    </row>
    <row r="73" customFormat="false" ht="15" hidden="false" customHeight="false" outlineLevel="0" collapsed="false">
      <c r="R73" s="1" t="s">
        <v>649</v>
      </c>
      <c r="V73" s="57" t="s">
        <v>290</v>
      </c>
      <c r="W73" s="58" t="n">
        <v>0.1</v>
      </c>
      <c r="X73" s="59" t="n">
        <f aca="false">W73*8/$V$70</f>
        <v>0.02</v>
      </c>
      <c r="Y73" s="1" t="n">
        <v>34.73</v>
      </c>
      <c r="Z73" s="30" t="n">
        <f aca="false">X73*Y73</f>
        <v>0.6946</v>
      </c>
    </row>
    <row r="74" customFormat="false" ht="15" hidden="false" customHeight="false" outlineLevel="0" collapsed="false">
      <c r="R74" s="1" t="s">
        <v>292</v>
      </c>
      <c r="V74" s="57" t="s">
        <v>290</v>
      </c>
      <c r="W74" s="58" t="n">
        <v>2</v>
      </c>
      <c r="X74" s="59" t="n">
        <f aca="false">W74*8/$V$70</f>
        <v>0.4</v>
      </c>
      <c r="Y74" s="1" t="n">
        <v>20.51</v>
      </c>
      <c r="Z74" s="30" t="n">
        <f aca="false">X74*Y74</f>
        <v>8.204</v>
      </c>
    </row>
    <row r="75" customFormat="false" ht="15" hidden="false" customHeight="false" outlineLevel="0" collapsed="false">
      <c r="R75" s="1" t="s">
        <v>651</v>
      </c>
      <c r="V75" s="57" t="s">
        <v>290</v>
      </c>
      <c r="W75" s="58" t="n">
        <v>1</v>
      </c>
      <c r="X75" s="59" t="n">
        <f aca="false">W75*8/$V$70</f>
        <v>0.2</v>
      </c>
      <c r="Y75" s="1" t="n">
        <v>29.94</v>
      </c>
      <c r="Z75" s="30" t="n">
        <f aca="false">X75*Y75</f>
        <v>5.988</v>
      </c>
    </row>
    <row r="76" customFormat="false" ht="15" hidden="false" customHeight="false" outlineLevel="0" collapsed="false">
      <c r="Z76" s="55" t="n">
        <f aca="false">SUM(Z73:Z75)</f>
        <v>14.8866</v>
      </c>
    </row>
    <row r="77" customFormat="false" ht="15" hidden="false" customHeight="false" outlineLevel="0" collapsed="false">
      <c r="R77" s="56" t="s">
        <v>652</v>
      </c>
      <c r="V77" s="57"/>
      <c r="W77" s="58"/>
      <c r="X77" s="59"/>
      <c r="Z77" s="30"/>
    </row>
    <row r="78" customFormat="false" ht="15" hidden="false" customHeight="false" outlineLevel="0" collapsed="false">
      <c r="R78" s="1" t="s">
        <v>654</v>
      </c>
      <c r="V78" s="57" t="s">
        <v>202</v>
      </c>
      <c r="W78" s="58"/>
      <c r="X78" s="59" t="n">
        <v>0.08</v>
      </c>
      <c r="Y78" s="1" t="n">
        <v>6.14</v>
      </c>
      <c r="Z78" s="30" t="n">
        <f aca="false">X78*Y78</f>
        <v>0.4912</v>
      </c>
    </row>
    <row r="79" customFormat="false" ht="15" hidden="false" customHeight="false" outlineLevel="0" collapsed="false">
      <c r="V79" s="57"/>
      <c r="X79" s="59"/>
      <c r="Z79" s="55" t="n">
        <f aca="false">SUM(Z78:Z78)</f>
        <v>0.4912</v>
      </c>
    </row>
    <row r="80" customFormat="false" ht="15" hidden="false" customHeight="false" outlineLevel="0" collapsed="false">
      <c r="R80" s="56" t="s">
        <v>308</v>
      </c>
    </row>
    <row r="81" customFormat="false" ht="15" hidden="false" customHeight="false" outlineLevel="0" collapsed="false">
      <c r="R81" s="1" t="s">
        <v>309</v>
      </c>
      <c r="V81" s="57" t="s">
        <v>310</v>
      </c>
      <c r="X81" s="59" t="n">
        <v>5</v>
      </c>
      <c r="Y81" s="30" t="n">
        <f aca="false">Z76</f>
        <v>14.8866</v>
      </c>
      <c r="Z81" s="30" t="n">
        <f aca="false">X81%*Y81</f>
        <v>0.74433</v>
      </c>
    </row>
    <row r="82" customFormat="false" ht="15" hidden="false" customHeight="false" outlineLevel="0" collapsed="false">
      <c r="R82" s="1" t="s">
        <v>655</v>
      </c>
      <c r="V82" s="57" t="s">
        <v>337</v>
      </c>
      <c r="W82" s="58" t="n">
        <v>1</v>
      </c>
      <c r="X82" s="59" t="n">
        <f aca="false">W82*8/$V$70</f>
        <v>0.2</v>
      </c>
      <c r="Y82" s="1" t="n">
        <v>17.47</v>
      </c>
      <c r="Z82" s="30" t="n">
        <f aca="false">X82*Y82</f>
        <v>3.494</v>
      </c>
    </row>
    <row r="83" customFormat="false" ht="15" hidden="false" customHeight="false" outlineLevel="0" collapsed="false">
      <c r="R83" s="1" t="s">
        <v>656</v>
      </c>
      <c r="V83" s="57" t="s">
        <v>337</v>
      </c>
      <c r="W83" s="58" t="n">
        <v>0.05</v>
      </c>
      <c r="X83" s="59" t="n">
        <f aca="false">W83*8/$V$70</f>
        <v>0.01</v>
      </c>
      <c r="Y83" s="1" t="n">
        <v>17.47</v>
      </c>
      <c r="Z83" s="30" t="n">
        <f aca="false">X83*Y83</f>
        <v>0.1747</v>
      </c>
    </row>
    <row r="84" customFormat="false" ht="15" hidden="false" customHeight="false" outlineLevel="0" collapsed="false">
      <c r="Q84" s="62"/>
      <c r="R84" s="62"/>
      <c r="S84" s="62"/>
      <c r="T84" s="62"/>
      <c r="U84" s="62"/>
      <c r="V84" s="62"/>
      <c r="W84" s="62"/>
      <c r="X84" s="62"/>
      <c r="Y84" s="83"/>
      <c r="Z84" s="63" t="n">
        <f aca="false">SUM(Z81:Z83)</f>
        <v>4.41303</v>
      </c>
    </row>
    <row r="86" customFormat="false" ht="15" hidden="false" customHeight="false" outlineLevel="0" collapsed="false">
      <c r="Q86" s="14" t="s">
        <v>276</v>
      </c>
      <c r="R86" s="14"/>
      <c r="S86" s="14" t="s">
        <v>1348</v>
      </c>
      <c r="T86" s="14"/>
    </row>
    <row r="87" customFormat="false" ht="15" hidden="false" customHeight="false" outlineLevel="0" collapsed="false">
      <c r="Q87" s="14" t="s">
        <v>277</v>
      </c>
      <c r="R87" s="14" t="s">
        <v>278</v>
      </c>
      <c r="S87" s="38" t="s">
        <v>279</v>
      </c>
      <c r="T87" s="54" t="n">
        <v>500</v>
      </c>
      <c r="U87" s="38" t="s">
        <v>280</v>
      </c>
      <c r="V87" s="54" t="n">
        <f aca="false">T87</f>
        <v>500</v>
      </c>
      <c r="W87" s="14" t="s">
        <v>281</v>
      </c>
      <c r="Y87" s="38" t="s">
        <v>132</v>
      </c>
      <c r="Z87" s="55" t="n">
        <f aca="false">Z93+Z99</f>
        <v>7.930344</v>
      </c>
    </row>
    <row r="88" customFormat="false" ht="15" hidden="false" customHeight="false" outlineLevel="0" collapsed="false">
      <c r="Q88" s="14" t="s">
        <v>282</v>
      </c>
      <c r="R88" s="14" t="s">
        <v>283</v>
      </c>
      <c r="V88" s="38" t="s">
        <v>121</v>
      </c>
      <c r="W88" s="38" t="s">
        <v>284</v>
      </c>
      <c r="X88" s="38" t="s">
        <v>285</v>
      </c>
      <c r="Y88" s="38" t="s">
        <v>286</v>
      </c>
      <c r="Z88" s="38" t="s">
        <v>287</v>
      </c>
    </row>
    <row r="89" customFormat="false" ht="15" hidden="false" customHeight="false" outlineLevel="0" collapsed="false">
      <c r="R89" s="56" t="s">
        <v>288</v>
      </c>
    </row>
    <row r="90" customFormat="false" ht="15" hidden="false" customHeight="false" outlineLevel="0" collapsed="false">
      <c r="R90" s="1" t="s">
        <v>649</v>
      </c>
      <c r="V90" s="57" t="s">
        <v>290</v>
      </c>
      <c r="W90" s="58" t="n">
        <v>1</v>
      </c>
      <c r="X90" s="59" t="n">
        <f aca="false">W90*8/$T$87</f>
        <v>0.016</v>
      </c>
      <c r="Y90" s="1" t="n">
        <v>34.73</v>
      </c>
      <c r="Z90" s="30" t="n">
        <f aca="false">X90*Y90</f>
        <v>0.55568</v>
      </c>
    </row>
    <row r="91" customFormat="false" ht="15" hidden="false" customHeight="false" outlineLevel="0" collapsed="false">
      <c r="R91" s="1" t="s">
        <v>291</v>
      </c>
      <c r="V91" s="57" t="s">
        <v>290</v>
      </c>
      <c r="W91" s="58" t="n">
        <v>1</v>
      </c>
      <c r="X91" s="59" t="n">
        <f aca="false">W91*8/$T$87</f>
        <v>0.016</v>
      </c>
      <c r="Y91" s="1" t="n">
        <v>23.6</v>
      </c>
      <c r="Z91" s="30" t="n">
        <f aca="false">X91*Y91</f>
        <v>0.3776</v>
      </c>
    </row>
    <row r="92" customFormat="false" ht="15" hidden="false" customHeight="false" outlineLevel="0" collapsed="false">
      <c r="R92" s="1" t="s">
        <v>292</v>
      </c>
      <c r="V92" s="57" t="s">
        <v>290</v>
      </c>
      <c r="W92" s="58" t="n">
        <v>3</v>
      </c>
      <c r="X92" s="59" t="n">
        <f aca="false">W92*8/$T$87</f>
        <v>0.048</v>
      </c>
      <c r="Y92" s="1" t="n">
        <v>20.51</v>
      </c>
      <c r="Z92" s="30" t="n">
        <f aca="false">X92*Y92</f>
        <v>0.98448</v>
      </c>
    </row>
    <row r="93" customFormat="false" ht="15" hidden="false" customHeight="false" outlineLevel="0" collapsed="false">
      <c r="Z93" s="55" t="n">
        <f aca="false">SUM(Z90:Z92)</f>
        <v>1.91776</v>
      </c>
    </row>
    <row r="94" customFormat="false" ht="15" hidden="false" customHeight="false" outlineLevel="0" collapsed="false">
      <c r="R94" s="56" t="s">
        <v>308</v>
      </c>
    </row>
    <row r="95" customFormat="false" ht="15" hidden="false" customHeight="false" outlineLevel="0" collapsed="false">
      <c r="R95" s="1" t="s">
        <v>309</v>
      </c>
      <c r="V95" s="57" t="s">
        <v>310</v>
      </c>
      <c r="X95" s="59" t="n">
        <v>5</v>
      </c>
      <c r="Y95" s="30" t="n">
        <f aca="false">Z90</f>
        <v>0.55568</v>
      </c>
      <c r="Z95" s="30" t="n">
        <f aca="false">X95%*Y95</f>
        <v>0.027784</v>
      </c>
    </row>
    <row r="96" customFormat="false" ht="15" hidden="false" customHeight="true" outlineLevel="0" collapsed="false">
      <c r="R96" s="1" t="s">
        <v>655</v>
      </c>
      <c r="V96" s="57" t="s">
        <v>337</v>
      </c>
      <c r="W96" s="58" t="n">
        <v>1</v>
      </c>
      <c r="X96" s="59" t="n">
        <f aca="false">W96*8/$T$87</f>
        <v>0.016</v>
      </c>
      <c r="Y96" s="1" t="n">
        <v>17.47</v>
      </c>
      <c r="Z96" s="30" t="n">
        <f aca="false">X96*Y96</f>
        <v>0.27952</v>
      </c>
    </row>
    <row r="97" customFormat="false" ht="15" hidden="false" customHeight="true" outlineLevel="0" collapsed="false">
      <c r="R97" s="1" t="s">
        <v>657</v>
      </c>
      <c r="V97" s="57" t="s">
        <v>337</v>
      </c>
      <c r="W97" s="58" t="n">
        <v>1</v>
      </c>
      <c r="X97" s="59" t="n">
        <f aca="false">W97*8/$T$87</f>
        <v>0.016</v>
      </c>
      <c r="Y97" s="1" t="n">
        <v>136.06</v>
      </c>
      <c r="Z97" s="30" t="n">
        <f aca="false">X97*Y97</f>
        <v>2.17696</v>
      </c>
    </row>
    <row r="98" customFormat="false" ht="15" hidden="false" customHeight="true" outlineLevel="0" collapsed="false">
      <c r="R98" s="232" t="s">
        <v>658</v>
      </c>
      <c r="S98" s="232"/>
      <c r="T98" s="232"/>
      <c r="U98" s="232"/>
      <c r="V98" s="57" t="s">
        <v>337</v>
      </c>
      <c r="W98" s="58" t="n">
        <v>1</v>
      </c>
      <c r="X98" s="59" t="n">
        <f aca="false">W98*8/$T$87</f>
        <v>0.016</v>
      </c>
      <c r="Y98" s="1" t="n">
        <v>220.52</v>
      </c>
      <c r="Z98" s="30" t="n">
        <f aca="false">X98*Y98</f>
        <v>3.52832</v>
      </c>
    </row>
    <row r="99" customFormat="false" ht="15" hidden="false" customHeight="false" outlineLevel="0" collapsed="false">
      <c r="Q99" s="62"/>
      <c r="R99" s="62"/>
      <c r="S99" s="62"/>
      <c r="T99" s="62"/>
      <c r="U99" s="62"/>
      <c r="V99" s="62"/>
      <c r="W99" s="62"/>
      <c r="X99" s="62"/>
      <c r="Y99" s="83"/>
      <c r="Z99" s="63" t="n">
        <f aca="false">SUM(Z95:Z98)</f>
        <v>6.012584</v>
      </c>
    </row>
    <row r="101" customFormat="false" ht="15" hidden="false" customHeight="false" outlineLevel="0" collapsed="false">
      <c r="Q101" s="14" t="s">
        <v>276</v>
      </c>
      <c r="R101" s="14"/>
      <c r="S101" s="14" t="s">
        <v>467</v>
      </c>
      <c r="T101" s="14"/>
    </row>
    <row r="102" customFormat="false" ht="15" hidden="false" customHeight="false" outlineLevel="0" collapsed="false">
      <c r="Q102" s="14" t="s">
        <v>277</v>
      </c>
      <c r="R102" s="14" t="s">
        <v>313</v>
      </c>
      <c r="S102" s="38" t="s">
        <v>279</v>
      </c>
      <c r="T102" s="54" t="n">
        <v>80</v>
      </c>
      <c r="U102" s="38" t="s">
        <v>280</v>
      </c>
      <c r="V102" s="54" t="n">
        <f aca="false">T102</f>
        <v>80</v>
      </c>
      <c r="W102" s="14" t="s">
        <v>281</v>
      </c>
      <c r="Y102" s="38" t="s">
        <v>143</v>
      </c>
      <c r="Z102" s="55" t="n">
        <f aca="false">Z106+Z110</f>
        <v>12.11253</v>
      </c>
    </row>
    <row r="103" customFormat="false" ht="15" hidden="false" customHeight="false" outlineLevel="0" collapsed="false">
      <c r="Q103" s="14" t="s">
        <v>282</v>
      </c>
      <c r="R103" s="14" t="s">
        <v>283</v>
      </c>
      <c r="V103" s="38" t="s">
        <v>121</v>
      </c>
      <c r="W103" s="38" t="s">
        <v>284</v>
      </c>
      <c r="X103" s="38" t="s">
        <v>285</v>
      </c>
      <c r="Y103" s="38" t="s">
        <v>286</v>
      </c>
      <c r="Z103" s="38" t="s">
        <v>287</v>
      </c>
    </row>
    <row r="104" customFormat="false" ht="15" hidden="false" customHeight="false" outlineLevel="0" collapsed="false">
      <c r="R104" s="56" t="s">
        <v>288</v>
      </c>
    </row>
    <row r="105" customFormat="false" ht="15" hidden="false" customHeight="false" outlineLevel="0" collapsed="false">
      <c r="R105" s="1" t="s">
        <v>292</v>
      </c>
      <c r="V105" s="57" t="s">
        <v>290</v>
      </c>
      <c r="W105" s="58" t="n">
        <v>1</v>
      </c>
      <c r="X105" s="59" t="n">
        <f aca="false">W105*8/$V$102</f>
        <v>0.1</v>
      </c>
      <c r="Y105" s="1" t="n">
        <v>20.51</v>
      </c>
      <c r="Z105" s="30" t="n">
        <f aca="false">X105*Y105</f>
        <v>2.051</v>
      </c>
    </row>
    <row r="106" customFormat="false" ht="15" hidden="false" customHeight="false" outlineLevel="0" collapsed="false">
      <c r="V106" s="57"/>
      <c r="W106" s="58"/>
      <c r="X106" s="59"/>
      <c r="Z106" s="55" t="n">
        <f aca="false">SUM(Z105:Z105)</f>
        <v>2.051</v>
      </c>
    </row>
    <row r="107" customFormat="false" ht="15" hidden="false" customHeight="false" outlineLevel="0" collapsed="false">
      <c r="R107" s="56" t="s">
        <v>308</v>
      </c>
    </row>
    <row r="108" customFormat="false" ht="15" hidden="false" customHeight="false" outlineLevel="0" collapsed="false">
      <c r="R108" s="1" t="s">
        <v>309</v>
      </c>
      <c r="V108" s="57" t="s">
        <v>310</v>
      </c>
      <c r="X108" s="59" t="n">
        <v>3</v>
      </c>
      <c r="Y108" s="30" t="n">
        <f aca="false">Z106</f>
        <v>2.051</v>
      </c>
      <c r="Z108" s="30" t="n">
        <f aca="false">X108%*Y108</f>
        <v>0.06153</v>
      </c>
    </row>
    <row r="109" customFormat="false" ht="15" hidden="false" customHeight="false" outlineLevel="0" collapsed="false">
      <c r="R109" s="1" t="s">
        <v>659</v>
      </c>
      <c r="V109" s="57" t="s">
        <v>337</v>
      </c>
      <c r="W109" s="58" t="n">
        <v>1</v>
      </c>
      <c r="X109" s="59" t="n">
        <f aca="false">W109*8/$V$102</f>
        <v>0.1</v>
      </c>
      <c r="Y109" s="1" t="n">
        <v>100</v>
      </c>
      <c r="Z109" s="30" t="n">
        <f aca="false">X109*Y109</f>
        <v>10</v>
      </c>
    </row>
    <row r="110" customFormat="false" ht="15" hidden="false" customHeight="false" outlineLevel="0" collapsed="false">
      <c r="Q110" s="62"/>
      <c r="R110" s="62"/>
      <c r="S110" s="62"/>
      <c r="T110" s="62"/>
      <c r="U110" s="62"/>
      <c r="V110" s="62"/>
      <c r="W110" s="62"/>
      <c r="X110" s="62"/>
      <c r="Y110" s="83"/>
      <c r="Z110" s="63" t="n">
        <f aca="false">SUM(Z108:Z109)</f>
        <v>10.06153</v>
      </c>
    </row>
    <row r="112" customFormat="false" ht="15" hidden="false" customHeight="false" outlineLevel="0" collapsed="false">
      <c r="Q112" s="14" t="s">
        <v>276</v>
      </c>
      <c r="R112" s="14"/>
      <c r="S112" s="14" t="s">
        <v>469</v>
      </c>
      <c r="T112" s="14"/>
    </row>
    <row r="113" customFormat="false" ht="15" hidden="false" customHeight="false" outlineLevel="0" collapsed="false">
      <c r="Q113" s="14" t="s">
        <v>277</v>
      </c>
      <c r="R113" s="14" t="s">
        <v>415</v>
      </c>
      <c r="S113" s="38" t="s">
        <v>279</v>
      </c>
      <c r="T113" s="54" t="n">
        <v>187.5</v>
      </c>
      <c r="U113" s="38" t="s">
        <v>280</v>
      </c>
      <c r="V113" s="54" t="n">
        <f aca="false">T113</f>
        <v>187.5</v>
      </c>
      <c r="W113" s="14" t="s">
        <v>281</v>
      </c>
      <c r="Y113" s="38" t="s">
        <v>202</v>
      </c>
      <c r="Z113" s="55" t="n">
        <f aca="false">Z118+Z123</f>
        <v>22.9100074666667</v>
      </c>
    </row>
    <row r="114" customFormat="false" ht="15" hidden="false" customHeight="false" outlineLevel="0" collapsed="false">
      <c r="Q114" s="14" t="s">
        <v>282</v>
      </c>
      <c r="R114" s="14" t="s">
        <v>283</v>
      </c>
      <c r="V114" s="38" t="s">
        <v>121</v>
      </c>
      <c r="W114" s="38" t="s">
        <v>284</v>
      </c>
      <c r="X114" s="38" t="s">
        <v>285</v>
      </c>
      <c r="Y114" s="38" t="s">
        <v>286</v>
      </c>
      <c r="Z114" s="38" t="s">
        <v>287</v>
      </c>
    </row>
    <row r="115" customFormat="false" ht="15" hidden="false" customHeight="false" outlineLevel="0" collapsed="false">
      <c r="R115" s="56" t="s">
        <v>288</v>
      </c>
    </row>
    <row r="116" customFormat="false" ht="15" hidden="false" customHeight="false" outlineLevel="0" collapsed="false">
      <c r="R116" s="1" t="s">
        <v>291</v>
      </c>
      <c r="V116" s="57" t="s">
        <v>290</v>
      </c>
      <c r="W116" s="58" t="n">
        <v>1</v>
      </c>
      <c r="X116" s="59" t="n">
        <f aca="false">W116*8/$V$113</f>
        <v>0.0426666666666667</v>
      </c>
      <c r="Y116" s="1" t="n">
        <v>23.6</v>
      </c>
      <c r="Z116" s="30" t="n">
        <f aca="false">X116*Y116</f>
        <v>1.00693333333333</v>
      </c>
    </row>
    <row r="117" customFormat="false" ht="15" hidden="false" customHeight="false" outlineLevel="0" collapsed="false">
      <c r="R117" s="1" t="s">
        <v>292</v>
      </c>
      <c r="V117" s="57" t="s">
        <v>290</v>
      </c>
      <c r="W117" s="58" t="n">
        <v>1</v>
      </c>
      <c r="X117" s="59" t="n">
        <f aca="false">W117*8/$V$113</f>
        <v>0.0426666666666667</v>
      </c>
      <c r="Y117" s="1" t="n">
        <v>20.51</v>
      </c>
      <c r="Z117" s="30" t="n">
        <f aca="false">X117*Y117</f>
        <v>0.875093333333333</v>
      </c>
    </row>
    <row r="118" customFormat="false" ht="15" hidden="false" customHeight="false" outlineLevel="0" collapsed="false">
      <c r="V118" s="57"/>
      <c r="W118" s="58"/>
      <c r="X118" s="59"/>
      <c r="Z118" s="55" t="n">
        <f aca="false">SUM(Z116:Z117)</f>
        <v>1.88202666666667</v>
      </c>
    </row>
    <row r="119" customFormat="false" ht="15" hidden="false" customHeight="false" outlineLevel="0" collapsed="false">
      <c r="R119" s="56" t="s">
        <v>308</v>
      </c>
    </row>
    <row r="120" customFormat="false" ht="15" hidden="false" customHeight="false" outlineLevel="0" collapsed="false">
      <c r="R120" s="1" t="s">
        <v>309</v>
      </c>
      <c r="V120" s="57" t="s">
        <v>310</v>
      </c>
      <c r="X120" s="59" t="n">
        <v>3</v>
      </c>
      <c r="Y120" s="30" t="n">
        <f aca="false">Z118</f>
        <v>1.88202666666667</v>
      </c>
      <c r="Z120" s="30" t="n">
        <f aca="false">X120%*Y120</f>
        <v>0.0564608</v>
      </c>
    </row>
    <row r="121" customFormat="false" ht="15" hidden="false" customHeight="false" outlineLevel="0" collapsed="false">
      <c r="R121" s="1" t="s">
        <v>660</v>
      </c>
      <c r="V121" s="57" t="s">
        <v>337</v>
      </c>
      <c r="W121" s="58" t="n">
        <v>1</v>
      </c>
      <c r="X121" s="59" t="n">
        <f aca="false">W121*8/$V$113</f>
        <v>0.0426666666666667</v>
      </c>
      <c r="Y121" s="65" t="n">
        <v>118.64</v>
      </c>
      <c r="Z121" s="30" t="n">
        <f aca="false">X121*Y121</f>
        <v>5.06197333333333</v>
      </c>
    </row>
    <row r="122" customFormat="false" ht="15" hidden="false" customHeight="false" outlineLevel="0" collapsed="false">
      <c r="R122" s="1" t="s">
        <v>661</v>
      </c>
      <c r="V122" s="57" t="s">
        <v>337</v>
      </c>
      <c r="W122" s="58" t="n">
        <v>2</v>
      </c>
      <c r="X122" s="59" t="n">
        <f aca="false">W122*8/$V$113</f>
        <v>0.0853333333333333</v>
      </c>
      <c r="Y122" s="65" t="n">
        <v>186.44</v>
      </c>
      <c r="Z122" s="30" t="n">
        <f aca="false">X122*Y122</f>
        <v>15.9095466666667</v>
      </c>
    </row>
    <row r="123" customFormat="false" ht="15" hidden="false" customHeight="false" outlineLevel="0" collapsed="false">
      <c r="Q123" s="62"/>
      <c r="R123" s="62"/>
      <c r="S123" s="62"/>
      <c r="T123" s="62"/>
      <c r="U123" s="62"/>
      <c r="V123" s="62"/>
      <c r="W123" s="62"/>
      <c r="X123" s="62"/>
      <c r="Y123" s="83"/>
      <c r="Z123" s="63" t="n">
        <f aca="false">SUM(Z120:Z122)</f>
        <v>21.0279808</v>
      </c>
    </row>
    <row r="125" customFormat="false" ht="15" hidden="false" customHeight="false" outlineLevel="0" collapsed="false">
      <c r="Q125" s="85" t="s">
        <v>276</v>
      </c>
      <c r="R125" s="85"/>
      <c r="S125" s="85" t="s">
        <v>482</v>
      </c>
      <c r="T125" s="85"/>
    </row>
    <row r="126" customFormat="false" ht="15" hidden="false" customHeight="false" outlineLevel="0" collapsed="false">
      <c r="Q126" s="85" t="s">
        <v>277</v>
      </c>
      <c r="R126" s="85" t="s">
        <v>278</v>
      </c>
      <c r="S126" s="87" t="s">
        <v>279</v>
      </c>
      <c r="T126" s="88" t="n">
        <v>50</v>
      </c>
      <c r="U126" s="87" t="s">
        <v>280</v>
      </c>
      <c r="V126" s="88" t="n">
        <f aca="false">T126</f>
        <v>50</v>
      </c>
      <c r="W126" s="85" t="s">
        <v>281</v>
      </c>
      <c r="Y126" s="87" t="s">
        <v>132</v>
      </c>
      <c r="Z126" s="89" t="n">
        <f aca="false">Z134+Z141+Z145</f>
        <v>238.3435744</v>
      </c>
    </row>
    <row r="127" customFormat="false" ht="15" hidden="false" customHeight="false" outlineLevel="0" collapsed="false">
      <c r="Q127" s="85" t="s">
        <v>282</v>
      </c>
      <c r="R127" s="85" t="s">
        <v>283</v>
      </c>
      <c r="V127" s="87" t="s">
        <v>121</v>
      </c>
      <c r="W127" s="87" t="s">
        <v>284</v>
      </c>
      <c r="X127" s="87" t="s">
        <v>285</v>
      </c>
      <c r="Y127" s="87" t="s">
        <v>286</v>
      </c>
      <c r="Z127" s="87" t="s">
        <v>287</v>
      </c>
    </row>
    <row r="128" customFormat="false" ht="15" hidden="false" customHeight="false" outlineLevel="0" collapsed="false">
      <c r="R128" s="90" t="s">
        <v>288</v>
      </c>
    </row>
    <row r="129" customFormat="false" ht="15" hidden="false" customHeight="false" outlineLevel="0" collapsed="false">
      <c r="R129" s="1" t="s">
        <v>649</v>
      </c>
      <c r="V129" s="57" t="s">
        <v>290</v>
      </c>
      <c r="W129" s="58" t="n">
        <v>0.1</v>
      </c>
      <c r="X129" s="59" t="n">
        <f aca="false">W129*8/$T$126</f>
        <v>0.016</v>
      </c>
      <c r="Y129" s="1" t="n">
        <v>34.73</v>
      </c>
      <c r="Z129" s="30" t="n">
        <f aca="false">X129*Y129</f>
        <v>0.55568</v>
      </c>
    </row>
    <row r="130" customFormat="false" ht="15" hidden="false" customHeight="false" outlineLevel="0" collapsed="false">
      <c r="R130" s="1" t="s">
        <v>289</v>
      </c>
      <c r="V130" s="57" t="s">
        <v>290</v>
      </c>
      <c r="W130" s="58" t="n">
        <v>1</v>
      </c>
      <c r="X130" s="59" t="n">
        <f aca="false">W130*8/$T$126</f>
        <v>0.16</v>
      </c>
      <c r="Y130" s="30" t="n">
        <v>28.94</v>
      </c>
      <c r="Z130" s="30" t="n">
        <f aca="false">X130*Y130</f>
        <v>4.6304</v>
      </c>
    </row>
    <row r="131" customFormat="false" ht="15" hidden="false" customHeight="false" outlineLevel="0" collapsed="false">
      <c r="R131" s="1" t="s">
        <v>291</v>
      </c>
      <c r="V131" s="57" t="s">
        <v>290</v>
      </c>
      <c r="W131" s="58" t="n">
        <v>2</v>
      </c>
      <c r="X131" s="59" t="n">
        <f aca="false">W131*8/$T$126</f>
        <v>0.32</v>
      </c>
      <c r="Y131" s="30" t="n">
        <v>23.6</v>
      </c>
      <c r="Z131" s="30" t="n">
        <f aca="false">X131*Y131</f>
        <v>7.552</v>
      </c>
    </row>
    <row r="132" customFormat="false" ht="15" hidden="false" customHeight="false" outlineLevel="0" collapsed="false">
      <c r="R132" s="1" t="s">
        <v>292</v>
      </c>
      <c r="V132" s="57" t="s">
        <v>290</v>
      </c>
      <c r="W132" s="58" t="n">
        <v>5</v>
      </c>
      <c r="X132" s="59" t="n">
        <f aca="false">W132*8/$T$126</f>
        <v>0.8</v>
      </c>
      <c r="Y132" s="30" t="n">
        <v>21.36</v>
      </c>
      <c r="Z132" s="30" t="n">
        <f aca="false">X132*Y132</f>
        <v>17.088</v>
      </c>
    </row>
    <row r="133" customFormat="false" ht="15" hidden="false" customHeight="false" outlineLevel="0" collapsed="false">
      <c r="R133" s="1" t="s">
        <v>651</v>
      </c>
      <c r="V133" s="57" t="s">
        <v>290</v>
      </c>
      <c r="W133" s="58" t="n">
        <v>1</v>
      </c>
      <c r="X133" s="59" t="n">
        <f aca="false">W133*8/$T$126</f>
        <v>0.16</v>
      </c>
      <c r="Y133" s="1" t="n">
        <v>29.94</v>
      </c>
      <c r="Z133" s="30" t="n">
        <f aca="false">X133*Y133</f>
        <v>4.7904</v>
      </c>
    </row>
    <row r="134" customFormat="false" ht="15" hidden="false" customHeight="false" outlineLevel="0" collapsed="false">
      <c r="V134" s="57"/>
      <c r="W134" s="58"/>
      <c r="X134" s="59"/>
      <c r="Z134" s="89" t="n">
        <f aca="false">SUM(Z129:Z133)</f>
        <v>34.61648</v>
      </c>
    </row>
    <row r="135" customFormat="false" ht="15" hidden="false" customHeight="false" outlineLevel="0" collapsed="false">
      <c r="R135" s="90" t="s">
        <v>652</v>
      </c>
      <c r="V135" s="57"/>
      <c r="W135" s="58"/>
      <c r="X135" s="59"/>
      <c r="Z135" s="30"/>
    </row>
    <row r="136" customFormat="false" ht="15" hidden="false" customHeight="false" outlineLevel="0" collapsed="false">
      <c r="R136" s="1" t="s">
        <v>305</v>
      </c>
      <c r="V136" s="57" t="s">
        <v>306</v>
      </c>
      <c r="X136" s="59" t="n">
        <v>3.8</v>
      </c>
      <c r="Y136" s="30" t="n">
        <v>24.52</v>
      </c>
      <c r="Z136" s="30" t="n">
        <f aca="false">X136*Y136</f>
        <v>93.176</v>
      </c>
    </row>
    <row r="137" customFormat="false" ht="15" hidden="false" customHeight="false" outlineLevel="0" collapsed="false">
      <c r="R137" s="1" t="s">
        <v>654</v>
      </c>
      <c r="V137" s="57" t="s">
        <v>202</v>
      </c>
      <c r="X137" s="59" t="n">
        <v>0.08</v>
      </c>
      <c r="Y137" s="1" t="n">
        <v>6.14</v>
      </c>
      <c r="Z137" s="30" t="n">
        <f aca="false">X137*Y137</f>
        <v>0.4912</v>
      </c>
    </row>
    <row r="138" customFormat="false" ht="15" hidden="false" customHeight="false" outlineLevel="0" collapsed="false">
      <c r="R138" s="1" t="s">
        <v>663</v>
      </c>
      <c r="V138" s="57" t="s">
        <v>437</v>
      </c>
      <c r="X138" s="59" t="n">
        <v>0.5</v>
      </c>
      <c r="Y138" s="1" t="n">
        <v>13.93</v>
      </c>
      <c r="Z138" s="30" t="n">
        <f aca="false">X138*Y138</f>
        <v>6.965</v>
      </c>
    </row>
    <row r="139" customFormat="false" ht="15" hidden="false" customHeight="false" outlineLevel="0" collapsed="false">
      <c r="R139" s="1" t="s">
        <v>311</v>
      </c>
      <c r="V139" s="57" t="s">
        <v>202</v>
      </c>
      <c r="X139" s="59" t="n">
        <v>0.93</v>
      </c>
      <c r="Y139" s="71" t="n">
        <v>70.92</v>
      </c>
      <c r="Z139" s="30" t="n">
        <f aca="false">X139*Y139</f>
        <v>65.9556</v>
      </c>
    </row>
    <row r="140" customFormat="false" ht="15" hidden="false" customHeight="false" outlineLevel="0" collapsed="false">
      <c r="R140" s="1" t="s">
        <v>664</v>
      </c>
      <c r="V140" s="57" t="s">
        <v>202</v>
      </c>
      <c r="X140" s="59" t="n">
        <v>0.4</v>
      </c>
      <c r="Y140" s="71" t="n">
        <v>80</v>
      </c>
      <c r="Z140" s="30" t="n">
        <f aca="false">X140*Y140</f>
        <v>32</v>
      </c>
    </row>
    <row r="141" customFormat="false" ht="15" hidden="false" customHeight="false" outlineLevel="0" collapsed="false">
      <c r="V141" s="57"/>
      <c r="X141" s="59"/>
      <c r="Y141" s="30"/>
      <c r="Z141" s="89" t="n">
        <f aca="false">SUM(Z136:Z140)</f>
        <v>198.5878</v>
      </c>
    </row>
    <row r="142" customFormat="false" ht="15" hidden="false" customHeight="false" outlineLevel="0" collapsed="false">
      <c r="R142" s="90" t="s">
        <v>308</v>
      </c>
    </row>
    <row r="143" customFormat="false" ht="15" hidden="false" customHeight="false" outlineLevel="0" collapsed="false">
      <c r="R143" s="1" t="s">
        <v>309</v>
      </c>
      <c r="V143" s="57" t="s">
        <v>310</v>
      </c>
      <c r="X143" s="59" t="n">
        <v>3</v>
      </c>
      <c r="Y143" s="30" t="n">
        <f aca="false">Z134</f>
        <v>34.61648</v>
      </c>
      <c r="Z143" s="30" t="n">
        <f aca="false">X143%*Y143</f>
        <v>1.0384944</v>
      </c>
    </row>
    <row r="144" customFormat="false" ht="15" hidden="false" customHeight="false" outlineLevel="0" collapsed="false">
      <c r="R144" s="1" t="s">
        <v>665</v>
      </c>
      <c r="V144" s="57" t="s">
        <v>337</v>
      </c>
      <c r="W144" s="58" t="n">
        <v>1</v>
      </c>
      <c r="X144" s="59" t="n">
        <f aca="false">W144*8/$T$126</f>
        <v>0.16</v>
      </c>
      <c r="Y144" s="30" t="n">
        <v>25.63</v>
      </c>
      <c r="Z144" s="30" t="n">
        <f aca="false">X144*Y144</f>
        <v>4.1008</v>
      </c>
    </row>
    <row r="145" customFormat="false" ht="15" hidden="false" customHeight="false" outlineLevel="0" collapsed="false">
      <c r="Q145" s="62"/>
      <c r="R145" s="62"/>
      <c r="S145" s="62"/>
      <c r="T145" s="62"/>
      <c r="U145" s="62"/>
      <c r="V145" s="62"/>
      <c r="W145" s="62"/>
      <c r="X145" s="62"/>
      <c r="Y145" s="62"/>
      <c r="Z145" s="91" t="n">
        <f aca="false">SUM(Z143:Z144)</f>
        <v>5.1392944</v>
      </c>
    </row>
    <row r="151" customFormat="false" ht="15" hidden="false" customHeight="false" outlineLevel="0" collapsed="false">
      <c r="Q151" s="85" t="s">
        <v>276</v>
      </c>
      <c r="R151" s="85"/>
      <c r="S151" s="85" t="s">
        <v>666</v>
      </c>
      <c r="T151" s="85"/>
    </row>
    <row r="152" customFormat="false" ht="15" hidden="false" customHeight="false" outlineLevel="0" collapsed="false">
      <c r="Q152" s="85" t="s">
        <v>277</v>
      </c>
      <c r="R152" s="85" t="s">
        <v>278</v>
      </c>
      <c r="S152" s="87" t="s">
        <v>279</v>
      </c>
      <c r="T152" s="88" t="n">
        <v>110</v>
      </c>
      <c r="U152" s="87" t="s">
        <v>280</v>
      </c>
      <c r="V152" s="88" t="n">
        <f aca="false">T152</f>
        <v>110</v>
      </c>
      <c r="W152" s="85" t="s">
        <v>281</v>
      </c>
      <c r="Y152" s="87" t="s">
        <v>132</v>
      </c>
      <c r="Z152" s="89" t="n">
        <f aca="false">Z158+Z164+Z168</f>
        <v>39.6208818181818</v>
      </c>
    </row>
    <row r="153" customFormat="false" ht="15" hidden="false" customHeight="false" outlineLevel="0" collapsed="false">
      <c r="Q153" s="85" t="s">
        <v>282</v>
      </c>
      <c r="R153" s="85" t="s">
        <v>283</v>
      </c>
      <c r="V153" s="87" t="s">
        <v>121</v>
      </c>
      <c r="W153" s="87" t="s">
        <v>284</v>
      </c>
      <c r="X153" s="87" t="s">
        <v>285</v>
      </c>
      <c r="Y153" s="87" t="s">
        <v>286</v>
      </c>
      <c r="Z153" s="87" t="s">
        <v>287</v>
      </c>
    </row>
    <row r="154" customFormat="false" ht="15" hidden="false" customHeight="false" outlineLevel="0" collapsed="false">
      <c r="R154" s="90" t="s">
        <v>288</v>
      </c>
    </row>
    <row r="155" customFormat="false" ht="15" hidden="false" customHeight="false" outlineLevel="0" collapsed="false">
      <c r="R155" s="1" t="s">
        <v>289</v>
      </c>
      <c r="V155" s="57" t="s">
        <v>290</v>
      </c>
      <c r="W155" s="58" t="n">
        <v>2</v>
      </c>
      <c r="X155" s="59" t="n">
        <f aca="false">W155*8/$T$152</f>
        <v>0.145454545454545</v>
      </c>
      <c r="Y155" s="30" t="n">
        <v>28.94</v>
      </c>
      <c r="Z155" s="30" t="n">
        <f aca="false">X155*Y155</f>
        <v>4.20945454545455</v>
      </c>
    </row>
    <row r="156" customFormat="false" ht="15" hidden="false" customHeight="false" outlineLevel="0" collapsed="false">
      <c r="R156" s="1" t="s">
        <v>291</v>
      </c>
      <c r="V156" s="57" t="s">
        <v>290</v>
      </c>
      <c r="W156" s="58" t="n">
        <v>1</v>
      </c>
      <c r="X156" s="59" t="n">
        <f aca="false">W156*8/$T$152</f>
        <v>0.0727272727272727</v>
      </c>
      <c r="Y156" s="30" t="n">
        <v>23.6</v>
      </c>
      <c r="Z156" s="30" t="n">
        <f aca="false">X156*Y156</f>
        <v>1.71636363636364</v>
      </c>
    </row>
    <row r="157" customFormat="false" ht="15" hidden="false" customHeight="false" outlineLevel="0" collapsed="false">
      <c r="R157" s="1" t="s">
        <v>292</v>
      </c>
      <c r="V157" s="57" t="s">
        <v>290</v>
      </c>
      <c r="W157" s="58" t="n">
        <v>6</v>
      </c>
      <c r="X157" s="59" t="n">
        <f aca="false">W157*8/$T$152</f>
        <v>0.436363636363636</v>
      </c>
      <c r="Y157" s="30" t="n">
        <v>21.36</v>
      </c>
      <c r="Z157" s="30" t="n">
        <f aca="false">X157*Y157</f>
        <v>9.32072727272727</v>
      </c>
    </row>
    <row r="158" customFormat="false" ht="15" hidden="false" customHeight="false" outlineLevel="0" collapsed="false">
      <c r="V158" s="57"/>
      <c r="W158" s="58"/>
      <c r="X158" s="59"/>
      <c r="Z158" s="89" t="n">
        <f aca="false">SUM(Z155:Z157)</f>
        <v>15.2465454545455</v>
      </c>
    </row>
    <row r="159" customFormat="false" ht="15" hidden="false" customHeight="false" outlineLevel="0" collapsed="false">
      <c r="R159" s="90" t="s">
        <v>652</v>
      </c>
      <c r="V159" s="57"/>
      <c r="W159" s="58"/>
      <c r="X159" s="59"/>
      <c r="Z159" s="30"/>
    </row>
    <row r="160" customFormat="false" ht="15" hidden="false" customHeight="false" outlineLevel="0" collapsed="false">
      <c r="R160" s="1" t="s">
        <v>305</v>
      </c>
      <c r="V160" s="57" t="s">
        <v>306</v>
      </c>
      <c r="X160" s="59" t="n">
        <v>0.42</v>
      </c>
      <c r="Y160" s="30" t="n">
        <v>24.52</v>
      </c>
      <c r="Z160" s="30" t="n">
        <f aca="false">X160*Y160</f>
        <v>10.2984</v>
      </c>
    </row>
    <row r="161" customFormat="false" ht="15" hidden="false" customHeight="false" outlineLevel="0" collapsed="false">
      <c r="R161" s="1" t="s">
        <v>654</v>
      </c>
      <c r="V161" s="57" t="s">
        <v>202</v>
      </c>
      <c r="X161" s="59" t="n">
        <v>0.025</v>
      </c>
      <c r="Y161" s="1" t="n">
        <v>6.14</v>
      </c>
      <c r="Z161" s="30" t="n">
        <f aca="false">X161*Y161</f>
        <v>0.1535</v>
      </c>
    </row>
    <row r="162" customFormat="false" ht="15" hidden="false" customHeight="false" outlineLevel="0" collapsed="false">
      <c r="R162" s="1" t="s">
        <v>311</v>
      </c>
      <c r="V162" s="57" t="s">
        <v>202</v>
      </c>
      <c r="X162" s="59" t="n">
        <v>0.162</v>
      </c>
      <c r="Y162" s="71" t="n">
        <v>70.92</v>
      </c>
      <c r="Z162" s="30" t="n">
        <f aca="false">X162*Y162</f>
        <v>11.48904</v>
      </c>
    </row>
    <row r="163" customFormat="false" ht="15" hidden="false" customHeight="false" outlineLevel="0" collapsed="false">
      <c r="R163" s="1" t="s">
        <v>667</v>
      </c>
      <c r="V163" s="57" t="s">
        <v>304</v>
      </c>
      <c r="X163" s="59" t="n">
        <v>0.18</v>
      </c>
      <c r="Y163" s="30" t="n">
        <v>5.8</v>
      </c>
      <c r="Z163" s="30" t="n">
        <f aca="false">X163*Y163</f>
        <v>1.044</v>
      </c>
    </row>
    <row r="164" customFormat="false" ht="15" hidden="false" customHeight="false" outlineLevel="0" collapsed="false">
      <c r="V164" s="57"/>
      <c r="X164" s="59"/>
      <c r="Y164" s="30"/>
      <c r="Z164" s="89" t="n">
        <f aca="false">SUM(Z160:Z163)</f>
        <v>22.98494</v>
      </c>
    </row>
    <row r="165" customFormat="false" ht="15" hidden="false" customHeight="false" outlineLevel="0" collapsed="false">
      <c r="R165" s="90" t="s">
        <v>308</v>
      </c>
    </row>
    <row r="166" customFormat="false" ht="15" hidden="false" customHeight="false" outlineLevel="0" collapsed="false">
      <c r="R166" s="1" t="s">
        <v>309</v>
      </c>
      <c r="V166" s="57" t="s">
        <v>310</v>
      </c>
      <c r="X166" s="59" t="n">
        <v>3</v>
      </c>
      <c r="Y166" s="30" t="n">
        <f aca="false">Z158</f>
        <v>15.2465454545455</v>
      </c>
      <c r="Z166" s="30" t="n">
        <f aca="false">X166%*Y166</f>
        <v>0.457396363636364</v>
      </c>
    </row>
    <row r="167" customFormat="false" ht="15" hidden="false" customHeight="false" outlineLevel="0" collapsed="false">
      <c r="R167" s="1" t="s">
        <v>665</v>
      </c>
      <c r="V167" s="57" t="s">
        <v>337</v>
      </c>
      <c r="W167" s="58" t="n">
        <v>0.5</v>
      </c>
      <c r="X167" s="59" t="n">
        <f aca="false">W167*8/$T$152</f>
        <v>0.0363636363636364</v>
      </c>
      <c r="Y167" s="30" t="n">
        <v>25.63</v>
      </c>
      <c r="Z167" s="30" t="n">
        <f aca="false">X167*Y167</f>
        <v>0.932</v>
      </c>
    </row>
    <row r="168" customFormat="false" ht="15" hidden="false" customHeight="false" outlineLevel="0" collapsed="false">
      <c r="Q168" s="62"/>
      <c r="R168" s="62"/>
      <c r="S168" s="62"/>
      <c r="T168" s="62"/>
      <c r="U168" s="62"/>
      <c r="V168" s="62"/>
      <c r="W168" s="62"/>
      <c r="X168" s="62"/>
      <c r="Y168" s="62"/>
      <c r="Z168" s="91" t="n">
        <f aca="false">SUM(Z166:Z167)</f>
        <v>1.38939636363636</v>
      </c>
    </row>
    <row r="170" customFormat="false" ht="15" hidden="false" customHeight="false" outlineLevel="0" collapsed="false">
      <c r="Q170" s="85" t="s">
        <v>276</v>
      </c>
      <c r="R170" s="85"/>
      <c r="S170" s="85" t="s">
        <v>668</v>
      </c>
      <c r="T170" s="85"/>
    </row>
    <row r="171" customFormat="false" ht="15" hidden="false" customHeight="false" outlineLevel="0" collapsed="false">
      <c r="Q171" s="85" t="s">
        <v>277</v>
      </c>
      <c r="R171" s="85" t="s">
        <v>278</v>
      </c>
      <c r="S171" s="87" t="s">
        <v>279</v>
      </c>
      <c r="T171" s="88" t="n">
        <v>120</v>
      </c>
      <c r="U171" s="87" t="s">
        <v>280</v>
      </c>
      <c r="V171" s="88" t="n">
        <f aca="false">T171</f>
        <v>120</v>
      </c>
      <c r="W171" s="85" t="s">
        <v>281</v>
      </c>
      <c r="Y171" s="87" t="s">
        <v>132</v>
      </c>
      <c r="Z171" s="89" t="n">
        <f aca="false">Z177+Z183+Z187</f>
        <v>27.126394</v>
      </c>
    </row>
    <row r="172" customFormat="false" ht="15" hidden="false" customHeight="false" outlineLevel="0" collapsed="false">
      <c r="Q172" s="85" t="s">
        <v>282</v>
      </c>
      <c r="R172" s="85" t="s">
        <v>283</v>
      </c>
      <c r="V172" s="87" t="s">
        <v>121</v>
      </c>
      <c r="W172" s="87" t="s">
        <v>284</v>
      </c>
      <c r="X172" s="87" t="s">
        <v>285</v>
      </c>
      <c r="Y172" s="87" t="s">
        <v>286</v>
      </c>
      <c r="Z172" s="87" t="s">
        <v>287</v>
      </c>
    </row>
    <row r="173" customFormat="false" ht="15" hidden="false" customHeight="false" outlineLevel="0" collapsed="false">
      <c r="R173" s="90" t="s">
        <v>288</v>
      </c>
    </row>
    <row r="174" customFormat="false" ht="15" hidden="false" customHeight="false" outlineLevel="0" collapsed="false">
      <c r="R174" s="1" t="s">
        <v>289</v>
      </c>
      <c r="V174" s="57" t="s">
        <v>290</v>
      </c>
      <c r="W174" s="58" t="n">
        <v>2</v>
      </c>
      <c r="X174" s="59" t="n">
        <f aca="false">W174*8/$T$171</f>
        <v>0.133333333333333</v>
      </c>
      <c r="Y174" s="30" t="n">
        <v>28.94</v>
      </c>
      <c r="Z174" s="30" t="n">
        <f aca="false">X174*Y174</f>
        <v>3.85866666666667</v>
      </c>
    </row>
    <row r="175" customFormat="false" ht="15" hidden="false" customHeight="false" outlineLevel="0" collapsed="false">
      <c r="R175" s="1" t="s">
        <v>291</v>
      </c>
      <c r="V175" s="57" t="s">
        <v>290</v>
      </c>
      <c r="W175" s="58" t="n">
        <v>2</v>
      </c>
      <c r="X175" s="59" t="n">
        <f aca="false">W175*8/$T$171</f>
        <v>0.133333333333333</v>
      </c>
      <c r="Y175" s="30" t="n">
        <v>23.6</v>
      </c>
      <c r="Z175" s="30" t="n">
        <f aca="false">X175*Y175</f>
        <v>3.14666666666667</v>
      </c>
    </row>
    <row r="176" customFormat="false" ht="15" hidden="false" customHeight="false" outlineLevel="0" collapsed="false">
      <c r="R176" s="1" t="s">
        <v>292</v>
      </c>
      <c r="V176" s="57" t="s">
        <v>290</v>
      </c>
      <c r="W176" s="58" t="n">
        <v>6</v>
      </c>
      <c r="X176" s="59" t="n">
        <f aca="false">W176*8/$T$171</f>
        <v>0.4</v>
      </c>
      <c r="Y176" s="30" t="n">
        <v>21.36</v>
      </c>
      <c r="Z176" s="30" t="n">
        <f aca="false">X176*Y176</f>
        <v>8.544</v>
      </c>
    </row>
    <row r="177" customFormat="false" ht="15" hidden="false" customHeight="false" outlineLevel="0" collapsed="false">
      <c r="V177" s="57"/>
      <c r="W177" s="58"/>
      <c r="X177" s="59"/>
      <c r="Z177" s="89" t="n">
        <f aca="false">SUM(Z174:Z176)</f>
        <v>15.5493333333333</v>
      </c>
    </row>
    <row r="178" customFormat="false" ht="15" hidden="false" customHeight="false" outlineLevel="0" collapsed="false">
      <c r="R178" s="90" t="s">
        <v>652</v>
      </c>
      <c r="V178" s="57"/>
      <c r="W178" s="58"/>
      <c r="X178" s="59"/>
      <c r="Z178" s="30"/>
    </row>
    <row r="179" customFormat="false" ht="15" hidden="false" customHeight="false" outlineLevel="0" collapsed="false">
      <c r="R179" s="1" t="s">
        <v>305</v>
      </c>
      <c r="V179" s="57" t="s">
        <v>306</v>
      </c>
      <c r="X179" s="59" t="n">
        <v>0.19</v>
      </c>
      <c r="Y179" s="30" t="n">
        <v>24.52</v>
      </c>
      <c r="Z179" s="30" t="n">
        <f aca="false">X179*Y179</f>
        <v>4.6588</v>
      </c>
    </row>
    <row r="180" customFormat="false" ht="15" hidden="false" customHeight="false" outlineLevel="0" collapsed="false">
      <c r="R180" s="1" t="s">
        <v>654</v>
      </c>
      <c r="V180" s="57" t="s">
        <v>202</v>
      </c>
      <c r="X180" s="59" t="n">
        <v>0.0081</v>
      </c>
      <c r="Y180" s="1" t="n">
        <v>6.14</v>
      </c>
      <c r="Z180" s="30" t="n">
        <f aca="false">X180*Y180</f>
        <v>0.049734</v>
      </c>
    </row>
    <row r="181" customFormat="false" ht="15" hidden="false" customHeight="false" outlineLevel="0" collapsed="false">
      <c r="R181" s="1" t="s">
        <v>663</v>
      </c>
      <c r="V181" s="57" t="s">
        <v>437</v>
      </c>
      <c r="X181" s="59" t="n">
        <v>0.006</v>
      </c>
      <c r="Y181" s="1" t="n">
        <v>13.93</v>
      </c>
      <c r="Z181" s="30" t="n">
        <f aca="false">X181*Y181</f>
        <v>0.08358</v>
      </c>
    </row>
    <row r="182" customFormat="false" ht="15" hidden="false" customHeight="false" outlineLevel="0" collapsed="false">
      <c r="R182" s="1" t="s">
        <v>311</v>
      </c>
      <c r="V182" s="57" t="s">
        <v>202</v>
      </c>
      <c r="X182" s="59" t="n">
        <v>0.065</v>
      </c>
      <c r="Y182" s="71" t="n">
        <v>70.92</v>
      </c>
      <c r="Z182" s="30" t="n">
        <f aca="false">X182*Y182</f>
        <v>4.6098</v>
      </c>
    </row>
    <row r="183" customFormat="false" ht="15" hidden="false" customHeight="false" outlineLevel="0" collapsed="false">
      <c r="V183" s="57"/>
      <c r="X183" s="59"/>
      <c r="Y183" s="30"/>
      <c r="Z183" s="89" t="n">
        <f aca="false">SUM(Z179:Z182)</f>
        <v>9.401914</v>
      </c>
    </row>
    <row r="184" customFormat="false" ht="15" hidden="false" customHeight="false" outlineLevel="0" collapsed="false">
      <c r="R184" s="90" t="s">
        <v>308</v>
      </c>
    </row>
    <row r="185" customFormat="false" ht="15" hidden="false" customHeight="false" outlineLevel="0" collapsed="false">
      <c r="R185" s="1" t="s">
        <v>309</v>
      </c>
      <c r="V185" s="57" t="s">
        <v>310</v>
      </c>
      <c r="X185" s="59" t="n">
        <v>3</v>
      </c>
      <c r="Y185" s="30" t="n">
        <f aca="false">Z177</f>
        <v>15.5493333333333</v>
      </c>
      <c r="Z185" s="30" t="n">
        <f aca="false">X185%*Y185</f>
        <v>0.46648</v>
      </c>
    </row>
    <row r="186" customFormat="false" ht="15" hidden="false" customHeight="false" outlineLevel="0" collapsed="false">
      <c r="R186" s="1" t="s">
        <v>665</v>
      </c>
      <c r="V186" s="57" t="s">
        <v>337</v>
      </c>
      <c r="W186" s="58" t="n">
        <v>1</v>
      </c>
      <c r="X186" s="59" t="n">
        <f aca="false">W186*8/$T$171</f>
        <v>0.0666666666666667</v>
      </c>
      <c r="Y186" s="30" t="n">
        <v>25.63</v>
      </c>
      <c r="Z186" s="30" t="n">
        <f aca="false">X186*Y186</f>
        <v>1.70866666666667</v>
      </c>
    </row>
    <row r="187" customFormat="false" ht="15" hidden="false" customHeight="false" outlineLevel="0" collapsed="false">
      <c r="Q187" s="62"/>
      <c r="R187" s="62"/>
      <c r="S187" s="62"/>
      <c r="T187" s="62"/>
      <c r="U187" s="62"/>
      <c r="V187" s="62"/>
      <c r="W187" s="62"/>
      <c r="X187" s="62"/>
      <c r="Y187" s="62"/>
      <c r="Z187" s="91" t="n">
        <f aca="false">SUM(Z185:Z186)</f>
        <v>2.17514666666667</v>
      </c>
    </row>
    <row r="189" customFormat="false" ht="15" hidden="false" customHeight="false" outlineLevel="0" collapsed="false">
      <c r="Q189" s="85" t="s">
        <v>276</v>
      </c>
      <c r="R189" s="85"/>
      <c r="S189" s="85" t="s">
        <v>495</v>
      </c>
      <c r="T189" s="85"/>
    </row>
    <row r="190" customFormat="false" ht="15" hidden="false" customHeight="false" outlineLevel="0" collapsed="false">
      <c r="Q190" s="85" t="s">
        <v>277</v>
      </c>
      <c r="R190" s="85" t="s">
        <v>415</v>
      </c>
      <c r="S190" s="87" t="s">
        <v>279</v>
      </c>
      <c r="T190" s="88" t="n">
        <v>25</v>
      </c>
      <c r="U190" s="87" t="s">
        <v>280</v>
      </c>
      <c r="V190" s="88" t="n">
        <f aca="false">T190</f>
        <v>25</v>
      </c>
      <c r="W190" s="85" t="s">
        <v>281</v>
      </c>
      <c r="Y190" s="87" t="s">
        <v>202</v>
      </c>
      <c r="Z190" s="89" t="n">
        <f aca="false">Z196+Z204+Z209</f>
        <v>426.397544</v>
      </c>
    </row>
    <row r="191" customFormat="false" ht="15" hidden="false" customHeight="false" outlineLevel="0" collapsed="false">
      <c r="Q191" s="85" t="s">
        <v>282</v>
      </c>
      <c r="R191" s="85" t="s">
        <v>283</v>
      </c>
      <c r="V191" s="87" t="s">
        <v>121</v>
      </c>
      <c r="W191" s="87" t="s">
        <v>284</v>
      </c>
      <c r="X191" s="87" t="s">
        <v>285</v>
      </c>
      <c r="Y191" s="87" t="s">
        <v>286</v>
      </c>
      <c r="Z191" s="87" t="s">
        <v>287</v>
      </c>
    </row>
    <row r="192" customFormat="false" ht="15" hidden="false" customHeight="false" outlineLevel="0" collapsed="false">
      <c r="R192" s="90" t="s">
        <v>288</v>
      </c>
    </row>
    <row r="193" customFormat="false" ht="15" hidden="false" customHeight="false" outlineLevel="0" collapsed="false">
      <c r="R193" s="1" t="s">
        <v>289</v>
      </c>
      <c r="V193" s="57" t="s">
        <v>290</v>
      </c>
      <c r="W193" s="58" t="n">
        <v>2</v>
      </c>
      <c r="X193" s="59" t="n">
        <f aca="false">W193*8/$T$190</f>
        <v>0.64</v>
      </c>
      <c r="Y193" s="30" t="n">
        <v>28.94</v>
      </c>
      <c r="Z193" s="30" t="n">
        <f aca="false">X193*Y193</f>
        <v>18.5216</v>
      </c>
    </row>
    <row r="194" customFormat="false" ht="15" hidden="false" customHeight="false" outlineLevel="0" collapsed="false">
      <c r="R194" s="1" t="s">
        <v>291</v>
      </c>
      <c r="V194" s="57" t="s">
        <v>290</v>
      </c>
      <c r="W194" s="58" t="n">
        <v>2</v>
      </c>
      <c r="X194" s="59" t="n">
        <f aca="false">W194*8/$T$190</f>
        <v>0.64</v>
      </c>
      <c r="Y194" s="30" t="n">
        <v>23.6</v>
      </c>
      <c r="Z194" s="30" t="n">
        <f aca="false">X194*Y194</f>
        <v>15.104</v>
      </c>
    </row>
    <row r="195" customFormat="false" ht="15" hidden="false" customHeight="false" outlineLevel="0" collapsed="false">
      <c r="R195" s="1" t="s">
        <v>292</v>
      </c>
      <c r="V195" s="57" t="s">
        <v>290</v>
      </c>
      <c r="W195" s="58" t="n">
        <v>6</v>
      </c>
      <c r="X195" s="59" t="n">
        <f aca="false">W195*8/$T$190</f>
        <v>1.92</v>
      </c>
      <c r="Y195" s="30" t="n">
        <v>21.36</v>
      </c>
      <c r="Z195" s="30" t="n">
        <f aca="false">X195*Y195</f>
        <v>41.0112</v>
      </c>
    </row>
    <row r="196" customFormat="false" ht="15" hidden="false" customHeight="false" outlineLevel="0" collapsed="false">
      <c r="V196" s="57"/>
      <c r="W196" s="58"/>
      <c r="X196" s="59"/>
      <c r="Z196" s="89" t="n">
        <f aca="false">SUM(Z193:Z195)</f>
        <v>74.6368</v>
      </c>
    </row>
    <row r="197" customFormat="false" ht="15" hidden="false" customHeight="false" outlineLevel="0" collapsed="false">
      <c r="R197" s="90" t="s">
        <v>652</v>
      </c>
      <c r="V197" s="57"/>
      <c r="W197" s="58"/>
      <c r="X197" s="59"/>
      <c r="Z197" s="30"/>
    </row>
    <row r="198" customFormat="false" ht="15" hidden="false" customHeight="false" outlineLevel="0" collapsed="false">
      <c r="R198" s="1" t="s">
        <v>670</v>
      </c>
      <c r="V198" s="57" t="s">
        <v>202</v>
      </c>
      <c r="X198" s="59" t="n">
        <v>0.53</v>
      </c>
      <c r="Y198" s="30" t="n">
        <v>55.08</v>
      </c>
      <c r="Z198" s="30" t="n">
        <f aca="false">X198*Y198</f>
        <v>29.1924</v>
      </c>
    </row>
    <row r="199" customFormat="false" ht="15" hidden="false" customHeight="false" outlineLevel="0" collapsed="false">
      <c r="R199" s="1" t="s">
        <v>671</v>
      </c>
      <c r="V199" s="57" t="s">
        <v>202</v>
      </c>
      <c r="X199" s="59" t="n">
        <v>0.52</v>
      </c>
      <c r="Y199" s="30" t="n">
        <v>47</v>
      </c>
      <c r="Z199" s="30" t="n">
        <f aca="false">X199*Y199</f>
        <v>24.44</v>
      </c>
    </row>
    <row r="200" customFormat="false" ht="15" hidden="false" customHeight="false" outlineLevel="0" collapsed="false">
      <c r="R200" s="1" t="s">
        <v>305</v>
      </c>
      <c r="V200" s="57" t="s">
        <v>306</v>
      </c>
      <c r="X200" s="59" t="n">
        <v>9.73</v>
      </c>
      <c r="Y200" s="30" t="n">
        <v>24.52</v>
      </c>
      <c r="Z200" s="30" t="n">
        <f aca="false">X200*Y200</f>
        <v>238.5796</v>
      </c>
    </row>
    <row r="201" customFormat="false" ht="15" hidden="false" customHeight="false" outlineLevel="0" collapsed="false">
      <c r="R201" s="1" t="s">
        <v>654</v>
      </c>
      <c r="V201" s="57" t="s">
        <v>202</v>
      </c>
      <c r="X201" s="59" t="n">
        <v>0.186</v>
      </c>
      <c r="Y201" s="1" t="n">
        <v>6.14</v>
      </c>
      <c r="Z201" s="30" t="n">
        <f aca="false">X201*Y201</f>
        <v>1.14204</v>
      </c>
    </row>
    <row r="202" customFormat="false" ht="15" hidden="false" customHeight="false" outlineLevel="0" collapsed="false">
      <c r="R202" s="1" t="s">
        <v>663</v>
      </c>
      <c r="V202" s="57" t="s">
        <v>437</v>
      </c>
      <c r="X202" s="59" t="n">
        <v>0.36</v>
      </c>
      <c r="Y202" s="1" t="n">
        <v>13.93</v>
      </c>
      <c r="Z202" s="30" t="n">
        <f aca="false">X202*Y202</f>
        <v>5.0148</v>
      </c>
    </row>
    <row r="203" customFormat="false" ht="15" hidden="false" customHeight="false" outlineLevel="0" collapsed="false">
      <c r="R203" s="1" t="s">
        <v>672</v>
      </c>
      <c r="V203" s="57" t="s">
        <v>437</v>
      </c>
      <c r="X203" s="59" t="n">
        <v>1.5</v>
      </c>
      <c r="Y203" s="71" t="n">
        <v>27.88</v>
      </c>
      <c r="Z203" s="30" t="n">
        <f aca="false">X203*Y203</f>
        <v>41.82</v>
      </c>
    </row>
    <row r="204" customFormat="false" ht="15" hidden="false" customHeight="false" outlineLevel="0" collapsed="false">
      <c r="V204" s="57"/>
      <c r="X204" s="59"/>
      <c r="Y204" s="30"/>
      <c r="Z204" s="89" t="n">
        <f aca="false">SUM(Z198:Z203)</f>
        <v>340.18884</v>
      </c>
    </row>
    <row r="205" customFormat="false" ht="15" hidden="false" customHeight="false" outlineLevel="0" collapsed="false">
      <c r="R205" s="90" t="s">
        <v>308</v>
      </c>
    </row>
    <row r="206" customFormat="false" ht="15" hidden="false" customHeight="false" outlineLevel="0" collapsed="false">
      <c r="R206" s="1" t="s">
        <v>309</v>
      </c>
      <c r="V206" s="57" t="s">
        <v>310</v>
      </c>
      <c r="X206" s="59" t="n">
        <v>3</v>
      </c>
      <c r="Y206" s="30" t="n">
        <f aca="false">Z196</f>
        <v>74.6368</v>
      </c>
      <c r="Z206" s="30" t="n">
        <f aca="false">X206%*Y206</f>
        <v>2.239104</v>
      </c>
    </row>
    <row r="207" customFormat="false" ht="15" hidden="false" customHeight="false" outlineLevel="0" collapsed="false">
      <c r="R207" s="1" t="s">
        <v>665</v>
      </c>
      <c r="V207" s="57" t="s">
        <v>337</v>
      </c>
      <c r="W207" s="58" t="n">
        <v>1</v>
      </c>
      <c r="X207" s="59" t="n">
        <f aca="false">W207*8/$T$190</f>
        <v>0.32</v>
      </c>
      <c r="Y207" s="30" t="n">
        <v>25.63</v>
      </c>
      <c r="Z207" s="30" t="n">
        <f aca="false">X207*Y207</f>
        <v>8.2016</v>
      </c>
    </row>
    <row r="208" customFormat="false" ht="15" hidden="false" customHeight="false" outlineLevel="0" collapsed="false">
      <c r="R208" s="1" t="s">
        <v>673</v>
      </c>
      <c r="V208" s="57" t="s">
        <v>337</v>
      </c>
      <c r="W208" s="58" t="n">
        <v>0.5</v>
      </c>
      <c r="X208" s="59" t="n">
        <f aca="false">W208*8/$T$190</f>
        <v>0.16</v>
      </c>
      <c r="Y208" s="30" t="n">
        <v>7.07</v>
      </c>
      <c r="Z208" s="30" t="n">
        <f aca="false">X208*Y208</f>
        <v>1.1312</v>
      </c>
    </row>
    <row r="209" customFormat="false" ht="15" hidden="false" customHeight="false" outlineLevel="0" collapsed="false">
      <c r="Q209" s="62"/>
      <c r="R209" s="62"/>
      <c r="S209" s="62"/>
      <c r="T209" s="62"/>
      <c r="U209" s="62"/>
      <c r="V209" s="62"/>
      <c r="W209" s="62"/>
      <c r="X209" s="62"/>
      <c r="Y209" s="62"/>
      <c r="Z209" s="91" t="n">
        <f aca="false">SUM(Z206:Z208)</f>
        <v>11.571904</v>
      </c>
    </row>
    <row r="211" customFormat="false" ht="15" hidden="false" customHeight="false" outlineLevel="0" collapsed="false">
      <c r="Q211" s="85" t="s">
        <v>276</v>
      </c>
      <c r="R211" s="85"/>
      <c r="S211" s="85" t="s">
        <v>1382</v>
      </c>
      <c r="T211" s="85"/>
    </row>
    <row r="212" customFormat="false" ht="15" hidden="false" customHeight="false" outlineLevel="0" collapsed="false">
      <c r="Q212" s="85" t="s">
        <v>277</v>
      </c>
      <c r="R212" s="85" t="s">
        <v>278</v>
      </c>
      <c r="S212" s="87" t="s">
        <v>279</v>
      </c>
      <c r="T212" s="88" t="n">
        <v>8</v>
      </c>
      <c r="U212" s="87" t="s">
        <v>280</v>
      </c>
      <c r="V212" s="88" t="n">
        <f aca="false">T212</f>
        <v>8</v>
      </c>
      <c r="W212" s="85" t="s">
        <v>281</v>
      </c>
      <c r="Y212" s="87" t="s">
        <v>132</v>
      </c>
      <c r="Z212" s="89" t="n">
        <f aca="false">Z217+Z222+Z225</f>
        <v>75.1142</v>
      </c>
    </row>
    <row r="213" customFormat="false" ht="15" hidden="false" customHeight="false" outlineLevel="0" collapsed="false">
      <c r="Q213" s="85" t="s">
        <v>282</v>
      </c>
      <c r="R213" s="85" t="s">
        <v>283</v>
      </c>
      <c r="V213" s="87" t="s">
        <v>121</v>
      </c>
      <c r="W213" s="87" t="s">
        <v>284</v>
      </c>
      <c r="X213" s="87" t="s">
        <v>285</v>
      </c>
      <c r="Y213" s="87" t="s">
        <v>286</v>
      </c>
      <c r="Z213" s="87" t="s">
        <v>287</v>
      </c>
    </row>
    <row r="214" customFormat="false" ht="15" hidden="false" customHeight="false" outlineLevel="0" collapsed="false">
      <c r="R214" s="90" t="s">
        <v>288</v>
      </c>
    </row>
    <row r="215" customFormat="false" ht="15" hidden="false" customHeight="false" outlineLevel="0" collapsed="false">
      <c r="R215" s="1" t="s">
        <v>289</v>
      </c>
      <c r="V215" s="57" t="s">
        <v>290</v>
      </c>
      <c r="W215" s="58" t="n">
        <v>1</v>
      </c>
      <c r="X215" s="59" t="n">
        <f aca="false">W215*8/$T$212</f>
        <v>1</v>
      </c>
      <c r="Y215" s="30" t="n">
        <v>28.94</v>
      </c>
      <c r="Z215" s="30" t="n">
        <f aca="false">X215*Y215</f>
        <v>28.94</v>
      </c>
    </row>
    <row r="216" customFormat="false" ht="15" hidden="false" customHeight="false" outlineLevel="0" collapsed="false">
      <c r="R216" s="1" t="s">
        <v>291</v>
      </c>
      <c r="V216" s="57" t="s">
        <v>290</v>
      </c>
      <c r="W216" s="58" t="n">
        <v>1</v>
      </c>
      <c r="X216" s="59" t="n">
        <f aca="false">W216*8/$T$212</f>
        <v>1</v>
      </c>
      <c r="Y216" s="30" t="n">
        <v>23.6</v>
      </c>
      <c r="Z216" s="30" t="n">
        <f aca="false">X216*Y216</f>
        <v>23.6</v>
      </c>
    </row>
    <row r="217" customFormat="false" ht="15" hidden="false" customHeight="false" outlineLevel="0" collapsed="false">
      <c r="V217" s="57"/>
      <c r="W217" s="58"/>
      <c r="X217" s="59"/>
      <c r="Z217" s="89" t="n">
        <f aca="false">SUM(Z215:Z216)</f>
        <v>52.54</v>
      </c>
    </row>
    <row r="218" customFormat="false" ht="15" hidden="false" customHeight="false" outlineLevel="0" collapsed="false">
      <c r="R218" s="90" t="s">
        <v>652</v>
      </c>
      <c r="V218" s="57"/>
      <c r="W218" s="58"/>
      <c r="X218" s="59"/>
      <c r="Z218" s="30"/>
    </row>
    <row r="219" customFormat="false" ht="15" hidden="false" customHeight="false" outlineLevel="0" collapsed="false">
      <c r="R219" s="1" t="s">
        <v>680</v>
      </c>
      <c r="V219" s="57" t="s">
        <v>295</v>
      </c>
      <c r="X219" s="59" t="n">
        <v>0.26</v>
      </c>
      <c r="Y219" s="30" t="n">
        <v>2.64</v>
      </c>
      <c r="Z219" s="30" t="n">
        <f aca="false">X219*Y219</f>
        <v>0.6864</v>
      </c>
    </row>
    <row r="220" customFormat="false" ht="15" hidden="false" customHeight="false" outlineLevel="0" collapsed="false">
      <c r="R220" s="1" t="s">
        <v>300</v>
      </c>
      <c r="V220" s="57" t="s">
        <v>295</v>
      </c>
      <c r="X220" s="59" t="n">
        <v>0.16</v>
      </c>
      <c r="Y220" s="30" t="n">
        <v>5.51</v>
      </c>
      <c r="Z220" s="30" t="n">
        <f aca="false">X220*Y220</f>
        <v>0.8816</v>
      </c>
    </row>
    <row r="221" customFormat="false" ht="15" hidden="false" customHeight="false" outlineLevel="0" collapsed="false">
      <c r="R221" s="1" t="s">
        <v>667</v>
      </c>
      <c r="V221" s="57" t="s">
        <v>304</v>
      </c>
      <c r="X221" s="59" t="n">
        <v>3.35</v>
      </c>
      <c r="Y221" s="30" t="n">
        <v>5.8</v>
      </c>
      <c r="Z221" s="30" t="n">
        <f aca="false">X221*Y221</f>
        <v>19.43</v>
      </c>
    </row>
    <row r="222" customFormat="false" ht="15" hidden="false" customHeight="false" outlineLevel="0" collapsed="false">
      <c r="V222" s="57"/>
      <c r="X222" s="59"/>
      <c r="Y222" s="30"/>
      <c r="Z222" s="89" t="n">
        <f aca="false">SUM(Z219:Z221)</f>
        <v>20.998</v>
      </c>
    </row>
    <row r="223" customFormat="false" ht="15" hidden="false" customHeight="false" outlineLevel="0" collapsed="false">
      <c r="R223" s="90" t="s">
        <v>308</v>
      </c>
    </row>
    <row r="224" customFormat="false" ht="15" hidden="false" customHeight="false" outlineLevel="0" collapsed="false">
      <c r="R224" s="1" t="s">
        <v>309</v>
      </c>
      <c r="V224" s="57" t="s">
        <v>310</v>
      </c>
      <c r="X224" s="59" t="n">
        <v>3</v>
      </c>
      <c r="Y224" s="30" t="n">
        <f aca="false">Z217</f>
        <v>52.54</v>
      </c>
      <c r="Z224" s="30" t="n">
        <f aca="false">X224%*Y224</f>
        <v>1.5762</v>
      </c>
    </row>
    <row r="225" customFormat="false" ht="15" hidden="false" customHeight="false" outlineLevel="0" collapsed="false">
      <c r="Q225" s="62"/>
      <c r="R225" s="62"/>
      <c r="S225" s="62"/>
      <c r="T225" s="62"/>
      <c r="U225" s="62"/>
      <c r="V225" s="62"/>
      <c r="W225" s="62"/>
      <c r="X225" s="62"/>
      <c r="Y225" s="62"/>
      <c r="Z225" s="91" t="n">
        <f aca="false">SUM(Z224)</f>
        <v>1.5762</v>
      </c>
    </row>
    <row r="228" customFormat="false" ht="15" hidden="false" customHeight="false" outlineLevel="0" collapsed="false">
      <c r="Q228" s="85" t="s">
        <v>276</v>
      </c>
      <c r="R228" s="85"/>
      <c r="S228" s="85" t="s">
        <v>497</v>
      </c>
      <c r="T228" s="85"/>
    </row>
    <row r="229" customFormat="false" ht="15" hidden="false" customHeight="false" outlineLevel="0" collapsed="false">
      <c r="Q229" s="85" t="s">
        <v>277</v>
      </c>
      <c r="R229" s="85" t="s">
        <v>674</v>
      </c>
      <c r="S229" s="87" t="s">
        <v>279</v>
      </c>
      <c r="T229" s="88" t="n">
        <v>250</v>
      </c>
      <c r="U229" s="87" t="s">
        <v>280</v>
      </c>
      <c r="V229" s="88" t="n">
        <f aca="false">T229</f>
        <v>250</v>
      </c>
      <c r="W229" s="85" t="s">
        <v>281</v>
      </c>
      <c r="Y229" s="87" t="s">
        <v>295</v>
      </c>
      <c r="Z229" s="89" t="n">
        <f aca="false">Z234+Z238+Z242</f>
        <v>5.5639628445</v>
      </c>
    </row>
    <row r="230" customFormat="false" ht="15" hidden="false" customHeight="false" outlineLevel="0" collapsed="false">
      <c r="Q230" s="85" t="s">
        <v>282</v>
      </c>
      <c r="R230" s="85" t="s">
        <v>283</v>
      </c>
      <c r="V230" s="87" t="s">
        <v>121</v>
      </c>
      <c r="W230" s="87" t="s">
        <v>284</v>
      </c>
      <c r="X230" s="87" t="s">
        <v>285</v>
      </c>
      <c r="Y230" s="87" t="s">
        <v>286</v>
      </c>
      <c r="Z230" s="87" t="s">
        <v>287</v>
      </c>
    </row>
    <row r="231" customFormat="false" ht="15" hidden="false" customHeight="false" outlineLevel="0" collapsed="false">
      <c r="R231" s="90" t="s">
        <v>288</v>
      </c>
      <c r="W231" s="58"/>
    </row>
    <row r="232" customFormat="false" ht="15" hidden="false" customHeight="false" outlineLevel="0" collapsed="false">
      <c r="R232" s="1" t="s">
        <v>289</v>
      </c>
      <c r="V232" s="57" t="s">
        <v>290</v>
      </c>
      <c r="W232" s="58" t="n">
        <v>1</v>
      </c>
      <c r="X232" s="101" t="n">
        <f aca="false">W232*8/$T$229</f>
        <v>0.032</v>
      </c>
      <c r="Y232" s="30" t="n">
        <v>28.94</v>
      </c>
      <c r="Z232" s="30" t="n">
        <f aca="false">X232*Y232</f>
        <v>0.92608</v>
      </c>
    </row>
    <row r="233" customFormat="false" ht="15" hidden="false" customHeight="false" outlineLevel="0" collapsed="false">
      <c r="R233" s="1" t="s">
        <v>675</v>
      </c>
      <c r="V233" s="57" t="s">
        <v>290</v>
      </c>
      <c r="W233" s="58" t="n">
        <v>1</v>
      </c>
      <c r="X233" s="101" t="n">
        <f aca="false">W233*8/$T$229</f>
        <v>0.032</v>
      </c>
      <c r="Y233" s="30" t="n">
        <v>23.6</v>
      </c>
      <c r="Z233" s="30" t="n">
        <f aca="false">X233*Y233</f>
        <v>0.7552</v>
      </c>
    </row>
    <row r="234" customFormat="false" ht="15" hidden="false" customHeight="false" outlineLevel="0" collapsed="false">
      <c r="V234" s="57"/>
      <c r="W234" s="58"/>
      <c r="Z234" s="89" t="n">
        <f aca="false">SUM(Z232:Z233)</f>
        <v>1.68128</v>
      </c>
    </row>
    <row r="235" customFormat="false" ht="15" hidden="false" customHeight="false" outlineLevel="0" collapsed="false">
      <c r="R235" s="90" t="s">
        <v>293</v>
      </c>
      <c r="V235" s="57"/>
      <c r="W235" s="58"/>
      <c r="X235" s="101"/>
    </row>
    <row r="236" customFormat="false" ht="15" hidden="false" customHeight="false" outlineLevel="0" collapsed="false">
      <c r="R236" s="1" t="s">
        <v>294</v>
      </c>
      <c r="V236" s="57" t="s">
        <v>295</v>
      </c>
      <c r="W236" s="58"/>
      <c r="X236" s="101" t="n">
        <v>0.03</v>
      </c>
      <c r="Y236" s="30" t="n">
        <v>2.64</v>
      </c>
      <c r="Z236" s="30" t="n">
        <f aca="false">X236*Y236</f>
        <v>0.0792</v>
      </c>
    </row>
    <row r="237" customFormat="false" ht="15" hidden="false" customHeight="false" outlineLevel="0" collapsed="false">
      <c r="R237" s="1" t="s">
        <v>676</v>
      </c>
      <c r="V237" s="57" t="s">
        <v>295</v>
      </c>
      <c r="W237" s="58"/>
      <c r="X237" s="101" t="n">
        <v>1.05</v>
      </c>
      <c r="Y237" s="30" t="n">
        <f aca="false">1012.71*3.379/1000</f>
        <v>3.42194709</v>
      </c>
      <c r="Z237" s="30" t="n">
        <f aca="false">X237*Y237</f>
        <v>3.5930444445</v>
      </c>
    </row>
    <row r="238" customFormat="false" ht="15" hidden="false" customHeight="false" outlineLevel="0" collapsed="false">
      <c r="V238" s="57"/>
      <c r="W238" s="58"/>
      <c r="Z238" s="89" t="n">
        <f aca="false">SUM(Z236:Z237)</f>
        <v>3.6722444445</v>
      </c>
    </row>
    <row r="239" customFormat="false" ht="15" hidden="false" customHeight="false" outlineLevel="0" collapsed="false">
      <c r="R239" s="90" t="s">
        <v>317</v>
      </c>
      <c r="V239" s="57"/>
      <c r="W239" s="58"/>
    </row>
    <row r="240" customFormat="false" ht="15" hidden="false" customHeight="false" outlineLevel="0" collapsed="false">
      <c r="R240" s="1" t="s">
        <v>309</v>
      </c>
      <c r="V240" s="57" t="s">
        <v>310</v>
      </c>
      <c r="X240" s="59" t="n">
        <v>3</v>
      </c>
      <c r="Y240" s="30" t="n">
        <f aca="false">Z234</f>
        <v>1.68128</v>
      </c>
      <c r="Z240" s="30" t="n">
        <f aca="false">X240%*Y240</f>
        <v>0.0504384</v>
      </c>
    </row>
    <row r="241" customFormat="false" ht="15" hidden="false" customHeight="false" outlineLevel="0" collapsed="false">
      <c r="R241" s="1" t="s">
        <v>677</v>
      </c>
      <c r="V241" s="57" t="s">
        <v>290</v>
      </c>
      <c r="W241" s="58" t="n">
        <v>1</v>
      </c>
      <c r="X241" s="101" t="n">
        <f aca="false">W241*8/$T$229</f>
        <v>0.032</v>
      </c>
      <c r="Y241" s="65" t="n">
        <v>5</v>
      </c>
      <c r="Z241" s="30" t="n">
        <f aca="false">X241*Y241</f>
        <v>0.16</v>
      </c>
    </row>
    <row r="242" customFormat="false" ht="15" hidden="false" customHeight="false" outlineLevel="0" collapsed="false">
      <c r="Q242" s="62"/>
      <c r="R242" s="62"/>
      <c r="S242" s="62"/>
      <c r="T242" s="62"/>
      <c r="U242" s="62"/>
      <c r="V242" s="62"/>
      <c r="W242" s="62"/>
      <c r="X242" s="62"/>
      <c r="Y242" s="62"/>
      <c r="Z242" s="91" t="n">
        <f aca="false">SUM(Z240:Z241)</f>
        <v>0.2104384</v>
      </c>
    </row>
    <row r="244" customFormat="false" ht="15" hidden="false" customHeight="false" outlineLevel="0" collapsed="false">
      <c r="Q244" s="85" t="s">
        <v>276</v>
      </c>
      <c r="R244" s="85"/>
      <c r="S244" s="85" t="s">
        <v>509</v>
      </c>
      <c r="T244" s="85"/>
    </row>
    <row r="245" customFormat="false" ht="15" hidden="false" customHeight="false" outlineLevel="0" collapsed="false">
      <c r="Q245" s="85" t="s">
        <v>277</v>
      </c>
      <c r="R245" s="85" t="s">
        <v>415</v>
      </c>
      <c r="S245" s="87" t="s">
        <v>279</v>
      </c>
      <c r="T245" s="88" t="n">
        <v>20</v>
      </c>
      <c r="U245" s="87" t="s">
        <v>280</v>
      </c>
      <c r="V245" s="88" t="n">
        <f aca="false">T245</f>
        <v>20</v>
      </c>
      <c r="W245" s="85" t="s">
        <v>281</v>
      </c>
      <c r="Y245" s="87" t="s">
        <v>202</v>
      </c>
      <c r="Z245" s="89" t="n">
        <f aca="false">Z251+Z259+Z264</f>
        <v>438.22652</v>
      </c>
    </row>
    <row r="246" customFormat="false" ht="15" hidden="false" customHeight="false" outlineLevel="0" collapsed="false">
      <c r="Q246" s="85" t="s">
        <v>282</v>
      </c>
      <c r="R246" s="85" t="s">
        <v>283</v>
      </c>
      <c r="V246" s="87" t="s">
        <v>121</v>
      </c>
      <c r="W246" s="87" t="s">
        <v>284</v>
      </c>
      <c r="X246" s="87" t="s">
        <v>285</v>
      </c>
      <c r="Y246" s="87" t="s">
        <v>286</v>
      </c>
      <c r="Z246" s="87" t="s">
        <v>287</v>
      </c>
    </row>
    <row r="247" customFormat="false" ht="15" hidden="false" customHeight="false" outlineLevel="0" collapsed="false">
      <c r="R247" s="90" t="s">
        <v>288</v>
      </c>
    </row>
    <row r="248" customFormat="false" ht="15" hidden="false" customHeight="false" outlineLevel="0" collapsed="false">
      <c r="R248" s="1" t="s">
        <v>289</v>
      </c>
      <c r="V248" s="57" t="s">
        <v>290</v>
      </c>
      <c r="W248" s="58" t="n">
        <v>2</v>
      </c>
      <c r="X248" s="59" t="n">
        <f aca="false">W248*8/$T$245</f>
        <v>0.8</v>
      </c>
      <c r="Y248" s="30" t="n">
        <v>28.94</v>
      </c>
      <c r="Z248" s="30" t="n">
        <f aca="false">X248*Y248</f>
        <v>23.152</v>
      </c>
    </row>
    <row r="249" customFormat="false" ht="15" hidden="false" customHeight="false" outlineLevel="0" collapsed="false">
      <c r="R249" s="1" t="s">
        <v>291</v>
      </c>
      <c r="V249" s="57" t="s">
        <v>290</v>
      </c>
      <c r="W249" s="58" t="n">
        <v>1</v>
      </c>
      <c r="X249" s="59" t="n">
        <f aca="false">W249*8/$T$245</f>
        <v>0.4</v>
      </c>
      <c r="Y249" s="30" t="n">
        <v>23.6</v>
      </c>
      <c r="Z249" s="30" t="n">
        <f aca="false">X249*Y249</f>
        <v>9.44</v>
      </c>
    </row>
    <row r="250" customFormat="false" ht="15" hidden="false" customHeight="false" outlineLevel="0" collapsed="false">
      <c r="R250" s="1" t="s">
        <v>292</v>
      </c>
      <c r="V250" s="57" t="s">
        <v>290</v>
      </c>
      <c r="W250" s="58" t="n">
        <v>6</v>
      </c>
      <c r="X250" s="59" t="n">
        <f aca="false">W250*8/$T$245</f>
        <v>2.4</v>
      </c>
      <c r="Y250" s="30" t="n">
        <v>21.36</v>
      </c>
      <c r="Z250" s="30" t="n">
        <f aca="false">X250*Y250</f>
        <v>51.264</v>
      </c>
    </row>
    <row r="251" customFormat="false" ht="15" hidden="false" customHeight="false" outlineLevel="0" collapsed="false">
      <c r="V251" s="57"/>
      <c r="W251" s="58"/>
      <c r="X251" s="59"/>
      <c r="Z251" s="89" t="n">
        <f aca="false">SUM(Z248:Z250)</f>
        <v>83.856</v>
      </c>
    </row>
    <row r="252" customFormat="false" ht="15" hidden="false" customHeight="false" outlineLevel="0" collapsed="false">
      <c r="R252" s="90" t="s">
        <v>652</v>
      </c>
      <c r="V252" s="57"/>
      <c r="W252" s="58"/>
      <c r="X252" s="59"/>
      <c r="Z252" s="30"/>
    </row>
    <row r="253" customFormat="false" ht="15" hidden="false" customHeight="false" outlineLevel="0" collapsed="false">
      <c r="R253" s="1" t="s">
        <v>670</v>
      </c>
      <c r="V253" s="57" t="s">
        <v>202</v>
      </c>
      <c r="X253" s="59" t="n">
        <v>0.53</v>
      </c>
      <c r="Y253" s="30" t="n">
        <v>55.08</v>
      </c>
      <c r="Z253" s="30" t="n">
        <f aca="false">X253*Y253</f>
        <v>29.1924</v>
      </c>
    </row>
    <row r="254" customFormat="false" ht="15" hidden="false" customHeight="false" outlineLevel="0" collapsed="false">
      <c r="R254" s="1" t="s">
        <v>671</v>
      </c>
      <c r="V254" s="57" t="s">
        <v>202</v>
      </c>
      <c r="X254" s="59" t="n">
        <v>0.52</v>
      </c>
      <c r="Y254" s="30" t="n">
        <v>47</v>
      </c>
      <c r="Z254" s="30" t="n">
        <f aca="false">X254*Y254</f>
        <v>24.44</v>
      </c>
    </row>
    <row r="255" customFormat="false" ht="15" hidden="false" customHeight="false" outlineLevel="0" collapsed="false">
      <c r="R255" s="1" t="s">
        <v>305</v>
      </c>
      <c r="V255" s="57" t="s">
        <v>306</v>
      </c>
      <c r="X255" s="59" t="n">
        <v>9.73</v>
      </c>
      <c r="Y255" s="30" t="n">
        <v>24.52</v>
      </c>
      <c r="Z255" s="30" t="n">
        <f aca="false">X255*Y255</f>
        <v>238.5796</v>
      </c>
    </row>
    <row r="256" customFormat="false" ht="15" hidden="false" customHeight="false" outlineLevel="0" collapsed="false">
      <c r="R256" s="1" t="s">
        <v>654</v>
      </c>
      <c r="V256" s="57" t="s">
        <v>202</v>
      </c>
      <c r="X256" s="59" t="n">
        <v>0.186</v>
      </c>
      <c r="Y256" s="1" t="n">
        <v>6.14</v>
      </c>
      <c r="Z256" s="30" t="n">
        <f aca="false">X256*Y256</f>
        <v>1.14204</v>
      </c>
    </row>
    <row r="257" customFormat="false" ht="15" hidden="false" customHeight="false" outlineLevel="0" collapsed="false">
      <c r="R257" s="1" t="s">
        <v>663</v>
      </c>
      <c r="V257" s="57" t="s">
        <v>437</v>
      </c>
      <c r="X257" s="59" t="n">
        <v>0.36</v>
      </c>
      <c r="Y257" s="1" t="n">
        <v>13.93</v>
      </c>
      <c r="Z257" s="30" t="n">
        <f aca="false">X257*Y257</f>
        <v>5.0148</v>
      </c>
    </row>
    <row r="258" customFormat="false" ht="15" hidden="false" customHeight="false" outlineLevel="0" collapsed="false">
      <c r="R258" s="1" t="s">
        <v>672</v>
      </c>
      <c r="V258" s="57" t="s">
        <v>437</v>
      </c>
      <c r="X258" s="59" t="n">
        <v>1.5</v>
      </c>
      <c r="Y258" s="71" t="n">
        <v>27.88</v>
      </c>
      <c r="Z258" s="30" t="n">
        <f aca="false">X258*Y258</f>
        <v>41.82</v>
      </c>
    </row>
    <row r="259" customFormat="false" ht="15" hidden="false" customHeight="false" outlineLevel="0" collapsed="false">
      <c r="V259" s="57"/>
      <c r="X259" s="59"/>
      <c r="Y259" s="30"/>
      <c r="Z259" s="89" t="n">
        <f aca="false">SUM(Z253:Z258)</f>
        <v>340.18884</v>
      </c>
    </row>
    <row r="260" customFormat="false" ht="15" hidden="false" customHeight="false" outlineLevel="0" collapsed="false">
      <c r="R260" s="90" t="s">
        <v>308</v>
      </c>
    </row>
    <row r="261" customFormat="false" ht="15" hidden="false" customHeight="false" outlineLevel="0" collapsed="false">
      <c r="R261" s="1" t="s">
        <v>309</v>
      </c>
      <c r="V261" s="57" t="s">
        <v>310</v>
      </c>
      <c r="X261" s="59" t="n">
        <v>3</v>
      </c>
      <c r="Y261" s="30" t="n">
        <f aca="false">Z251</f>
        <v>83.856</v>
      </c>
      <c r="Z261" s="30" t="n">
        <f aca="false">X261%*Y261</f>
        <v>2.51568</v>
      </c>
    </row>
    <row r="262" customFormat="false" ht="15" hidden="false" customHeight="false" outlineLevel="0" collapsed="false">
      <c r="R262" s="1" t="s">
        <v>665</v>
      </c>
      <c r="V262" s="57" t="s">
        <v>337</v>
      </c>
      <c r="W262" s="58" t="n">
        <v>1</v>
      </c>
      <c r="X262" s="59" t="n">
        <f aca="false">W262*8/$T$245</f>
        <v>0.4</v>
      </c>
      <c r="Y262" s="30" t="n">
        <v>25.63</v>
      </c>
      <c r="Z262" s="30" t="n">
        <f aca="false">X262*Y262</f>
        <v>10.252</v>
      </c>
    </row>
    <row r="263" customFormat="false" ht="15" hidden="false" customHeight="false" outlineLevel="0" collapsed="false">
      <c r="R263" s="1" t="s">
        <v>673</v>
      </c>
      <c r="V263" s="57" t="s">
        <v>337</v>
      </c>
      <c r="W263" s="58" t="n">
        <v>0.5</v>
      </c>
      <c r="X263" s="59" t="n">
        <f aca="false">W263*8/$T$245</f>
        <v>0.2</v>
      </c>
      <c r="Y263" s="30" t="n">
        <v>7.07</v>
      </c>
      <c r="Z263" s="30" t="n">
        <f aca="false">X263*Y263</f>
        <v>1.414</v>
      </c>
    </row>
    <row r="264" customFormat="false" ht="15" hidden="false" customHeight="false" outlineLevel="0" collapsed="false">
      <c r="Q264" s="62"/>
      <c r="R264" s="62"/>
      <c r="S264" s="62"/>
      <c r="T264" s="62"/>
      <c r="U264" s="62"/>
      <c r="V264" s="62"/>
      <c r="W264" s="62"/>
      <c r="X264" s="62"/>
      <c r="Y264" s="62"/>
      <c r="Z264" s="91" t="n">
        <f aca="false">SUM(Z261:Z263)</f>
        <v>14.18168</v>
      </c>
    </row>
    <row r="265" customFormat="false" ht="15" hidden="false" customHeight="false" outlineLevel="0" collapsed="false">
      <c r="Z265" s="89"/>
    </row>
    <row r="266" customFormat="false" ht="15" hidden="false" customHeight="false" outlineLevel="0" collapsed="false">
      <c r="Q266" s="85" t="s">
        <v>276</v>
      </c>
      <c r="R266" s="85"/>
      <c r="S266" s="85" t="s">
        <v>511</v>
      </c>
      <c r="T266" s="85"/>
    </row>
    <row r="267" customFormat="false" ht="15" hidden="false" customHeight="false" outlineLevel="0" collapsed="false">
      <c r="Q267" s="85" t="s">
        <v>277</v>
      </c>
      <c r="R267" s="85" t="s">
        <v>278</v>
      </c>
      <c r="S267" s="87" t="s">
        <v>279</v>
      </c>
      <c r="T267" s="88" t="n">
        <v>20</v>
      </c>
      <c r="U267" s="87" t="s">
        <v>280</v>
      </c>
      <c r="V267" s="88" t="n">
        <f aca="false">T267</f>
        <v>20</v>
      </c>
      <c r="W267" s="85" t="s">
        <v>281</v>
      </c>
      <c r="Y267" s="87" t="s">
        <v>132</v>
      </c>
      <c r="Z267" s="89" t="n">
        <f aca="false">Z272+Z277+Z280</f>
        <v>64.02696</v>
      </c>
    </row>
    <row r="268" customFormat="false" ht="15" hidden="false" customHeight="false" outlineLevel="0" collapsed="false">
      <c r="Q268" s="85" t="s">
        <v>282</v>
      </c>
      <c r="R268" s="85" t="s">
        <v>283</v>
      </c>
      <c r="V268" s="87" t="s">
        <v>121</v>
      </c>
      <c r="W268" s="87" t="s">
        <v>284</v>
      </c>
      <c r="X268" s="87" t="s">
        <v>285</v>
      </c>
      <c r="Y268" s="87" t="s">
        <v>286</v>
      </c>
      <c r="Z268" s="87" t="s">
        <v>287</v>
      </c>
    </row>
    <row r="269" customFormat="false" ht="15" hidden="false" customHeight="false" outlineLevel="0" collapsed="false">
      <c r="R269" s="90" t="s">
        <v>288</v>
      </c>
      <c r="AC269" s="30"/>
    </row>
    <row r="270" customFormat="false" ht="15" hidden="false" customHeight="false" outlineLevel="0" collapsed="false">
      <c r="R270" s="1" t="s">
        <v>289</v>
      </c>
      <c r="V270" s="57" t="s">
        <v>290</v>
      </c>
      <c r="W270" s="58" t="n">
        <v>2</v>
      </c>
      <c r="X270" s="59" t="n">
        <f aca="false">W270*8/$T$267</f>
        <v>0.8</v>
      </c>
      <c r="Y270" s="30" t="n">
        <v>28.94</v>
      </c>
      <c r="Z270" s="30" t="n">
        <f aca="false">X270*Y270</f>
        <v>23.152</v>
      </c>
      <c r="AC270" s="30"/>
    </row>
    <row r="271" customFormat="false" ht="15" hidden="false" customHeight="false" outlineLevel="0" collapsed="false">
      <c r="R271" s="1" t="s">
        <v>291</v>
      </c>
      <c r="V271" s="57" t="s">
        <v>290</v>
      </c>
      <c r="W271" s="58" t="n">
        <v>2</v>
      </c>
      <c r="X271" s="59" t="n">
        <f aca="false">W271*8/$T$267</f>
        <v>0.8</v>
      </c>
      <c r="Y271" s="30" t="n">
        <v>23.6</v>
      </c>
      <c r="Z271" s="30" t="n">
        <f aca="false">X271*Y271</f>
        <v>18.88</v>
      </c>
    </row>
    <row r="272" customFormat="false" ht="15" hidden="false" customHeight="false" outlineLevel="0" collapsed="false">
      <c r="V272" s="57"/>
      <c r="W272" s="58"/>
      <c r="X272" s="59"/>
      <c r="Z272" s="89" t="n">
        <f aca="false">SUM(Z270:Z271)</f>
        <v>42.032</v>
      </c>
    </row>
    <row r="273" customFormat="false" ht="15" hidden="false" customHeight="false" outlineLevel="0" collapsed="false">
      <c r="R273" s="90" t="s">
        <v>652</v>
      </c>
      <c r="V273" s="57"/>
      <c r="W273" s="58"/>
      <c r="X273" s="59"/>
      <c r="Z273" s="30"/>
    </row>
    <row r="274" customFormat="false" ht="15" hidden="false" customHeight="false" outlineLevel="0" collapsed="false">
      <c r="R274" s="1" t="s">
        <v>680</v>
      </c>
      <c r="V274" s="57" t="s">
        <v>295</v>
      </c>
      <c r="X274" s="59" t="n">
        <v>0.16</v>
      </c>
      <c r="Y274" s="30" t="n">
        <v>2.64</v>
      </c>
      <c r="Z274" s="30" t="n">
        <f aca="false">X274*Y274</f>
        <v>0.4224</v>
      </c>
    </row>
    <row r="275" customFormat="false" ht="15" hidden="false" customHeight="false" outlineLevel="0" collapsed="false">
      <c r="R275" s="1" t="s">
        <v>300</v>
      </c>
      <c r="V275" s="57" t="s">
        <v>295</v>
      </c>
      <c r="X275" s="59" t="n">
        <v>0.16</v>
      </c>
      <c r="Y275" s="30" t="n">
        <v>5.51</v>
      </c>
      <c r="Z275" s="30" t="n">
        <f aca="false">X275*Y275</f>
        <v>0.8816</v>
      </c>
    </row>
    <row r="276" customFormat="false" ht="15" hidden="false" customHeight="false" outlineLevel="0" collapsed="false">
      <c r="R276" s="1" t="s">
        <v>667</v>
      </c>
      <c r="V276" s="57" t="s">
        <v>304</v>
      </c>
      <c r="X276" s="59" t="n">
        <v>3.35</v>
      </c>
      <c r="Y276" s="30" t="n">
        <v>5.8</v>
      </c>
      <c r="Z276" s="30" t="n">
        <f aca="false">X276*Y276</f>
        <v>19.43</v>
      </c>
    </row>
    <row r="277" customFormat="false" ht="15" hidden="false" customHeight="false" outlineLevel="0" collapsed="false">
      <c r="V277" s="57"/>
      <c r="X277" s="59"/>
      <c r="Y277" s="30"/>
      <c r="Z277" s="89" t="n">
        <f aca="false">SUM(Z274:Z276)</f>
        <v>20.734</v>
      </c>
    </row>
    <row r="278" customFormat="false" ht="15" hidden="false" customHeight="false" outlineLevel="0" collapsed="false">
      <c r="R278" s="90" t="s">
        <v>308</v>
      </c>
    </row>
    <row r="279" customFormat="false" ht="15" hidden="false" customHeight="false" outlineLevel="0" collapsed="false">
      <c r="R279" s="1" t="s">
        <v>309</v>
      </c>
      <c r="V279" s="57" t="s">
        <v>310</v>
      </c>
      <c r="X279" s="59" t="n">
        <v>3</v>
      </c>
      <c r="Y279" s="30" t="n">
        <f aca="false">Z272</f>
        <v>42.032</v>
      </c>
      <c r="Z279" s="30" t="n">
        <f aca="false">X279%*Y279</f>
        <v>1.26096</v>
      </c>
    </row>
    <row r="280" customFormat="false" ht="15" hidden="false" customHeight="false" outlineLevel="0" collapsed="false">
      <c r="Q280" s="62"/>
      <c r="R280" s="62"/>
      <c r="S280" s="62"/>
      <c r="T280" s="62"/>
      <c r="U280" s="62"/>
      <c r="V280" s="62"/>
      <c r="W280" s="62"/>
      <c r="X280" s="62"/>
      <c r="Y280" s="62"/>
      <c r="Z280" s="91" t="n">
        <f aca="false">SUM(Z279)</f>
        <v>1.26096</v>
      </c>
    </row>
    <row r="281" customFormat="false" ht="15" hidden="false" customHeight="false" outlineLevel="0" collapsed="false">
      <c r="Z281" s="89"/>
    </row>
    <row r="282" customFormat="false" ht="15" hidden="false" customHeight="false" outlineLevel="0" collapsed="false">
      <c r="Q282" s="85" t="s">
        <v>276</v>
      </c>
      <c r="R282" s="85"/>
      <c r="S282" s="85" t="s">
        <v>681</v>
      </c>
      <c r="T282" s="85"/>
    </row>
    <row r="283" customFormat="false" ht="15" hidden="false" customHeight="false" outlineLevel="0" collapsed="false">
      <c r="Q283" s="85" t="s">
        <v>277</v>
      </c>
      <c r="R283" s="85" t="s">
        <v>674</v>
      </c>
      <c r="S283" s="87" t="s">
        <v>279</v>
      </c>
      <c r="T283" s="88" t="n">
        <v>250</v>
      </c>
      <c r="U283" s="87" t="s">
        <v>280</v>
      </c>
      <c r="V283" s="88" t="n">
        <f aca="false">T283</f>
        <v>250</v>
      </c>
      <c r="W283" s="85" t="s">
        <v>281</v>
      </c>
      <c r="Y283" s="87" t="s">
        <v>295</v>
      </c>
      <c r="Z283" s="89" t="n">
        <f aca="false">Z289+Z293+Z297</f>
        <v>5.5639628445</v>
      </c>
    </row>
    <row r="284" customFormat="false" ht="15" hidden="false" customHeight="false" outlineLevel="0" collapsed="false">
      <c r="Q284" s="85" t="s">
        <v>282</v>
      </c>
      <c r="R284" s="85" t="s">
        <v>283</v>
      </c>
      <c r="V284" s="87" t="s">
        <v>121</v>
      </c>
      <c r="W284" s="87" t="s">
        <v>284</v>
      </c>
      <c r="X284" s="87" t="s">
        <v>285</v>
      </c>
      <c r="Y284" s="87" t="s">
        <v>286</v>
      </c>
      <c r="Z284" s="87" t="s">
        <v>287</v>
      </c>
    </row>
    <row r="285" customFormat="false" ht="15" hidden="false" customHeight="false" outlineLevel="0" collapsed="false">
      <c r="R285" s="90" t="s">
        <v>288</v>
      </c>
      <c r="W285" s="58"/>
    </row>
    <row r="286" customFormat="false" ht="15" hidden="false" customHeight="false" outlineLevel="0" collapsed="false">
      <c r="R286" s="1" t="s">
        <v>289</v>
      </c>
      <c r="V286" s="57" t="s">
        <v>290</v>
      </c>
      <c r="W286" s="58" t="n">
        <v>1</v>
      </c>
      <c r="X286" s="101" t="n">
        <f aca="false">W286*8/$T$229</f>
        <v>0.032</v>
      </c>
      <c r="Y286" s="30" t="n">
        <v>28.94</v>
      </c>
      <c r="Z286" s="30" t="n">
        <f aca="false">X286*Y286</f>
        <v>0.92608</v>
      </c>
    </row>
    <row r="287" customFormat="false" ht="15" hidden="false" customHeight="false" outlineLevel="0" collapsed="false">
      <c r="R287" s="1" t="s">
        <v>675</v>
      </c>
      <c r="V287" s="57" t="s">
        <v>290</v>
      </c>
      <c r="W287" s="58" t="n">
        <v>1</v>
      </c>
      <c r="X287" s="101" t="n">
        <f aca="false">W287*8/$T$229</f>
        <v>0.032</v>
      </c>
      <c r="Y287" s="30" t="n">
        <v>23.6</v>
      </c>
      <c r="Z287" s="30" t="n">
        <f aca="false">X287*Y287</f>
        <v>0.7552</v>
      </c>
    </row>
    <row r="288" customFormat="false" ht="15" hidden="false" customHeight="false" outlineLevel="0" collapsed="false">
      <c r="V288" s="57"/>
      <c r="W288" s="58"/>
      <c r="X288" s="101"/>
      <c r="Y288" s="30"/>
      <c r="Z288" s="30"/>
    </row>
    <row r="289" customFormat="false" ht="15" hidden="false" customHeight="false" outlineLevel="0" collapsed="false">
      <c r="V289" s="57"/>
      <c r="W289" s="58"/>
      <c r="Z289" s="89" t="n">
        <f aca="false">SUM(Z286:Z288)</f>
        <v>1.68128</v>
      </c>
    </row>
    <row r="290" customFormat="false" ht="15" hidden="false" customHeight="false" outlineLevel="0" collapsed="false">
      <c r="R290" s="90" t="s">
        <v>293</v>
      </c>
      <c r="V290" s="57"/>
      <c r="W290" s="58"/>
      <c r="X290" s="101"/>
    </row>
    <row r="291" customFormat="false" ht="15" hidden="false" customHeight="false" outlineLevel="0" collapsed="false">
      <c r="R291" s="1" t="s">
        <v>294</v>
      </c>
      <c r="V291" s="57" t="s">
        <v>295</v>
      </c>
      <c r="W291" s="58"/>
      <c r="X291" s="101" t="n">
        <v>0.03</v>
      </c>
      <c r="Y291" s="30" t="n">
        <v>2.64</v>
      </c>
      <c r="Z291" s="30" t="n">
        <f aca="false">X291*Y291</f>
        <v>0.0792</v>
      </c>
    </row>
    <row r="292" customFormat="false" ht="15" hidden="false" customHeight="false" outlineLevel="0" collapsed="false">
      <c r="R292" s="1" t="s">
        <v>676</v>
      </c>
      <c r="V292" s="57" t="s">
        <v>295</v>
      </c>
      <c r="W292" s="58"/>
      <c r="X292" s="101" t="n">
        <v>1.05</v>
      </c>
      <c r="Y292" s="30" t="n">
        <f aca="false">1012.71*3.379/1000</f>
        <v>3.42194709</v>
      </c>
      <c r="Z292" s="30" t="n">
        <f aca="false">X292*Y292</f>
        <v>3.5930444445</v>
      </c>
    </row>
    <row r="293" customFormat="false" ht="15" hidden="false" customHeight="false" outlineLevel="0" collapsed="false">
      <c r="V293" s="57"/>
      <c r="W293" s="58"/>
      <c r="Z293" s="89" t="n">
        <f aca="false">SUM(Z291:Z292)</f>
        <v>3.6722444445</v>
      </c>
    </row>
    <row r="294" customFormat="false" ht="15" hidden="false" customHeight="false" outlineLevel="0" collapsed="false">
      <c r="R294" s="90" t="s">
        <v>317</v>
      </c>
      <c r="V294" s="57"/>
      <c r="W294" s="58"/>
    </row>
    <row r="295" customFormat="false" ht="15" hidden="false" customHeight="false" outlineLevel="0" collapsed="false">
      <c r="R295" s="1" t="s">
        <v>309</v>
      </c>
      <c r="V295" s="57" t="s">
        <v>310</v>
      </c>
      <c r="X295" s="59" t="n">
        <v>3</v>
      </c>
      <c r="Y295" s="30" t="n">
        <f aca="false">Z289</f>
        <v>1.68128</v>
      </c>
      <c r="Z295" s="30" t="n">
        <f aca="false">X295%*Y295</f>
        <v>0.0504384</v>
      </c>
    </row>
    <row r="296" customFormat="false" ht="15" hidden="false" customHeight="false" outlineLevel="0" collapsed="false">
      <c r="R296" s="1" t="s">
        <v>677</v>
      </c>
      <c r="V296" s="57" t="s">
        <v>290</v>
      </c>
      <c r="W296" s="58" t="n">
        <v>1</v>
      </c>
      <c r="X296" s="59" t="n">
        <f aca="false">W296*8/$T$283</f>
        <v>0.032</v>
      </c>
      <c r="Y296" s="65" t="n">
        <v>5</v>
      </c>
      <c r="Z296" s="30" t="n">
        <f aca="false">X296*Y296</f>
        <v>0.16</v>
      </c>
    </row>
    <row r="297" customFormat="false" ht="15" hidden="false" customHeight="false" outlineLevel="0" collapsed="false">
      <c r="Q297" s="62"/>
      <c r="R297" s="62"/>
      <c r="S297" s="62"/>
      <c r="T297" s="62"/>
      <c r="U297" s="62"/>
      <c r="V297" s="62"/>
      <c r="W297" s="62"/>
      <c r="X297" s="62"/>
      <c r="Y297" s="62"/>
      <c r="Z297" s="91" t="n">
        <f aca="false">SUM(Z295:Z296)</f>
        <v>0.2104384</v>
      </c>
    </row>
    <row r="300" customFormat="false" ht="15" hidden="false" customHeight="false" outlineLevel="0" collapsed="false">
      <c r="Q300" s="85" t="s">
        <v>276</v>
      </c>
      <c r="R300" s="85"/>
      <c r="S300" s="85" t="s">
        <v>682</v>
      </c>
      <c r="T300" s="85"/>
    </row>
    <row r="301" customFormat="false" ht="15" hidden="false" customHeight="false" outlineLevel="0" collapsed="false">
      <c r="Q301" s="85" t="s">
        <v>277</v>
      </c>
      <c r="R301" s="85" t="s">
        <v>415</v>
      </c>
      <c r="S301" s="87" t="s">
        <v>279</v>
      </c>
      <c r="T301" s="88" t="n">
        <v>15</v>
      </c>
      <c r="U301" s="87" t="s">
        <v>280</v>
      </c>
      <c r="V301" s="88" t="n">
        <f aca="false">T301</f>
        <v>15</v>
      </c>
      <c r="W301" s="85" t="s">
        <v>281</v>
      </c>
      <c r="Y301" s="87" t="s">
        <v>202</v>
      </c>
      <c r="Z301" s="89" t="n">
        <f aca="false">Z307+Z314+Z319</f>
        <v>424.9218</v>
      </c>
    </row>
    <row r="302" customFormat="false" ht="15" hidden="false" customHeight="false" outlineLevel="0" collapsed="false">
      <c r="Q302" s="85" t="s">
        <v>282</v>
      </c>
      <c r="R302" s="85" t="s">
        <v>283</v>
      </c>
      <c r="V302" s="87" t="s">
        <v>121</v>
      </c>
      <c r="W302" s="87" t="s">
        <v>284</v>
      </c>
      <c r="X302" s="87" t="s">
        <v>285</v>
      </c>
      <c r="Y302" s="87" t="s">
        <v>286</v>
      </c>
      <c r="Z302" s="87" t="s">
        <v>287</v>
      </c>
    </row>
    <row r="303" customFormat="false" ht="15" hidden="false" customHeight="false" outlineLevel="0" collapsed="false">
      <c r="R303" s="90" t="s">
        <v>288</v>
      </c>
    </row>
    <row r="304" customFormat="false" ht="15" hidden="false" customHeight="false" outlineLevel="0" collapsed="false">
      <c r="R304" s="1" t="s">
        <v>289</v>
      </c>
      <c r="V304" s="57" t="s">
        <v>290</v>
      </c>
      <c r="W304" s="58" t="n">
        <v>1</v>
      </c>
      <c r="X304" s="59" t="n">
        <f aca="false">W304*8/$T$301</f>
        <v>0.533333333333333</v>
      </c>
      <c r="Y304" s="30" t="n">
        <v>28.94</v>
      </c>
      <c r="Z304" s="30" t="n">
        <f aca="false">X304*Y304</f>
        <v>15.4346666666667</v>
      </c>
    </row>
    <row r="305" customFormat="false" ht="15" hidden="false" customHeight="false" outlineLevel="0" collapsed="false">
      <c r="R305" s="1" t="s">
        <v>291</v>
      </c>
      <c r="V305" s="57" t="s">
        <v>290</v>
      </c>
      <c r="W305" s="58" t="n">
        <v>1</v>
      </c>
      <c r="X305" s="59" t="n">
        <f aca="false">W305*8/$T$301</f>
        <v>0.533333333333333</v>
      </c>
      <c r="Y305" s="30" t="n">
        <v>23.6</v>
      </c>
      <c r="Z305" s="30" t="n">
        <f aca="false">X305*Y305</f>
        <v>12.5866666666667</v>
      </c>
    </row>
    <row r="306" customFormat="false" ht="15" hidden="false" customHeight="false" outlineLevel="0" collapsed="false">
      <c r="R306" s="1" t="s">
        <v>292</v>
      </c>
      <c r="V306" s="57" t="s">
        <v>290</v>
      </c>
      <c r="W306" s="58" t="n">
        <v>7</v>
      </c>
      <c r="X306" s="59" t="n">
        <f aca="false">W306*8/$T$301</f>
        <v>3.73333333333333</v>
      </c>
      <c r="Y306" s="30" t="n">
        <v>21.36</v>
      </c>
      <c r="Z306" s="30" t="n">
        <f aca="false">X306*Y306</f>
        <v>79.744</v>
      </c>
    </row>
    <row r="307" customFormat="false" ht="15" hidden="false" customHeight="false" outlineLevel="0" collapsed="false">
      <c r="V307" s="57"/>
      <c r="W307" s="58"/>
      <c r="X307" s="59"/>
      <c r="Z307" s="89" t="n">
        <f aca="false">SUM(Z304:Z306)</f>
        <v>107.765333333333</v>
      </c>
    </row>
    <row r="308" customFormat="false" ht="15" hidden="false" customHeight="false" outlineLevel="0" collapsed="false">
      <c r="R308" s="90" t="s">
        <v>652</v>
      </c>
      <c r="V308" s="57"/>
      <c r="W308" s="58"/>
      <c r="X308" s="59"/>
      <c r="Z308" s="30"/>
    </row>
    <row r="309" customFormat="false" ht="15" hidden="false" customHeight="false" outlineLevel="0" collapsed="false">
      <c r="R309" s="1" t="s">
        <v>670</v>
      </c>
      <c r="V309" s="57" t="s">
        <v>202</v>
      </c>
      <c r="X309" s="59" t="n">
        <v>0.53</v>
      </c>
      <c r="Y309" s="30" t="n">
        <v>55.08</v>
      </c>
      <c r="Z309" s="30" t="n">
        <f aca="false">X309*Y309</f>
        <v>29.1924</v>
      </c>
    </row>
    <row r="310" customFormat="false" ht="15" hidden="false" customHeight="false" outlineLevel="0" collapsed="false">
      <c r="R310" s="1" t="s">
        <v>671</v>
      </c>
      <c r="V310" s="57" t="s">
        <v>202</v>
      </c>
      <c r="X310" s="59" t="n">
        <v>0.52</v>
      </c>
      <c r="Y310" s="30" t="n">
        <v>47</v>
      </c>
      <c r="Z310" s="30" t="n">
        <f aca="false">X310*Y310</f>
        <v>24.44</v>
      </c>
    </row>
    <row r="311" customFormat="false" ht="15" hidden="false" customHeight="false" outlineLevel="0" collapsed="false">
      <c r="R311" s="1" t="s">
        <v>305</v>
      </c>
      <c r="V311" s="57" t="s">
        <v>306</v>
      </c>
      <c r="X311" s="59" t="n">
        <v>9.73</v>
      </c>
      <c r="Y311" s="30" t="n">
        <v>24.52</v>
      </c>
      <c r="Z311" s="30" t="n">
        <f aca="false">X311*Y311</f>
        <v>238.5796</v>
      </c>
    </row>
    <row r="312" customFormat="false" ht="15" hidden="false" customHeight="false" outlineLevel="0" collapsed="false">
      <c r="R312" s="1" t="s">
        <v>654</v>
      </c>
      <c r="V312" s="57" t="s">
        <v>202</v>
      </c>
      <c r="X312" s="59" t="n">
        <v>0.186</v>
      </c>
      <c r="Y312" s="1" t="n">
        <v>6.14</v>
      </c>
      <c r="Z312" s="30" t="n">
        <f aca="false">X312*Y312</f>
        <v>1.14204</v>
      </c>
    </row>
    <row r="313" customFormat="false" ht="15" hidden="false" customHeight="false" outlineLevel="0" collapsed="false">
      <c r="R313" s="1" t="s">
        <v>663</v>
      </c>
      <c r="V313" s="57" t="s">
        <v>437</v>
      </c>
      <c r="X313" s="59" t="n">
        <v>0.36</v>
      </c>
      <c r="Y313" s="1" t="n">
        <v>13.93</v>
      </c>
      <c r="Z313" s="30" t="n">
        <f aca="false">X313*Y313</f>
        <v>5.0148</v>
      </c>
    </row>
    <row r="314" customFormat="false" ht="15" hidden="false" customHeight="false" outlineLevel="0" collapsed="false">
      <c r="V314" s="57"/>
      <c r="X314" s="59"/>
      <c r="Y314" s="30"/>
      <c r="Z314" s="89" t="n">
        <f aca="false">SUM(Z309:Z313)</f>
        <v>298.36884</v>
      </c>
    </row>
    <row r="315" customFormat="false" ht="15" hidden="false" customHeight="false" outlineLevel="0" collapsed="false">
      <c r="R315" s="90" t="s">
        <v>308</v>
      </c>
    </row>
    <row r="316" customFormat="false" ht="15" hidden="false" customHeight="false" outlineLevel="0" collapsed="false">
      <c r="R316" s="1" t="s">
        <v>309</v>
      </c>
      <c r="V316" s="57" t="s">
        <v>310</v>
      </c>
      <c r="X316" s="59" t="n">
        <v>3</v>
      </c>
      <c r="Y316" s="30" t="n">
        <f aca="false">Z307</f>
        <v>107.765333333333</v>
      </c>
      <c r="Z316" s="30" t="n">
        <f aca="false">X316%*Y316</f>
        <v>3.23296</v>
      </c>
    </row>
    <row r="317" customFormat="false" ht="15" hidden="false" customHeight="false" outlineLevel="0" collapsed="false">
      <c r="R317" s="1" t="s">
        <v>665</v>
      </c>
      <c r="V317" s="57" t="s">
        <v>337</v>
      </c>
      <c r="W317" s="58" t="n">
        <v>1</v>
      </c>
      <c r="X317" s="59" t="n">
        <f aca="false">W317*8/$T$301</f>
        <v>0.533333333333333</v>
      </c>
      <c r="Y317" s="30" t="n">
        <v>25.63</v>
      </c>
      <c r="Z317" s="30" t="n">
        <f aca="false">X317*Y317</f>
        <v>13.6693333333333</v>
      </c>
    </row>
    <row r="318" customFormat="false" ht="15" hidden="false" customHeight="false" outlineLevel="0" collapsed="false">
      <c r="R318" s="1" t="s">
        <v>673</v>
      </c>
      <c r="V318" s="57" t="s">
        <v>337</v>
      </c>
      <c r="W318" s="58" t="n">
        <v>0.5</v>
      </c>
      <c r="X318" s="59" t="n">
        <f aca="false">W318*8/$T$301</f>
        <v>0.266666666666667</v>
      </c>
      <c r="Y318" s="30" t="n">
        <v>7.07</v>
      </c>
      <c r="Z318" s="30" t="n">
        <f aca="false">X318*Y318</f>
        <v>1.88533333333333</v>
      </c>
    </row>
    <row r="319" customFormat="false" ht="15" hidden="false" customHeight="false" outlineLevel="0" collapsed="false">
      <c r="Q319" s="62"/>
      <c r="R319" s="62"/>
      <c r="S319" s="62"/>
      <c r="T319" s="62"/>
      <c r="U319" s="62"/>
      <c r="V319" s="62"/>
      <c r="W319" s="62"/>
      <c r="X319" s="62"/>
      <c r="Y319" s="62"/>
      <c r="Z319" s="91" t="n">
        <f aca="false">SUM(Z316:Z318)</f>
        <v>18.7876266666667</v>
      </c>
    </row>
    <row r="321" customFormat="false" ht="15" hidden="false" customHeight="false" outlineLevel="0" collapsed="false">
      <c r="Q321" s="85" t="s">
        <v>276</v>
      </c>
      <c r="R321" s="85"/>
      <c r="S321" s="85" t="s">
        <v>683</v>
      </c>
      <c r="T321" s="85"/>
    </row>
    <row r="322" customFormat="false" ht="15" hidden="false" customHeight="false" outlineLevel="0" collapsed="false">
      <c r="Q322" s="85" t="s">
        <v>277</v>
      </c>
      <c r="R322" s="85" t="s">
        <v>278</v>
      </c>
      <c r="S322" s="87" t="s">
        <v>279</v>
      </c>
      <c r="T322" s="88" t="n">
        <v>20</v>
      </c>
      <c r="U322" s="87" t="s">
        <v>280</v>
      </c>
      <c r="V322" s="88" t="n">
        <f aca="false">T322</f>
        <v>20</v>
      </c>
      <c r="W322" s="85" t="s">
        <v>281</v>
      </c>
      <c r="Y322" s="87" t="s">
        <v>132</v>
      </c>
      <c r="Z322" s="89" t="n">
        <f aca="false">Z327+Z332+Z335</f>
        <v>42.64448</v>
      </c>
    </row>
    <row r="323" customFormat="false" ht="15" hidden="false" customHeight="false" outlineLevel="0" collapsed="false">
      <c r="Q323" s="85" t="s">
        <v>282</v>
      </c>
      <c r="R323" s="85" t="s">
        <v>283</v>
      </c>
      <c r="V323" s="87" t="s">
        <v>121</v>
      </c>
      <c r="W323" s="87" t="s">
        <v>284</v>
      </c>
      <c r="X323" s="87" t="s">
        <v>285</v>
      </c>
      <c r="Y323" s="87" t="s">
        <v>286</v>
      </c>
      <c r="Z323" s="87" t="s">
        <v>287</v>
      </c>
    </row>
    <row r="324" customFormat="false" ht="15" hidden="false" customHeight="false" outlineLevel="0" collapsed="false">
      <c r="R324" s="90" t="s">
        <v>288</v>
      </c>
    </row>
    <row r="325" customFormat="false" ht="15" hidden="false" customHeight="false" outlineLevel="0" collapsed="false">
      <c r="R325" s="1" t="s">
        <v>289</v>
      </c>
      <c r="V325" s="57" t="s">
        <v>290</v>
      </c>
      <c r="W325" s="58" t="n">
        <v>1</v>
      </c>
      <c r="X325" s="59" t="n">
        <f aca="false">W325*8/$T$322</f>
        <v>0.4</v>
      </c>
      <c r="Y325" s="30" t="n">
        <v>28.94</v>
      </c>
      <c r="Z325" s="30" t="n">
        <f aca="false">X325*Y325</f>
        <v>11.576</v>
      </c>
    </row>
    <row r="326" customFormat="false" ht="15" hidden="false" customHeight="false" outlineLevel="0" collapsed="false">
      <c r="R326" s="1" t="s">
        <v>291</v>
      </c>
      <c r="V326" s="57" t="s">
        <v>290</v>
      </c>
      <c r="W326" s="58" t="n">
        <v>1</v>
      </c>
      <c r="X326" s="59" t="n">
        <f aca="false">W326*8/$T$322</f>
        <v>0.4</v>
      </c>
      <c r="Y326" s="30" t="n">
        <v>23.6</v>
      </c>
      <c r="Z326" s="30" t="n">
        <f aca="false">X326*Y326</f>
        <v>9.44</v>
      </c>
    </row>
    <row r="327" customFormat="false" ht="15" hidden="false" customHeight="false" outlineLevel="0" collapsed="false">
      <c r="V327" s="57"/>
      <c r="W327" s="58"/>
      <c r="X327" s="59"/>
      <c r="Z327" s="89" t="n">
        <f aca="false">SUM(Z325:Z326)</f>
        <v>21.016</v>
      </c>
    </row>
    <row r="328" customFormat="false" ht="15" hidden="false" customHeight="false" outlineLevel="0" collapsed="false">
      <c r="R328" s="90" t="s">
        <v>652</v>
      </c>
      <c r="V328" s="57"/>
      <c r="W328" s="58"/>
      <c r="X328" s="59"/>
      <c r="Z328" s="30"/>
    </row>
    <row r="329" customFormat="false" ht="15" hidden="false" customHeight="false" outlineLevel="0" collapsed="false">
      <c r="R329" s="1" t="s">
        <v>680</v>
      </c>
      <c r="V329" s="57" t="s">
        <v>295</v>
      </c>
      <c r="X329" s="59" t="n">
        <v>0.26</v>
      </c>
      <c r="Y329" s="30" t="n">
        <v>2.64</v>
      </c>
      <c r="Z329" s="30" t="n">
        <f aca="false">X329*Y329</f>
        <v>0.6864</v>
      </c>
    </row>
    <row r="330" customFormat="false" ht="15" hidden="false" customHeight="false" outlineLevel="0" collapsed="false">
      <c r="R330" s="1" t="s">
        <v>300</v>
      </c>
      <c r="V330" s="57" t="s">
        <v>295</v>
      </c>
      <c r="X330" s="59" t="n">
        <v>0.16</v>
      </c>
      <c r="Y330" s="30" t="n">
        <v>5.51</v>
      </c>
      <c r="Z330" s="30" t="n">
        <f aca="false">X330*Y330</f>
        <v>0.8816</v>
      </c>
    </row>
    <row r="331" customFormat="false" ht="15" hidden="false" customHeight="false" outlineLevel="0" collapsed="false">
      <c r="R331" s="1" t="s">
        <v>667</v>
      </c>
      <c r="V331" s="57" t="s">
        <v>304</v>
      </c>
      <c r="X331" s="59" t="n">
        <v>3.35</v>
      </c>
      <c r="Y331" s="30" t="n">
        <v>5.8</v>
      </c>
      <c r="Z331" s="30" t="n">
        <f aca="false">X331*Y331</f>
        <v>19.43</v>
      </c>
    </row>
    <row r="332" customFormat="false" ht="15" hidden="false" customHeight="false" outlineLevel="0" collapsed="false">
      <c r="V332" s="57"/>
      <c r="X332" s="59"/>
      <c r="Y332" s="30"/>
      <c r="Z332" s="89" t="n">
        <f aca="false">SUM(Z329:Z331)</f>
        <v>20.998</v>
      </c>
    </row>
    <row r="333" customFormat="false" ht="15" hidden="false" customHeight="false" outlineLevel="0" collapsed="false">
      <c r="R333" s="90" t="s">
        <v>308</v>
      </c>
    </row>
    <row r="334" customFormat="false" ht="15" hidden="false" customHeight="false" outlineLevel="0" collapsed="false">
      <c r="R334" s="1" t="s">
        <v>309</v>
      </c>
      <c r="V334" s="57" t="s">
        <v>310</v>
      </c>
      <c r="X334" s="59" t="n">
        <v>3</v>
      </c>
      <c r="Y334" s="30" t="n">
        <f aca="false">Z327</f>
        <v>21.016</v>
      </c>
      <c r="Z334" s="30" t="n">
        <f aca="false">X334%*Y334</f>
        <v>0.63048</v>
      </c>
    </row>
    <row r="335" customFormat="false" ht="15" hidden="false" customHeight="false" outlineLevel="0" collapsed="false">
      <c r="Q335" s="62"/>
      <c r="R335" s="62"/>
      <c r="S335" s="62"/>
      <c r="T335" s="62"/>
      <c r="U335" s="62"/>
      <c r="V335" s="62"/>
      <c r="W335" s="62"/>
      <c r="X335" s="62"/>
      <c r="Y335" s="62"/>
      <c r="Z335" s="91" t="n">
        <f aca="false">SUM(Z334)</f>
        <v>0.63048</v>
      </c>
    </row>
    <row r="337" customFormat="false" ht="15" hidden="false" customHeight="false" outlineLevel="0" collapsed="false">
      <c r="Q337" s="85" t="s">
        <v>276</v>
      </c>
      <c r="R337" s="85"/>
      <c r="S337" s="85" t="s">
        <v>684</v>
      </c>
      <c r="T337" s="85"/>
    </row>
    <row r="338" customFormat="false" ht="15" hidden="false" customHeight="false" outlineLevel="0" collapsed="false">
      <c r="Q338" s="85" t="s">
        <v>277</v>
      </c>
      <c r="R338" s="85" t="s">
        <v>674</v>
      </c>
      <c r="S338" s="87" t="s">
        <v>279</v>
      </c>
      <c r="T338" s="88" t="n">
        <v>250</v>
      </c>
      <c r="U338" s="87" t="s">
        <v>280</v>
      </c>
      <c r="V338" s="88" t="n">
        <f aca="false">T338</f>
        <v>250</v>
      </c>
      <c r="W338" s="85" t="s">
        <v>281</v>
      </c>
      <c r="Y338" s="87" t="s">
        <v>295</v>
      </c>
      <c r="Z338" s="89" t="n">
        <f aca="false">Z343+Z347+Z351</f>
        <v>5.5639628445</v>
      </c>
    </row>
    <row r="339" customFormat="false" ht="15" hidden="false" customHeight="false" outlineLevel="0" collapsed="false">
      <c r="Q339" s="85" t="s">
        <v>282</v>
      </c>
      <c r="R339" s="85" t="s">
        <v>283</v>
      </c>
      <c r="V339" s="87" t="s">
        <v>121</v>
      </c>
      <c r="W339" s="87" t="s">
        <v>284</v>
      </c>
      <c r="X339" s="87" t="s">
        <v>285</v>
      </c>
      <c r="Y339" s="87" t="s">
        <v>286</v>
      </c>
      <c r="Z339" s="87" t="s">
        <v>287</v>
      </c>
    </row>
    <row r="340" customFormat="false" ht="15" hidden="false" customHeight="false" outlineLevel="0" collapsed="false">
      <c r="R340" s="90" t="s">
        <v>288</v>
      </c>
      <c r="W340" s="58"/>
    </row>
    <row r="341" customFormat="false" ht="15" hidden="false" customHeight="false" outlineLevel="0" collapsed="false">
      <c r="R341" s="1" t="s">
        <v>289</v>
      </c>
      <c r="V341" s="57" t="s">
        <v>290</v>
      </c>
      <c r="W341" s="58" t="n">
        <v>1</v>
      </c>
      <c r="X341" s="59" t="n">
        <f aca="false">W341*8/$T$338</f>
        <v>0.032</v>
      </c>
      <c r="Y341" s="30" t="n">
        <v>28.94</v>
      </c>
      <c r="Z341" s="30" t="n">
        <f aca="false">X341*Y341</f>
        <v>0.92608</v>
      </c>
    </row>
    <row r="342" customFormat="false" ht="15" hidden="false" customHeight="false" outlineLevel="0" collapsed="false">
      <c r="R342" s="1" t="s">
        <v>675</v>
      </c>
      <c r="V342" s="57" t="s">
        <v>290</v>
      </c>
      <c r="W342" s="58" t="n">
        <v>1</v>
      </c>
      <c r="X342" s="59" t="n">
        <f aca="false">W342*8/$T$338</f>
        <v>0.032</v>
      </c>
      <c r="Y342" s="30" t="n">
        <v>23.6</v>
      </c>
      <c r="Z342" s="30" t="n">
        <f aca="false">X342*Y342</f>
        <v>0.7552</v>
      </c>
    </row>
    <row r="343" customFormat="false" ht="15" hidden="false" customHeight="false" outlineLevel="0" collapsed="false">
      <c r="V343" s="57"/>
      <c r="W343" s="58"/>
      <c r="Z343" s="89" t="n">
        <f aca="false">SUM(Z341:Z342)</f>
        <v>1.68128</v>
      </c>
    </row>
    <row r="344" customFormat="false" ht="15" hidden="false" customHeight="false" outlineLevel="0" collapsed="false">
      <c r="R344" s="90" t="s">
        <v>293</v>
      </c>
      <c r="V344" s="57"/>
      <c r="W344" s="58"/>
      <c r="X344" s="101"/>
    </row>
    <row r="345" customFormat="false" ht="15" hidden="false" customHeight="false" outlineLevel="0" collapsed="false">
      <c r="R345" s="1" t="s">
        <v>294</v>
      </c>
      <c r="V345" s="57" t="s">
        <v>295</v>
      </c>
      <c r="W345" s="58"/>
      <c r="X345" s="101" t="n">
        <v>0.03</v>
      </c>
      <c r="Y345" s="30" t="n">
        <v>2.64</v>
      </c>
      <c r="Z345" s="30" t="n">
        <f aca="false">X345*Y345</f>
        <v>0.0792</v>
      </c>
    </row>
    <row r="346" customFormat="false" ht="15" hidden="false" customHeight="false" outlineLevel="0" collapsed="false">
      <c r="R346" s="1" t="s">
        <v>676</v>
      </c>
      <c r="V346" s="57" t="s">
        <v>295</v>
      </c>
      <c r="W346" s="58"/>
      <c r="X346" s="101" t="n">
        <v>1.05</v>
      </c>
      <c r="Y346" s="30" t="n">
        <f aca="false">1012.71*3.379/1000</f>
        <v>3.42194709</v>
      </c>
      <c r="Z346" s="30" t="n">
        <f aca="false">X346*Y346</f>
        <v>3.5930444445</v>
      </c>
    </row>
    <row r="347" customFormat="false" ht="15" hidden="false" customHeight="false" outlineLevel="0" collapsed="false">
      <c r="V347" s="57"/>
      <c r="W347" s="58"/>
      <c r="Z347" s="89" t="n">
        <f aca="false">SUM(Z345:Z346)</f>
        <v>3.6722444445</v>
      </c>
    </row>
    <row r="348" customFormat="false" ht="15" hidden="false" customHeight="false" outlineLevel="0" collapsed="false">
      <c r="R348" s="90" t="s">
        <v>317</v>
      </c>
      <c r="V348" s="57"/>
      <c r="W348" s="58"/>
    </row>
    <row r="349" customFormat="false" ht="15" hidden="false" customHeight="false" outlineLevel="0" collapsed="false">
      <c r="R349" s="1" t="s">
        <v>309</v>
      </c>
      <c r="V349" s="57" t="s">
        <v>310</v>
      </c>
      <c r="X349" s="59" t="n">
        <v>3</v>
      </c>
      <c r="Y349" s="30" t="n">
        <f aca="false">Z343</f>
        <v>1.68128</v>
      </c>
      <c r="Z349" s="30" t="n">
        <f aca="false">X349%*Y349</f>
        <v>0.0504384</v>
      </c>
    </row>
    <row r="350" customFormat="false" ht="15" hidden="false" customHeight="false" outlineLevel="0" collapsed="false">
      <c r="R350" s="1" t="s">
        <v>677</v>
      </c>
      <c r="V350" s="57" t="s">
        <v>290</v>
      </c>
      <c r="W350" s="58" t="n">
        <v>1</v>
      </c>
      <c r="X350" s="59" t="n">
        <f aca="false">W350*8/$T$338</f>
        <v>0.032</v>
      </c>
      <c r="Y350" s="65" t="n">
        <v>5</v>
      </c>
      <c r="Z350" s="30" t="n">
        <f aca="false">X350*Y350</f>
        <v>0.16</v>
      </c>
    </row>
    <row r="351" customFormat="false" ht="15" hidden="false" customHeight="false" outlineLevel="0" collapsed="false">
      <c r="Q351" s="62"/>
      <c r="R351" s="62"/>
      <c r="S351" s="62"/>
      <c r="T351" s="62"/>
      <c r="U351" s="62"/>
      <c r="V351" s="62"/>
      <c r="W351" s="62"/>
      <c r="X351" s="62"/>
      <c r="Y351" s="62"/>
      <c r="Z351" s="91" t="n">
        <f aca="false">SUM(Z349:Z350)</f>
        <v>0.2104384</v>
      </c>
    </row>
    <row r="352" customFormat="false" ht="15" hidden="false" customHeight="false" outlineLevel="0" collapsed="false">
      <c r="Z352" s="89"/>
    </row>
    <row r="354" customFormat="false" ht="15" hidden="false" customHeight="false" outlineLevel="0" collapsed="false">
      <c r="Q354" s="85"/>
      <c r="R354" s="85"/>
      <c r="S354" s="85"/>
      <c r="T354" s="85"/>
    </row>
    <row r="355" customFormat="false" ht="15" hidden="false" customHeight="false" outlineLevel="0" collapsed="false">
      <c r="Q355" s="85"/>
      <c r="R355" s="85"/>
      <c r="S355" s="87"/>
      <c r="T355" s="88"/>
      <c r="U355" s="87"/>
      <c r="V355" s="88"/>
      <c r="W355" s="85"/>
      <c r="Y355" s="87"/>
      <c r="Z355" s="8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3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3" activeCellId="0" sqref="N3"/>
    </sheetView>
  </sheetViews>
  <sheetFormatPr defaultColWidth="8.59765625" defaultRowHeight="15" zeroHeight="false" outlineLevelRow="0" outlineLevelCol="0"/>
  <cols>
    <col collapsed="false" customWidth="true" hidden="false" outlineLevel="0" max="6" min="6" style="1" width="9.3"/>
    <col collapsed="false" customWidth="true" hidden="false" outlineLevel="0" max="8" min="8" style="1" width="10.43"/>
    <col collapsed="false" customWidth="true" hidden="false" outlineLevel="0" max="9" min="9" style="1" width="11.43"/>
    <col collapsed="false" customWidth="true" hidden="false" outlineLevel="0" max="10" min="10" style="1" width="14.86"/>
    <col collapsed="false" customWidth="true" hidden="false" outlineLevel="0" max="20" min="20" style="1" width="9.3"/>
    <col collapsed="false" customWidth="true" hidden="false" outlineLevel="0" max="22" min="22" style="1" width="9.3"/>
    <col collapsed="false" customWidth="true" hidden="false" outlineLevel="0" max="26" min="26" style="1" width="10.43"/>
  </cols>
  <sheetData>
    <row r="1" customFormat="false" ht="15" hidden="false" customHeight="false" outlineLevel="0" collapsed="false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customFormat="false" ht="15" hidden="false" customHeight="false" outlineLevel="0" collapsed="false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234" t="s">
        <v>1383</v>
      </c>
      <c r="N2" s="221" t="n">
        <f aca="false">SUMIF('Datos iniciales '!D5:D8,"platea de cimentación",'Datos iniciales '!B5:B8)</f>
        <v>0</v>
      </c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</row>
    <row r="3" customFormat="false" ht="15" hidden="false" customHeight="false" outlineLevel="0" collapsed="false">
      <c r="A3" s="75"/>
      <c r="B3" s="75"/>
      <c r="C3" s="75"/>
      <c r="D3" s="75"/>
      <c r="E3" s="38" t="s">
        <v>1222</v>
      </c>
      <c r="F3" s="38" t="s">
        <v>1223</v>
      </c>
      <c r="G3" s="38" t="s">
        <v>121</v>
      </c>
      <c r="H3" s="38" t="s">
        <v>122</v>
      </c>
      <c r="I3" s="38" t="s">
        <v>123</v>
      </c>
      <c r="J3" s="38" t="s">
        <v>452</v>
      </c>
      <c r="K3" s="38" t="s">
        <v>453</v>
      </c>
      <c r="L3" s="75"/>
      <c r="M3" s="235" t="s">
        <v>669</v>
      </c>
      <c r="N3" s="236" t="s">
        <v>669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</row>
    <row r="4" customFormat="false" ht="15" hidden="false" customHeight="false" outlineLevel="0" collapsed="false">
      <c r="A4" s="75"/>
      <c r="B4" s="75"/>
      <c r="C4" s="75"/>
      <c r="D4" s="75"/>
      <c r="E4" s="75"/>
      <c r="F4" s="75"/>
      <c r="G4" s="160"/>
      <c r="H4" s="76"/>
      <c r="I4" s="75"/>
      <c r="J4" s="75"/>
      <c r="K4" s="75" t="n">
        <f aca="false">SUM(J4:J37)</f>
        <v>0</v>
      </c>
      <c r="L4" s="75"/>
      <c r="M4" s="235" t="s">
        <v>1373</v>
      </c>
      <c r="N4" s="236" t="e">
        <f aca="false">K4/N2</f>
        <v>#DIV/0!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</row>
    <row r="5" customFormat="false" ht="15" hidden="false" customHeight="false" outlineLevel="0" collapsed="false">
      <c r="A5" s="75"/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</row>
    <row r="6" customFormat="false" ht="15" hidden="false" customHeight="false" outlineLevel="0" collapsed="false">
      <c r="A6" s="27"/>
      <c r="B6" s="27"/>
      <c r="C6" s="75"/>
      <c r="D6" s="75"/>
      <c r="E6" s="75"/>
      <c r="F6" s="75"/>
      <c r="G6" s="237"/>
      <c r="H6" s="75"/>
      <c r="I6" s="75"/>
      <c r="J6" s="75"/>
      <c r="K6" s="75"/>
      <c r="Q6" s="75"/>
      <c r="R6" s="75"/>
      <c r="S6" s="75"/>
      <c r="T6" s="75"/>
      <c r="U6" s="75"/>
      <c r="V6" s="75"/>
      <c r="W6" s="75"/>
      <c r="X6" s="75"/>
      <c r="Y6" s="237"/>
      <c r="Z6" s="238"/>
      <c r="AA6" s="75"/>
    </row>
    <row r="7" customFormat="false" ht="15" hidden="false" customHeight="false" outlineLevel="0" collapsed="false">
      <c r="A7" s="75"/>
      <c r="B7" s="75"/>
      <c r="C7" s="75"/>
      <c r="D7" s="75"/>
      <c r="E7" s="75"/>
      <c r="F7" s="223"/>
      <c r="G7" s="75"/>
      <c r="H7" s="223"/>
      <c r="I7" s="223"/>
      <c r="J7" s="223"/>
      <c r="K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</row>
    <row r="8" customFormat="false" ht="15" hidden="false" customHeight="false" outlineLevel="0" collapsed="false">
      <c r="A8" s="27" t="s">
        <v>455</v>
      </c>
      <c r="B8" s="27"/>
      <c r="C8" s="75"/>
      <c r="D8" s="75"/>
      <c r="E8" s="75"/>
      <c r="F8" s="223"/>
      <c r="G8" s="75"/>
      <c r="H8" s="223"/>
      <c r="I8" s="75"/>
      <c r="J8" s="223"/>
      <c r="K8" s="75"/>
      <c r="L8" s="75"/>
      <c r="M8" s="75"/>
      <c r="Q8" s="237" t="s">
        <v>276</v>
      </c>
      <c r="R8" s="237"/>
      <c r="S8" s="237" t="s">
        <v>457</v>
      </c>
      <c r="T8" s="237"/>
      <c r="U8" s="237"/>
      <c r="V8" s="237"/>
      <c r="W8" s="75"/>
      <c r="X8" s="75"/>
      <c r="Y8" s="75"/>
      <c r="Z8" s="75"/>
      <c r="AA8" s="75"/>
    </row>
    <row r="9" customFormat="false" ht="15" hidden="false" customHeight="false" outlineLevel="0" collapsed="false">
      <c r="A9" s="239" t="s">
        <v>457</v>
      </c>
      <c r="B9" s="75"/>
      <c r="C9" s="75"/>
      <c r="D9" s="75"/>
      <c r="E9" s="75"/>
      <c r="F9" s="223" t="n">
        <v>3.4</v>
      </c>
      <c r="G9" s="75" t="s">
        <v>202</v>
      </c>
      <c r="H9" s="223" t="n">
        <f aca="false">F9*$N$2</f>
        <v>0</v>
      </c>
      <c r="I9" s="223" t="n">
        <f aca="false">Z9</f>
        <v>8.45820448</v>
      </c>
      <c r="J9" s="223" t="n">
        <f aca="false">H9*I9</f>
        <v>0</v>
      </c>
      <c r="L9" s="75"/>
      <c r="M9" s="75"/>
      <c r="N9" s="75"/>
      <c r="O9" s="75"/>
      <c r="P9" s="75"/>
      <c r="Q9" s="237" t="s">
        <v>277</v>
      </c>
      <c r="R9" s="237" t="s">
        <v>415</v>
      </c>
      <c r="S9" s="237" t="s">
        <v>279</v>
      </c>
      <c r="T9" s="240" t="n">
        <v>250</v>
      </c>
      <c r="U9" s="240" t="s">
        <v>280</v>
      </c>
      <c r="V9" s="240" t="n">
        <f aca="false">T9</f>
        <v>250</v>
      </c>
      <c r="W9" s="237" t="s">
        <v>281</v>
      </c>
      <c r="X9" s="237"/>
      <c r="Y9" s="237" t="s">
        <v>202</v>
      </c>
      <c r="Z9" s="238" t="n">
        <f aca="false">Z15+Z19</f>
        <v>8.45820448</v>
      </c>
      <c r="AA9" s="75"/>
    </row>
    <row r="10" customFormat="false" ht="15" hidden="false" customHeight="false" outlineLevel="0" collapsed="false">
      <c r="A10" s="239" t="s">
        <v>459</v>
      </c>
      <c r="B10" s="75"/>
      <c r="C10" s="75"/>
      <c r="D10" s="75"/>
      <c r="E10" s="75"/>
      <c r="F10" s="223" t="n">
        <v>0.03</v>
      </c>
      <c r="G10" s="75" t="s">
        <v>202</v>
      </c>
      <c r="H10" s="223" t="n">
        <f aca="false">F10*$N$2</f>
        <v>0</v>
      </c>
      <c r="I10" s="223" t="n">
        <f aca="false">Z25</f>
        <v>49.40498</v>
      </c>
      <c r="J10" s="223" t="n">
        <f aca="false">H10*I10</f>
        <v>0</v>
      </c>
      <c r="K10" s="75"/>
      <c r="L10" s="75"/>
      <c r="M10" s="75"/>
      <c r="N10" s="75"/>
      <c r="O10" s="75"/>
      <c r="P10" s="75"/>
      <c r="Q10" s="237" t="s">
        <v>282</v>
      </c>
      <c r="R10" s="237" t="s">
        <v>283</v>
      </c>
      <c r="S10" s="237"/>
      <c r="T10" s="75"/>
      <c r="U10" s="75"/>
      <c r="V10" s="237" t="s">
        <v>121</v>
      </c>
      <c r="W10" s="237" t="s">
        <v>284</v>
      </c>
      <c r="X10" s="237" t="s">
        <v>285</v>
      </c>
      <c r="Y10" s="237" t="s">
        <v>286</v>
      </c>
      <c r="Z10" s="237" t="s">
        <v>287</v>
      </c>
      <c r="AA10" s="75"/>
    </row>
    <row r="11" customFormat="false" ht="15" hidden="false" customHeight="false" outlineLevel="0" collapsed="false">
      <c r="A11" s="239" t="s">
        <v>461</v>
      </c>
      <c r="B11" s="75"/>
      <c r="C11" s="75"/>
      <c r="D11" s="75"/>
      <c r="E11" s="75"/>
      <c r="F11" s="223" t="n">
        <v>0.15</v>
      </c>
      <c r="G11" s="75" t="s">
        <v>202</v>
      </c>
      <c r="H11" s="223" t="n">
        <f aca="false">F11*$N$2</f>
        <v>0</v>
      </c>
      <c r="I11" s="75" t="n">
        <f aca="false">Z36</f>
        <v>66.2342173333333</v>
      </c>
      <c r="J11" s="223" t="n">
        <f aca="false">H11*I11</f>
        <v>0</v>
      </c>
      <c r="K11" s="75"/>
      <c r="L11" s="75"/>
      <c r="M11" s="75"/>
      <c r="N11" s="75"/>
      <c r="O11" s="75"/>
      <c r="P11" s="75"/>
      <c r="Q11" s="75"/>
      <c r="R11" s="241" t="s">
        <v>288</v>
      </c>
      <c r="S11" s="75"/>
      <c r="T11" s="75"/>
      <c r="U11" s="75"/>
      <c r="V11" s="75"/>
      <c r="W11" s="75"/>
      <c r="X11" s="75"/>
      <c r="Y11" s="75"/>
      <c r="Z11" s="75"/>
      <c r="AA11" s="75"/>
    </row>
    <row r="12" customFormat="false" ht="15" hidden="false" customHeight="false" outlineLevel="0" collapsed="false">
      <c r="A12" s="239" t="s">
        <v>463</v>
      </c>
      <c r="B12" s="75"/>
      <c r="C12" s="75"/>
      <c r="D12" s="75"/>
      <c r="E12" s="75"/>
      <c r="F12" s="223" t="n">
        <v>2.8</v>
      </c>
      <c r="G12" s="75" t="s">
        <v>202</v>
      </c>
      <c r="H12" s="223" t="n">
        <f aca="false">F12*$N$2</f>
        <v>0</v>
      </c>
      <c r="I12" s="75" t="n">
        <f aca="false">Z53</f>
        <v>19.79083</v>
      </c>
      <c r="J12" s="223" t="n">
        <f aca="false">H12*I12</f>
        <v>0</v>
      </c>
      <c r="K12" s="160"/>
      <c r="L12" s="75"/>
      <c r="M12" s="75"/>
      <c r="N12" s="75"/>
      <c r="O12" s="75"/>
      <c r="P12" s="75"/>
      <c r="Q12" s="75"/>
      <c r="R12" s="75" t="s">
        <v>649</v>
      </c>
      <c r="S12" s="75"/>
      <c r="T12" s="75"/>
      <c r="U12" s="75"/>
      <c r="V12" s="75" t="s">
        <v>290</v>
      </c>
      <c r="W12" s="242" t="n">
        <v>0.1</v>
      </c>
      <c r="X12" s="243" t="n">
        <f aca="false">W12*8/$T$9</f>
        <v>0.0032</v>
      </c>
      <c r="Y12" s="75" t="n">
        <v>34.73</v>
      </c>
      <c r="Z12" s="223" t="n">
        <f aca="false">X12*Y12</f>
        <v>0.111136</v>
      </c>
      <c r="AA12" s="75"/>
    </row>
    <row r="13" customFormat="false" ht="15" hidden="false" customHeight="false" outlineLevel="0" collapsed="false">
      <c r="A13" s="239" t="s">
        <v>1384</v>
      </c>
      <c r="B13" s="75"/>
      <c r="C13" s="75"/>
      <c r="D13" s="75"/>
      <c r="E13" s="75"/>
      <c r="F13" s="223" t="n">
        <v>1</v>
      </c>
      <c r="G13" s="75" t="s">
        <v>132</v>
      </c>
      <c r="H13" s="223" t="n">
        <f aca="false">F13*$N$2</f>
        <v>0</v>
      </c>
      <c r="I13" s="75" t="n">
        <f aca="false">Z70</f>
        <v>7.998448</v>
      </c>
      <c r="J13" s="223" t="n">
        <f aca="false">H13*I13</f>
        <v>0</v>
      </c>
      <c r="K13" s="75"/>
      <c r="L13" s="75"/>
      <c r="M13" s="75"/>
      <c r="N13" s="75"/>
      <c r="O13" s="75"/>
      <c r="P13" s="75"/>
      <c r="Q13" s="75"/>
      <c r="R13" s="75" t="s">
        <v>289</v>
      </c>
      <c r="S13" s="75"/>
      <c r="T13" s="75"/>
      <c r="U13" s="75"/>
      <c r="V13" s="75" t="s">
        <v>290</v>
      </c>
      <c r="W13" s="242" t="n">
        <v>2</v>
      </c>
      <c r="X13" s="243" t="n">
        <f aca="false">W13*8/$T$9</f>
        <v>0.064</v>
      </c>
      <c r="Y13" s="75" t="n">
        <v>28.94</v>
      </c>
      <c r="Z13" s="223" t="n">
        <f aca="false">X13*Y13</f>
        <v>1.85216</v>
      </c>
      <c r="AA13" s="75"/>
    </row>
    <row r="14" customFormat="false" ht="15" hidden="false" customHeight="false" outlineLevel="0" collapsed="false">
      <c r="A14" s="239" t="s">
        <v>467</v>
      </c>
      <c r="B14" s="75"/>
      <c r="C14" s="75"/>
      <c r="D14" s="75"/>
      <c r="E14" s="75"/>
      <c r="F14" s="223" t="n">
        <v>0.6</v>
      </c>
      <c r="G14" s="75" t="s">
        <v>132</v>
      </c>
      <c r="H14" s="223" t="n">
        <f aca="false">F14*$N$2</f>
        <v>0</v>
      </c>
      <c r="I14" s="75" t="n">
        <f aca="false">Z85</f>
        <v>12.11253</v>
      </c>
      <c r="J14" s="223" t="n">
        <f aca="false">H14*I14</f>
        <v>0</v>
      </c>
      <c r="K14" s="160"/>
      <c r="L14" s="75"/>
      <c r="M14" s="75"/>
      <c r="N14" s="75"/>
      <c r="O14" s="75"/>
      <c r="P14" s="75"/>
      <c r="Q14" s="75"/>
      <c r="R14" s="75" t="s">
        <v>292</v>
      </c>
      <c r="S14" s="75"/>
      <c r="T14" s="75"/>
      <c r="U14" s="75"/>
      <c r="V14" s="75" t="s">
        <v>290</v>
      </c>
      <c r="W14" s="242" t="n">
        <v>1</v>
      </c>
      <c r="X14" s="243" t="n">
        <f aca="false">W14*8/$T$9</f>
        <v>0.032</v>
      </c>
      <c r="Y14" s="75" t="n">
        <v>20.51</v>
      </c>
      <c r="Z14" s="223" t="n">
        <f aca="false">X14*Y14</f>
        <v>0.65632</v>
      </c>
      <c r="AA14" s="75"/>
    </row>
    <row r="15" customFormat="false" ht="15" hidden="false" customHeight="false" outlineLevel="0" collapsed="false">
      <c r="A15" s="239" t="s">
        <v>469</v>
      </c>
      <c r="B15" s="75"/>
      <c r="C15" s="75"/>
      <c r="D15" s="75"/>
      <c r="E15" s="75"/>
      <c r="F15" s="223" t="n">
        <v>0.6</v>
      </c>
      <c r="G15" s="75" t="s">
        <v>202</v>
      </c>
      <c r="H15" s="223" t="n">
        <f aca="false">F15*$N$2</f>
        <v>0</v>
      </c>
      <c r="I15" s="75" t="n">
        <f aca="false">Z96</f>
        <v>22.9100074666667</v>
      </c>
      <c r="J15" s="223" t="n">
        <f aca="false">H15*I15</f>
        <v>0</v>
      </c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242"/>
      <c r="X15" s="75"/>
      <c r="Y15" s="75"/>
      <c r="Z15" s="238" t="n">
        <f aca="false">SUM(Z12:Z14)</f>
        <v>2.619616</v>
      </c>
      <c r="AA15" s="75"/>
    </row>
    <row r="16" customFormat="false" ht="15" hidden="false" customHeight="false" outlineLevel="0" collapsed="false">
      <c r="A16" s="27" t="s">
        <v>474</v>
      </c>
      <c r="B16" s="27"/>
      <c r="C16" s="75"/>
      <c r="D16" s="75"/>
      <c r="E16" s="75"/>
      <c r="F16" s="223"/>
      <c r="G16" s="75"/>
      <c r="H16" s="223"/>
      <c r="I16" s="75"/>
      <c r="J16" s="223"/>
      <c r="K16" s="75"/>
      <c r="L16" s="75"/>
      <c r="M16" s="75"/>
      <c r="N16" s="75"/>
      <c r="O16" s="75"/>
      <c r="P16" s="75"/>
      <c r="Q16" s="75"/>
      <c r="R16" s="241" t="s">
        <v>308</v>
      </c>
      <c r="S16" s="75"/>
      <c r="T16" s="75"/>
      <c r="U16" s="75"/>
      <c r="V16" s="75"/>
      <c r="W16" s="242"/>
      <c r="X16" s="75"/>
      <c r="Y16" s="75"/>
      <c r="Z16" s="75"/>
      <c r="AA16" s="75"/>
    </row>
    <row r="17" customFormat="false" ht="15" hidden="false" customHeight="false" outlineLevel="0" collapsed="false">
      <c r="A17" s="239" t="s">
        <v>1386</v>
      </c>
      <c r="B17" s="75"/>
      <c r="C17" s="75"/>
      <c r="D17" s="75"/>
      <c r="E17" s="75"/>
      <c r="F17" s="223" t="n">
        <v>1</v>
      </c>
      <c r="G17" s="75"/>
      <c r="H17" s="223" t="n">
        <f aca="false">F17*$N$2</f>
        <v>0</v>
      </c>
      <c r="I17" s="75" t="n">
        <f aca="false">Z109</f>
        <v>238.3435744</v>
      </c>
      <c r="J17" s="223" t="n">
        <f aca="false">H17*I17</f>
        <v>0</v>
      </c>
      <c r="K17" s="75"/>
      <c r="L17" s="75"/>
      <c r="M17" s="75"/>
      <c r="N17" s="75"/>
      <c r="O17" s="75"/>
      <c r="P17" s="75"/>
      <c r="Q17" s="75"/>
      <c r="R17" s="75" t="s">
        <v>309</v>
      </c>
      <c r="S17" s="75"/>
      <c r="T17" s="75"/>
      <c r="U17" s="75"/>
      <c r="V17" s="75" t="s">
        <v>310</v>
      </c>
      <c r="W17" s="242"/>
      <c r="X17" s="243" t="n">
        <v>3</v>
      </c>
      <c r="Y17" s="223" t="n">
        <f aca="false">Z15</f>
        <v>2.619616</v>
      </c>
      <c r="Z17" s="223" t="n">
        <f aca="false">X17%*Y17</f>
        <v>0.07858848</v>
      </c>
      <c r="AA17" s="75"/>
    </row>
    <row r="18" customFormat="false" ht="15" hidden="false" customHeight="false" outlineLevel="0" collapsed="false">
      <c r="A18" s="77" t="s">
        <v>484</v>
      </c>
      <c r="B18" s="77"/>
      <c r="C18" s="75"/>
      <c r="D18" s="75"/>
      <c r="E18" s="75"/>
      <c r="F18" s="223"/>
      <c r="G18" s="75"/>
      <c r="H18" s="223"/>
      <c r="I18" s="75"/>
      <c r="J18" s="223"/>
      <c r="K18" s="75"/>
      <c r="L18" s="77"/>
      <c r="M18" s="75"/>
      <c r="N18" s="75"/>
      <c r="O18" s="75"/>
      <c r="P18" s="75"/>
      <c r="Q18" s="75"/>
      <c r="R18" s="75" t="s">
        <v>650</v>
      </c>
      <c r="S18" s="75"/>
      <c r="T18" s="75"/>
      <c r="U18" s="75"/>
      <c r="V18" s="75" t="s">
        <v>337</v>
      </c>
      <c r="W18" s="242" t="n">
        <v>1</v>
      </c>
      <c r="X18" s="243" t="n">
        <f aca="false">W18*8/$T$9</f>
        <v>0.032</v>
      </c>
      <c r="Y18" s="223" t="n">
        <v>180</v>
      </c>
      <c r="Z18" s="223" t="n">
        <f aca="false">X18*Y18</f>
        <v>5.76</v>
      </c>
      <c r="AA18" s="75"/>
    </row>
    <row r="19" customFormat="false" ht="15" hidden="false" customHeight="false" outlineLevel="0" collapsed="false">
      <c r="A19" s="79" t="s">
        <v>486</v>
      </c>
      <c r="B19" s="239"/>
      <c r="C19" s="239"/>
      <c r="D19" s="79" t="s">
        <v>669</v>
      </c>
      <c r="E19" s="79"/>
      <c r="F19" s="223" t="n">
        <v>1</v>
      </c>
      <c r="G19" s="75" t="s">
        <v>132</v>
      </c>
      <c r="H19" s="223" t="n">
        <f aca="false">F19*$N$2</f>
        <v>0</v>
      </c>
      <c r="I19" s="75" t="n">
        <f aca="false">Z135</f>
        <v>39.6208818181818</v>
      </c>
      <c r="J19" s="223" t="n">
        <f aca="false">H19*I19</f>
        <v>0</v>
      </c>
      <c r="K19" s="75"/>
      <c r="L19" s="239"/>
      <c r="M19" s="75"/>
      <c r="N19" s="75"/>
      <c r="O19" s="75"/>
      <c r="P19" s="75"/>
      <c r="Q19" s="244" t="s">
        <v>669</v>
      </c>
      <c r="R19" s="244" t="s">
        <v>669</v>
      </c>
      <c r="S19" s="244" t="s">
        <v>669</v>
      </c>
      <c r="T19" s="244" t="s">
        <v>669</v>
      </c>
      <c r="U19" s="244" t="s">
        <v>669</v>
      </c>
      <c r="V19" s="244" t="s">
        <v>669</v>
      </c>
      <c r="W19" s="244" t="s">
        <v>669</v>
      </c>
      <c r="X19" s="244" t="s">
        <v>669</v>
      </c>
      <c r="Y19" s="244" t="s">
        <v>669</v>
      </c>
      <c r="Z19" s="245" t="n">
        <f aca="false">SUM(Z17:Z18)</f>
        <v>5.83858848</v>
      </c>
      <c r="AA19" s="75"/>
    </row>
    <row r="20" customFormat="false" ht="15" hidden="false" customHeight="false" outlineLevel="0" collapsed="false">
      <c r="A20" s="77" t="s">
        <v>488</v>
      </c>
      <c r="B20" s="75"/>
      <c r="C20" s="75"/>
      <c r="D20" s="75"/>
      <c r="E20" s="75"/>
      <c r="F20" s="223"/>
      <c r="G20" s="75"/>
      <c r="H20" s="223"/>
      <c r="I20" s="75"/>
      <c r="J20" s="223"/>
      <c r="K20" s="160"/>
      <c r="L20" s="77"/>
      <c r="M20" s="75"/>
      <c r="N20" s="75"/>
      <c r="O20" s="75" t="s">
        <v>669</v>
      </c>
      <c r="P20" s="75" t="s">
        <v>669</v>
      </c>
      <c r="Q20" s="75"/>
      <c r="R20" s="241"/>
      <c r="S20" s="75"/>
      <c r="T20" s="75"/>
      <c r="U20" s="75"/>
      <c r="V20" s="75"/>
      <c r="W20" s="75"/>
      <c r="X20" s="75"/>
      <c r="Y20" s="75"/>
      <c r="Z20" s="75"/>
      <c r="AA20" s="75"/>
    </row>
    <row r="21" customFormat="false" ht="15" hidden="false" customHeight="false" outlineLevel="0" collapsed="false">
      <c r="A21" s="246" t="s">
        <v>1387</v>
      </c>
      <c r="B21" s="75"/>
      <c r="C21" s="75"/>
      <c r="D21" s="75"/>
      <c r="E21" s="75"/>
      <c r="F21" s="223" t="n">
        <v>1</v>
      </c>
      <c r="G21" s="75" t="s">
        <v>132</v>
      </c>
      <c r="H21" s="223" t="n">
        <f aca="false">F21*$N$2</f>
        <v>0</v>
      </c>
      <c r="I21" s="75" t="n">
        <f aca="false">Z154</f>
        <v>27.126394</v>
      </c>
      <c r="J21" s="223" t="n">
        <f aca="false">H21*I21</f>
        <v>0</v>
      </c>
      <c r="K21" s="160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</row>
    <row r="22" customFormat="false" ht="15" hidden="false" customHeight="false" outlineLevel="0" collapsed="false">
      <c r="A22" s="77" t="s">
        <v>1377</v>
      </c>
      <c r="B22" s="77"/>
      <c r="C22" s="77"/>
      <c r="D22" s="75"/>
      <c r="E22" s="75"/>
      <c r="F22" s="223"/>
      <c r="G22" s="75"/>
      <c r="H22" s="223"/>
      <c r="I22" s="75"/>
      <c r="J22" s="223"/>
      <c r="K22" s="160"/>
      <c r="L22" s="77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237"/>
      <c r="Z22" s="237"/>
      <c r="AA22" s="75"/>
    </row>
    <row r="23" customFormat="false" ht="15" hidden="false" customHeight="false" outlineLevel="0" collapsed="false">
      <c r="A23" s="77" t="s">
        <v>1388</v>
      </c>
      <c r="B23" s="75"/>
      <c r="C23" s="75"/>
      <c r="D23" s="75"/>
      <c r="E23" s="75"/>
      <c r="F23" s="223"/>
      <c r="G23" s="75"/>
      <c r="H23" s="223"/>
      <c r="I23" s="75"/>
      <c r="J23" s="223"/>
      <c r="K23" s="75"/>
      <c r="L23" s="77"/>
      <c r="M23" s="77"/>
      <c r="N23" s="77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</row>
    <row r="24" customFormat="false" ht="15" hidden="false" customHeight="false" outlineLevel="0" collapsed="false">
      <c r="A24" s="75" t="s">
        <v>1389</v>
      </c>
      <c r="B24" s="75"/>
      <c r="C24" s="75"/>
      <c r="D24" s="75"/>
      <c r="E24" s="75"/>
      <c r="F24" s="223" t="n">
        <v>0.6</v>
      </c>
      <c r="G24" s="75" t="s">
        <v>202</v>
      </c>
      <c r="H24" s="223" t="n">
        <f aca="false">F24*$N$2</f>
        <v>0</v>
      </c>
      <c r="I24" s="75" t="n">
        <f aca="false">Z173</f>
        <v>426.397544</v>
      </c>
      <c r="J24" s="223" t="n">
        <f aca="false">H24*I24</f>
        <v>0</v>
      </c>
      <c r="K24" s="75"/>
      <c r="L24" s="75"/>
      <c r="M24" s="77"/>
      <c r="N24" s="77"/>
      <c r="O24" s="75"/>
      <c r="P24" s="75"/>
      <c r="Q24" s="237" t="s">
        <v>276</v>
      </c>
      <c r="R24" s="237"/>
      <c r="S24" s="237" t="s">
        <v>459</v>
      </c>
      <c r="T24" s="237"/>
      <c r="U24" s="75"/>
      <c r="V24" s="75"/>
      <c r="W24" s="75"/>
      <c r="X24" s="75"/>
      <c r="Y24" s="75"/>
      <c r="Z24" s="75"/>
      <c r="AA24" s="75"/>
    </row>
    <row r="25" customFormat="false" ht="15" hidden="false" customHeight="false" outlineLevel="0" collapsed="false">
      <c r="A25" s="75" t="s">
        <v>1390</v>
      </c>
      <c r="B25" s="75"/>
      <c r="C25" s="75"/>
      <c r="D25" s="75"/>
      <c r="E25" s="75"/>
      <c r="F25" s="223" t="n">
        <v>0.5</v>
      </c>
      <c r="G25" s="75" t="s">
        <v>132</v>
      </c>
      <c r="H25" s="223" t="n">
        <f aca="false">F25*$N$2</f>
        <v>0</v>
      </c>
      <c r="I25" s="75" t="n">
        <f aca="false">Z195</f>
        <v>75.1142</v>
      </c>
      <c r="J25" s="223" t="n">
        <f aca="false">H25*I25</f>
        <v>0</v>
      </c>
      <c r="K25" s="75"/>
      <c r="L25" s="75"/>
      <c r="M25" s="75"/>
      <c r="N25" s="75"/>
      <c r="O25" s="75"/>
      <c r="P25" s="75"/>
      <c r="Q25" s="237" t="s">
        <v>277</v>
      </c>
      <c r="R25" s="237" t="s">
        <v>415</v>
      </c>
      <c r="S25" s="237" t="s">
        <v>279</v>
      </c>
      <c r="T25" s="240" t="n">
        <v>4</v>
      </c>
      <c r="U25" s="240" t="s">
        <v>280</v>
      </c>
      <c r="V25" s="240" t="n">
        <f aca="false">T25</f>
        <v>4</v>
      </c>
      <c r="W25" s="237" t="s">
        <v>281</v>
      </c>
      <c r="X25" s="237"/>
      <c r="Y25" s="237" t="s">
        <v>202</v>
      </c>
      <c r="Z25" s="238" t="n">
        <f aca="false">Z30+Z33</f>
        <v>49.40498</v>
      </c>
      <c r="AA25" s="75"/>
    </row>
    <row r="26" customFormat="false" ht="16.4" hidden="false" customHeight="false" outlineLevel="0" collapsed="false">
      <c r="A26" s="75" t="s">
        <v>1391</v>
      </c>
      <c r="B26" s="75"/>
      <c r="C26" s="75"/>
      <c r="D26" s="75"/>
      <c r="E26" s="75"/>
      <c r="F26" s="223"/>
      <c r="G26" s="160" t="s">
        <v>295</v>
      </c>
      <c r="H26" s="209" t="n">
        <f aca="false">H24*240</f>
        <v>0</v>
      </c>
      <c r="I26" s="75" t="n">
        <f aca="false">Z212</f>
        <v>5.5639628445</v>
      </c>
      <c r="J26" s="223" t="n">
        <f aca="false">H26*I26</f>
        <v>0</v>
      </c>
      <c r="K26" s="160"/>
      <c r="L26" s="75"/>
      <c r="M26" s="75"/>
      <c r="N26" s="75"/>
      <c r="O26" s="75"/>
      <c r="P26" s="75"/>
      <c r="Q26" s="237" t="s">
        <v>282</v>
      </c>
      <c r="R26" s="237" t="s">
        <v>283</v>
      </c>
      <c r="S26" s="237"/>
      <c r="T26" s="75"/>
      <c r="U26" s="75"/>
      <c r="V26" s="237" t="s">
        <v>121</v>
      </c>
      <c r="W26" s="237" t="s">
        <v>284</v>
      </c>
      <c r="X26" s="237" t="s">
        <v>285</v>
      </c>
      <c r="Y26" s="237" t="s">
        <v>286</v>
      </c>
      <c r="Z26" s="237" t="s">
        <v>287</v>
      </c>
      <c r="AA26" s="75"/>
    </row>
    <row r="27" customFormat="false" ht="15" hidden="false" customHeight="false" outlineLevel="0" collapsed="false">
      <c r="A27" s="230" t="s">
        <v>507</v>
      </c>
      <c r="B27" s="75"/>
      <c r="C27" s="75"/>
      <c r="D27" s="75"/>
      <c r="E27" s="75"/>
      <c r="F27" s="223"/>
      <c r="G27" s="160"/>
      <c r="H27" s="223"/>
      <c r="I27" s="75"/>
      <c r="J27" s="223"/>
      <c r="K27" s="75"/>
      <c r="L27" s="230"/>
      <c r="M27" s="75"/>
      <c r="N27" s="75"/>
      <c r="O27" s="75"/>
      <c r="P27" s="75"/>
      <c r="Q27" s="75"/>
      <c r="R27" s="241" t="s">
        <v>288</v>
      </c>
      <c r="S27" s="75"/>
      <c r="T27" s="75"/>
      <c r="U27" s="75"/>
      <c r="V27" s="75"/>
      <c r="W27" s="75"/>
      <c r="X27" s="75"/>
      <c r="Y27" s="75"/>
      <c r="Z27" s="75"/>
      <c r="AA27" s="75"/>
    </row>
    <row r="28" customFormat="false" ht="16.4" hidden="false" customHeight="false" outlineLevel="0" collapsed="false">
      <c r="A28" s="75" t="s">
        <v>509</v>
      </c>
      <c r="B28" s="75"/>
      <c r="C28" s="75"/>
      <c r="D28" s="75"/>
      <c r="E28" s="75"/>
      <c r="F28" s="223" t="n">
        <v>0.1202</v>
      </c>
      <c r="G28" s="160" t="s">
        <v>202</v>
      </c>
      <c r="H28" s="223" t="n">
        <f aca="false">F28*$N$2</f>
        <v>0</v>
      </c>
      <c r="I28" s="75" t="n">
        <f aca="false">Z228</f>
        <v>438.22652</v>
      </c>
      <c r="J28" s="223" t="n">
        <f aca="false">H28*I28</f>
        <v>0</v>
      </c>
      <c r="K28" s="75"/>
      <c r="L28" s="75"/>
      <c r="M28" s="75"/>
      <c r="N28" s="75"/>
      <c r="O28" s="75"/>
      <c r="P28" s="75"/>
      <c r="Q28" s="75"/>
      <c r="R28" s="75" t="s">
        <v>649</v>
      </c>
      <c r="S28" s="75"/>
      <c r="T28" s="75"/>
      <c r="U28" s="75"/>
      <c r="V28" s="75" t="s">
        <v>290</v>
      </c>
      <c r="W28" s="242" t="n">
        <v>0.1</v>
      </c>
      <c r="X28" s="243" t="n">
        <f aca="false">W28*8/$T$25</f>
        <v>0.2</v>
      </c>
      <c r="Y28" s="223" t="n">
        <v>34.73</v>
      </c>
      <c r="Z28" s="223" t="n">
        <f aca="false">X28*Y28</f>
        <v>6.946</v>
      </c>
      <c r="AA28" s="75"/>
    </row>
    <row r="29" customFormat="false" ht="16.4" hidden="false" customHeight="false" outlineLevel="0" collapsed="false">
      <c r="A29" s="75" t="s">
        <v>511</v>
      </c>
      <c r="B29" s="75"/>
      <c r="C29" s="75"/>
      <c r="D29" s="75"/>
      <c r="E29" s="75"/>
      <c r="F29" s="223" t="n">
        <v>0.6491</v>
      </c>
      <c r="G29" s="160" t="s">
        <v>132</v>
      </c>
      <c r="H29" s="223" t="n">
        <f aca="false">F29*$N$2</f>
        <v>0</v>
      </c>
      <c r="I29" s="75" t="n">
        <f aca="false">Z250</f>
        <v>64.02696</v>
      </c>
      <c r="J29" s="223" t="n">
        <f aca="false">H29*I29</f>
        <v>0</v>
      </c>
      <c r="K29" s="75"/>
      <c r="L29" s="75"/>
      <c r="M29" s="75"/>
      <c r="N29" s="75"/>
      <c r="O29" s="75"/>
      <c r="P29" s="75"/>
      <c r="Q29" s="75"/>
      <c r="R29" s="75" t="s">
        <v>292</v>
      </c>
      <c r="S29" s="75"/>
      <c r="T29" s="75"/>
      <c r="U29" s="75"/>
      <c r="V29" s="75" t="s">
        <v>290</v>
      </c>
      <c r="W29" s="242" t="n">
        <v>1</v>
      </c>
      <c r="X29" s="243" t="n">
        <f aca="false">W29*8/$T$25</f>
        <v>2</v>
      </c>
      <c r="Y29" s="223" t="n">
        <v>20.51</v>
      </c>
      <c r="Z29" s="223" t="n">
        <f aca="false">X29*Y29</f>
        <v>41.02</v>
      </c>
      <c r="AA29" s="75"/>
    </row>
    <row r="30" customFormat="false" ht="16.4" hidden="false" customHeight="false" outlineLevel="0" collapsed="false">
      <c r="A30" s="75" t="s">
        <v>513</v>
      </c>
      <c r="B30" s="75"/>
      <c r="C30" s="75"/>
      <c r="D30" s="75"/>
      <c r="E30" s="75"/>
      <c r="F30" s="223"/>
      <c r="G30" s="160" t="s">
        <v>295</v>
      </c>
      <c r="H30" s="223" t="n">
        <f aca="false">H28*79.98</f>
        <v>0</v>
      </c>
      <c r="I30" s="75" t="n">
        <f aca="false">Z266</f>
        <v>5.5639628445</v>
      </c>
      <c r="J30" s="223" t="n">
        <f aca="false">H30*I30</f>
        <v>0</v>
      </c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243"/>
      <c r="Y30" s="223"/>
      <c r="Z30" s="238" t="n">
        <f aca="false">SUM(Z28:Z29)</f>
        <v>47.966</v>
      </c>
      <c r="AA30" s="75"/>
    </row>
    <row r="31" customFormat="false" ht="15" hidden="false" customHeight="false" outlineLevel="0" collapsed="false">
      <c r="A31" s="27"/>
      <c r="B31" s="27"/>
      <c r="C31" s="75"/>
      <c r="D31" s="75"/>
      <c r="E31" s="75"/>
      <c r="F31" s="223"/>
      <c r="G31" s="75"/>
      <c r="H31" s="223"/>
      <c r="I31" s="75"/>
      <c r="J31" s="223"/>
      <c r="K31" s="75"/>
      <c r="M31" s="75"/>
      <c r="N31" s="75"/>
      <c r="O31" s="75"/>
      <c r="P31" s="75"/>
      <c r="Q31" s="75"/>
      <c r="R31" s="241" t="s">
        <v>308</v>
      </c>
      <c r="S31" s="75"/>
      <c r="T31" s="75"/>
      <c r="U31" s="75"/>
      <c r="V31" s="75"/>
      <c r="W31" s="75"/>
      <c r="X31" s="243"/>
      <c r="Y31" s="223"/>
      <c r="Z31" s="223"/>
      <c r="AA31" s="75"/>
    </row>
    <row r="32" customFormat="false" ht="15" hidden="false" customHeight="false" outlineLevel="0" collapsed="false">
      <c r="A32" s="75"/>
      <c r="B32" s="75"/>
      <c r="C32" s="75"/>
      <c r="D32" s="75"/>
      <c r="E32" s="75"/>
      <c r="F32" s="223"/>
      <c r="G32" s="75"/>
      <c r="H32" s="223"/>
      <c r="I32" s="75"/>
      <c r="J32" s="223"/>
      <c r="K32" s="75"/>
      <c r="M32" s="75"/>
      <c r="N32" s="75"/>
      <c r="O32" s="75"/>
      <c r="P32" s="75"/>
      <c r="Q32" s="75"/>
      <c r="R32" s="75" t="s">
        <v>309</v>
      </c>
      <c r="S32" s="75"/>
      <c r="T32" s="75"/>
      <c r="U32" s="75"/>
      <c r="V32" s="75" t="s">
        <v>310</v>
      </c>
      <c r="W32" s="75"/>
      <c r="X32" s="243" t="n">
        <v>3</v>
      </c>
      <c r="Y32" s="223" t="n">
        <f aca="false">Z30</f>
        <v>47.966</v>
      </c>
      <c r="Z32" s="223" t="n">
        <f aca="false">X32%*Y32</f>
        <v>1.43898</v>
      </c>
      <c r="AA32" s="75"/>
    </row>
    <row r="33" customFormat="false" ht="15" hidden="false" customHeight="false" outlineLevel="0" collapsed="false">
      <c r="A33" s="75"/>
      <c r="B33" s="75"/>
      <c r="C33" s="75"/>
      <c r="D33" s="75"/>
      <c r="E33" s="75"/>
      <c r="F33" s="223"/>
      <c r="G33" s="75"/>
      <c r="H33" s="223"/>
      <c r="I33" s="75"/>
      <c r="J33" s="223"/>
      <c r="K33" s="75"/>
      <c r="M33" s="75"/>
      <c r="N33" s="75"/>
      <c r="O33" s="75"/>
      <c r="P33" s="75"/>
      <c r="Q33" s="244" t="s">
        <v>669</v>
      </c>
      <c r="R33" s="244" t="s">
        <v>669</v>
      </c>
      <c r="S33" s="244" t="s">
        <v>669</v>
      </c>
      <c r="T33" s="244" t="s">
        <v>669</v>
      </c>
      <c r="U33" s="244" t="s">
        <v>669</v>
      </c>
      <c r="V33" s="244" t="s">
        <v>669</v>
      </c>
      <c r="W33" s="244" t="s">
        <v>669</v>
      </c>
      <c r="X33" s="244" t="s">
        <v>669</v>
      </c>
      <c r="Y33" s="247" t="s">
        <v>669</v>
      </c>
      <c r="Z33" s="245" t="n">
        <f aca="false">SUM(Z32)</f>
        <v>1.43898</v>
      </c>
      <c r="AA33" s="75"/>
    </row>
    <row r="34" customFormat="false" ht="15" hidden="false" customHeight="false" outlineLevel="0" collapsed="false">
      <c r="A34" s="75"/>
      <c r="B34" s="75"/>
      <c r="C34" s="75"/>
      <c r="D34" s="75"/>
      <c r="E34" s="75"/>
      <c r="F34" s="223"/>
      <c r="G34" s="75"/>
      <c r="H34" s="223"/>
      <c r="I34" s="75"/>
      <c r="J34" s="223"/>
      <c r="K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</row>
    <row r="35" customFormat="false" ht="15" hidden="false" customHeight="false" outlineLevel="0" collapsed="false">
      <c r="A35" s="75"/>
      <c r="B35" s="75"/>
      <c r="C35" s="75"/>
      <c r="D35" s="75"/>
      <c r="E35" s="75"/>
      <c r="F35" s="75"/>
      <c r="G35" s="75"/>
      <c r="H35" s="223"/>
      <c r="I35" s="75"/>
      <c r="J35" s="75"/>
      <c r="K35" s="75"/>
      <c r="L35" s="75"/>
      <c r="M35" s="75"/>
      <c r="N35" s="75"/>
      <c r="O35" s="75"/>
      <c r="P35" s="75"/>
      <c r="Q35" s="237" t="s">
        <v>276</v>
      </c>
      <c r="R35" s="237"/>
      <c r="S35" s="237" t="s">
        <v>461</v>
      </c>
      <c r="T35" s="237"/>
      <c r="U35" s="237"/>
      <c r="V35" s="237"/>
      <c r="W35" s="237"/>
      <c r="X35" s="237"/>
      <c r="Y35" s="237"/>
      <c r="Z35" s="237"/>
      <c r="AA35" s="75"/>
    </row>
    <row r="36" customFormat="false" ht="15" hidden="false" customHeight="false" outlineLevel="0" collapsed="false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237" t="s">
        <v>277</v>
      </c>
      <c r="R36" s="237" t="s">
        <v>415</v>
      </c>
      <c r="S36" s="237" t="s">
        <v>279</v>
      </c>
      <c r="T36" s="240" t="n">
        <v>30</v>
      </c>
      <c r="U36" s="240" t="s">
        <v>280</v>
      </c>
      <c r="V36" s="240" t="n">
        <f aca="false">T36</f>
        <v>30</v>
      </c>
      <c r="W36" s="237" t="s">
        <v>281</v>
      </c>
      <c r="X36" s="237"/>
      <c r="Y36" s="237" t="s">
        <v>202</v>
      </c>
      <c r="Z36" s="238" t="n">
        <f aca="false">Z42+Z46+Z50</f>
        <v>66.2342173333333</v>
      </c>
      <c r="AA36" s="75"/>
    </row>
    <row r="37" customFormat="false" ht="15" hidden="false" customHeight="false" outlineLevel="0" collapsed="false">
      <c r="A37" s="239" t="s">
        <v>669</v>
      </c>
      <c r="B37" s="75"/>
      <c r="C37" s="75"/>
      <c r="D37" s="75"/>
      <c r="E37" s="75"/>
      <c r="F37" s="75"/>
      <c r="G37" s="231"/>
      <c r="H37" s="231"/>
      <c r="I37" s="160"/>
      <c r="J37" s="75"/>
      <c r="K37" s="75"/>
      <c r="L37" s="75"/>
      <c r="M37" s="75"/>
      <c r="N37" s="75"/>
      <c r="O37" s="75"/>
      <c r="P37" s="75"/>
      <c r="Q37" s="237" t="s">
        <v>282</v>
      </c>
      <c r="R37" s="237" t="s">
        <v>283</v>
      </c>
      <c r="S37" s="237"/>
      <c r="T37" s="75"/>
      <c r="U37" s="75"/>
      <c r="V37" s="237" t="s">
        <v>121</v>
      </c>
      <c r="W37" s="237" t="s">
        <v>284</v>
      </c>
      <c r="X37" s="237" t="s">
        <v>285</v>
      </c>
      <c r="Y37" s="237" t="s">
        <v>286</v>
      </c>
      <c r="Z37" s="237" t="s">
        <v>287</v>
      </c>
      <c r="AA37" s="75"/>
    </row>
    <row r="38" customFormat="false" ht="15" hidden="false" customHeight="false" outlineLevel="0" collapsed="false">
      <c r="A38" s="75"/>
      <c r="B38" s="75"/>
      <c r="C38" s="75"/>
      <c r="D38" s="75"/>
      <c r="E38" s="75"/>
      <c r="F38" s="75"/>
      <c r="G38" s="75"/>
      <c r="H38" s="75"/>
      <c r="I38" s="75"/>
      <c r="J38" s="223"/>
      <c r="K38" s="75"/>
      <c r="L38" s="75"/>
      <c r="M38" s="75"/>
      <c r="N38" s="75"/>
      <c r="O38" s="75"/>
      <c r="P38" s="75"/>
      <c r="Q38" s="75"/>
      <c r="R38" s="241" t="s">
        <v>288</v>
      </c>
      <c r="S38" s="75"/>
      <c r="T38" s="75"/>
      <c r="U38" s="75"/>
      <c r="V38" s="75"/>
      <c r="W38" s="75"/>
      <c r="X38" s="75"/>
      <c r="Y38" s="75"/>
      <c r="Z38" s="75"/>
      <c r="AA38" s="75"/>
    </row>
    <row r="39" customFormat="false" ht="15" hidden="false" customHeight="false" outlineLevel="0" collapsed="false">
      <c r="A39" s="75"/>
      <c r="B39" s="75"/>
      <c r="C39" s="75"/>
      <c r="D39" s="75"/>
      <c r="E39" s="75"/>
      <c r="F39" s="75"/>
      <c r="G39" s="160"/>
      <c r="H39" s="160"/>
      <c r="I39" s="160"/>
      <c r="J39" s="223"/>
      <c r="K39" s="75"/>
      <c r="L39" s="75"/>
      <c r="M39" s="75"/>
      <c r="N39" s="75"/>
      <c r="O39" s="75"/>
      <c r="P39" s="75"/>
      <c r="Q39" s="75"/>
      <c r="R39" s="75" t="s">
        <v>649</v>
      </c>
      <c r="S39" s="75"/>
      <c r="T39" s="75"/>
      <c r="U39" s="75"/>
      <c r="V39" s="75" t="s">
        <v>290</v>
      </c>
      <c r="W39" s="242" t="n">
        <v>0.1</v>
      </c>
      <c r="X39" s="243" t="n">
        <f aca="false">W39*8/$T$36</f>
        <v>0.0266666666666667</v>
      </c>
      <c r="Y39" s="75" t="n">
        <v>34.73</v>
      </c>
      <c r="Z39" s="223" t="n">
        <f aca="false">X39*Y39</f>
        <v>0.926133333333333</v>
      </c>
      <c r="AA39" s="75"/>
    </row>
    <row r="40" customFormat="false" ht="15" hidden="false" customHeight="false" outlineLevel="0" collapsed="false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 t="s">
        <v>292</v>
      </c>
      <c r="S40" s="75"/>
      <c r="T40" s="75"/>
      <c r="U40" s="75"/>
      <c r="V40" s="75" t="s">
        <v>290</v>
      </c>
      <c r="W40" s="242" t="n">
        <v>1</v>
      </c>
      <c r="X40" s="243" t="n">
        <f aca="false">W40*8/$T$36</f>
        <v>0.266666666666667</v>
      </c>
      <c r="Y40" s="75" t="n">
        <v>20.51</v>
      </c>
      <c r="Z40" s="223" t="n">
        <f aca="false">X40*Y40</f>
        <v>5.46933333333333</v>
      </c>
      <c r="AA40" s="75"/>
    </row>
    <row r="41" customFormat="false" ht="15" hidden="false" customHeight="false" outlineLevel="0" collapsed="false">
      <c r="A41" s="75"/>
      <c r="B41" s="75"/>
      <c r="C41" s="75"/>
      <c r="D41" s="75"/>
      <c r="E41" s="75"/>
      <c r="F41" s="75"/>
      <c r="G41" s="160"/>
      <c r="H41" s="76"/>
      <c r="I41" s="75"/>
      <c r="J41" s="75"/>
      <c r="K41" s="75"/>
      <c r="L41" s="75"/>
      <c r="M41" s="75"/>
      <c r="N41" s="75"/>
      <c r="O41" s="75"/>
      <c r="P41" s="75"/>
      <c r="Q41" s="75"/>
      <c r="R41" s="75" t="s">
        <v>651</v>
      </c>
      <c r="S41" s="75"/>
      <c r="T41" s="75"/>
      <c r="U41" s="75"/>
      <c r="V41" s="75" t="s">
        <v>290</v>
      </c>
      <c r="W41" s="242" t="n">
        <v>1</v>
      </c>
      <c r="X41" s="243" t="n">
        <f aca="false">W41*8/$T$36</f>
        <v>0.266666666666667</v>
      </c>
      <c r="Y41" s="75" t="n">
        <v>29.94</v>
      </c>
      <c r="Z41" s="223" t="n">
        <f aca="false">X41*Y41</f>
        <v>7.984</v>
      </c>
      <c r="AA41" s="75"/>
    </row>
    <row r="42" customFormat="false" ht="15" hidden="false" customHeight="false" outlineLevel="0" collapsed="false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242"/>
      <c r="X42" s="243"/>
      <c r="Y42" s="75"/>
      <c r="Z42" s="238" t="n">
        <f aca="false">SUM(Z39:Z41)</f>
        <v>14.3794666666667</v>
      </c>
      <c r="AA42" s="75"/>
    </row>
    <row r="43" customFormat="false" ht="15" hidden="false" customHeight="false" outlineLevel="0" collapsed="false">
      <c r="A43" s="27"/>
      <c r="B43" s="237"/>
      <c r="C43" s="75"/>
      <c r="D43" s="75"/>
      <c r="E43" s="75"/>
      <c r="F43" s="75"/>
      <c r="G43" s="237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241" t="s">
        <v>652</v>
      </c>
      <c r="S43" s="75"/>
      <c r="T43" s="75"/>
      <c r="U43" s="75"/>
      <c r="V43" s="75"/>
      <c r="W43" s="242"/>
      <c r="X43" s="243"/>
      <c r="Y43" s="75"/>
      <c r="Z43" s="75"/>
      <c r="AA43" s="75"/>
    </row>
    <row r="44" customFormat="false" ht="15" hidden="false" customHeight="false" outlineLevel="0" collapsed="false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 t="s">
        <v>653</v>
      </c>
      <c r="S44" s="75"/>
      <c r="T44" s="75"/>
      <c r="U44" s="75"/>
      <c r="V44" s="75" t="s">
        <v>202</v>
      </c>
      <c r="W44" s="242"/>
      <c r="X44" s="243" t="n">
        <v>1.05</v>
      </c>
      <c r="Y44" s="248" t="n">
        <v>44.07</v>
      </c>
      <c r="Z44" s="223" t="n">
        <f aca="false">X44*Y44</f>
        <v>46.2735</v>
      </c>
      <c r="AA44" s="75"/>
    </row>
    <row r="45" customFormat="false" ht="15" hidden="false" customHeight="false" outlineLevel="0" collapsed="false">
      <c r="A45" s="27"/>
      <c r="B45" s="27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 t="s">
        <v>654</v>
      </c>
      <c r="S45" s="75"/>
      <c r="T45" s="75"/>
      <c r="U45" s="75"/>
      <c r="V45" s="75" t="s">
        <v>202</v>
      </c>
      <c r="W45" s="242"/>
      <c r="X45" s="243" t="n">
        <v>0.08</v>
      </c>
      <c r="Y45" s="75" t="n">
        <v>6.14</v>
      </c>
      <c r="Z45" s="223" t="n">
        <f aca="false">X45*Y45</f>
        <v>0.4912</v>
      </c>
      <c r="AA45" s="75"/>
    </row>
    <row r="46" customFormat="false" ht="15" hidden="false" customHeight="false" outlineLevel="0" collapsed="false">
      <c r="A46" s="239"/>
      <c r="B46" s="75"/>
      <c r="C46" s="75"/>
      <c r="D46" s="75"/>
      <c r="E46" s="75"/>
      <c r="F46" s="75"/>
      <c r="G46" s="75"/>
      <c r="I46" s="223"/>
      <c r="J46" s="223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242"/>
      <c r="X46" s="243"/>
      <c r="Y46" s="75"/>
      <c r="Z46" s="238" t="n">
        <f aca="false">SUM(Z44:Z45)</f>
        <v>46.7647</v>
      </c>
      <c r="AA46" s="75"/>
    </row>
    <row r="47" customFormat="false" ht="15" hidden="false" customHeight="false" outlineLevel="0" collapsed="false">
      <c r="A47" s="239"/>
      <c r="B47" s="75"/>
      <c r="C47" s="75"/>
      <c r="D47" s="75"/>
      <c r="E47" s="75"/>
      <c r="F47" s="75"/>
      <c r="G47" s="75"/>
      <c r="I47" s="223"/>
      <c r="J47" s="223"/>
      <c r="K47" s="75"/>
      <c r="L47" s="75"/>
      <c r="M47" s="75"/>
      <c r="N47" s="75"/>
      <c r="O47" s="75"/>
      <c r="P47" s="75"/>
      <c r="Q47" s="75"/>
      <c r="R47" s="241" t="s">
        <v>308</v>
      </c>
      <c r="S47" s="75"/>
      <c r="T47" s="75"/>
      <c r="U47" s="75"/>
      <c r="V47" s="75"/>
      <c r="W47" s="242"/>
      <c r="X47" s="243"/>
      <c r="Y47" s="75"/>
      <c r="Z47" s="75"/>
      <c r="AA47" s="75"/>
    </row>
    <row r="48" customFormat="false" ht="15" hidden="false" customHeight="false" outlineLevel="0" collapsed="false">
      <c r="A48" s="239"/>
      <c r="B48" s="75"/>
      <c r="C48" s="75"/>
      <c r="D48" s="75"/>
      <c r="E48" s="75"/>
      <c r="F48" s="75"/>
      <c r="G48" s="75"/>
      <c r="I48" s="223"/>
      <c r="J48" s="223"/>
      <c r="K48" s="75"/>
      <c r="L48" s="75"/>
      <c r="M48" s="75"/>
      <c r="N48" s="75"/>
      <c r="O48" s="75"/>
      <c r="P48" s="75"/>
      <c r="Q48" s="75"/>
      <c r="R48" s="75" t="s">
        <v>309</v>
      </c>
      <c r="S48" s="75"/>
      <c r="T48" s="75"/>
      <c r="U48" s="75"/>
      <c r="V48" s="75" t="s">
        <v>310</v>
      </c>
      <c r="W48" s="242"/>
      <c r="X48" s="243" t="n">
        <v>3</v>
      </c>
      <c r="Y48" s="223" t="n">
        <f aca="false">Z42</f>
        <v>14.3794666666667</v>
      </c>
      <c r="Z48" s="223" t="n">
        <f aca="false">X48%*Y48</f>
        <v>0.431384</v>
      </c>
      <c r="AA48" s="75"/>
    </row>
    <row r="49" customFormat="false" ht="15" hidden="false" customHeight="false" outlineLevel="0" collapsed="false">
      <c r="A49" s="239"/>
      <c r="B49" s="75"/>
      <c r="C49" s="75"/>
      <c r="D49" s="75"/>
      <c r="E49" s="75"/>
      <c r="F49" s="75"/>
      <c r="G49" s="75"/>
      <c r="I49" s="223"/>
      <c r="J49" s="223"/>
      <c r="K49" s="160"/>
      <c r="L49" s="75"/>
      <c r="M49" s="75"/>
      <c r="N49" s="75"/>
      <c r="O49" s="75"/>
      <c r="P49" s="75"/>
      <c r="Q49" s="75"/>
      <c r="R49" s="75" t="s">
        <v>655</v>
      </c>
      <c r="S49" s="75"/>
      <c r="T49" s="75"/>
      <c r="U49" s="75"/>
      <c r="V49" s="75" t="s">
        <v>337</v>
      </c>
      <c r="W49" s="242" t="n">
        <v>1</v>
      </c>
      <c r="X49" s="243" t="n">
        <f aca="false">W49*8/$T$36</f>
        <v>0.266666666666667</v>
      </c>
      <c r="Y49" s="75" t="n">
        <v>17.47</v>
      </c>
      <c r="Z49" s="223" t="n">
        <f aca="false">X49*Y49</f>
        <v>4.65866666666667</v>
      </c>
      <c r="AA49" s="75"/>
    </row>
    <row r="50" customFormat="false" ht="15" hidden="false" customHeight="false" outlineLevel="0" collapsed="false">
      <c r="A50" s="239"/>
      <c r="B50" s="75"/>
      <c r="C50" s="75"/>
      <c r="D50" s="75"/>
      <c r="E50" s="75"/>
      <c r="F50" s="75"/>
      <c r="G50" s="75"/>
      <c r="I50" s="223"/>
      <c r="J50" s="223"/>
      <c r="K50" s="75"/>
      <c r="L50" s="75"/>
      <c r="M50" s="75"/>
      <c r="N50" s="75"/>
      <c r="O50" s="75"/>
      <c r="P50" s="75"/>
      <c r="Q50" s="244" t="s">
        <v>669</v>
      </c>
      <c r="R50" s="244" t="s">
        <v>669</v>
      </c>
      <c r="S50" s="244" t="s">
        <v>669</v>
      </c>
      <c r="T50" s="244" t="s">
        <v>669</v>
      </c>
      <c r="U50" s="244" t="s">
        <v>669</v>
      </c>
      <c r="V50" s="244" t="s">
        <v>669</v>
      </c>
      <c r="W50" s="244" t="s">
        <v>669</v>
      </c>
      <c r="X50" s="244" t="s">
        <v>669</v>
      </c>
      <c r="Y50" s="247" t="s">
        <v>669</v>
      </c>
      <c r="Z50" s="245" t="n">
        <f aca="false">SUM(Z48:Z49)</f>
        <v>5.09005066666667</v>
      </c>
      <c r="AA50" s="75"/>
    </row>
    <row r="51" customFormat="false" ht="15" hidden="false" customHeight="false" outlineLevel="0" collapsed="false">
      <c r="A51" s="239"/>
      <c r="B51" s="75"/>
      <c r="C51" s="75"/>
      <c r="D51" s="75"/>
      <c r="E51" s="75"/>
      <c r="F51" s="75"/>
      <c r="G51" s="75"/>
      <c r="I51" s="223"/>
      <c r="J51" s="223"/>
      <c r="K51" s="160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</row>
    <row r="52" customFormat="false" ht="15" hidden="false" customHeight="false" outlineLevel="0" collapsed="false">
      <c r="A52" s="239"/>
      <c r="B52" s="75"/>
      <c r="C52" s="75"/>
      <c r="D52" s="75"/>
      <c r="E52" s="75"/>
      <c r="F52" s="75"/>
      <c r="G52" s="75"/>
      <c r="I52" s="223"/>
      <c r="J52" s="223"/>
      <c r="K52" s="75"/>
      <c r="L52" s="75"/>
      <c r="M52" s="75"/>
      <c r="N52" s="75"/>
      <c r="O52" s="75"/>
      <c r="P52" s="75"/>
      <c r="Q52" s="237" t="s">
        <v>276</v>
      </c>
      <c r="R52" s="237"/>
      <c r="S52" s="237" t="s">
        <v>463</v>
      </c>
      <c r="T52" s="237"/>
      <c r="U52" s="237"/>
      <c r="V52" s="237"/>
      <c r="W52" s="237"/>
      <c r="X52" s="237"/>
      <c r="Y52" s="237"/>
      <c r="Z52" s="75"/>
      <c r="AA52" s="75"/>
    </row>
    <row r="53" customFormat="false" ht="15" hidden="false" customHeight="false" outlineLevel="0" collapsed="false">
      <c r="A53" s="27"/>
      <c r="B53" s="27"/>
      <c r="C53" s="75"/>
      <c r="D53" s="75"/>
      <c r="E53" s="75"/>
      <c r="F53" s="75"/>
      <c r="G53" s="75"/>
      <c r="I53" s="223"/>
      <c r="J53" s="223"/>
      <c r="K53" s="75"/>
      <c r="L53" s="75"/>
      <c r="M53" s="75"/>
      <c r="N53" s="75"/>
      <c r="O53" s="75"/>
      <c r="P53" s="75"/>
      <c r="Q53" s="237" t="s">
        <v>277</v>
      </c>
      <c r="R53" s="237" t="s">
        <v>415</v>
      </c>
      <c r="S53" s="237" t="s">
        <v>279</v>
      </c>
      <c r="T53" s="240" t="n">
        <v>40</v>
      </c>
      <c r="U53" s="240" t="s">
        <v>280</v>
      </c>
      <c r="V53" s="240" t="n">
        <f aca="false">T53</f>
        <v>40</v>
      </c>
      <c r="W53" s="237" t="s">
        <v>281</v>
      </c>
      <c r="X53" s="237"/>
      <c r="Y53" s="237" t="s">
        <v>202</v>
      </c>
      <c r="Z53" s="238" t="n">
        <f aca="false">Z59+Z62+Z67</f>
        <v>19.79083</v>
      </c>
      <c r="AA53" s="75"/>
    </row>
    <row r="54" customFormat="false" ht="15" hidden="false" customHeight="false" outlineLevel="0" collapsed="false">
      <c r="A54" s="75"/>
      <c r="B54" s="75"/>
      <c r="C54" s="75"/>
      <c r="D54" s="75"/>
      <c r="E54" s="75"/>
      <c r="F54" s="75"/>
      <c r="G54" s="75"/>
      <c r="I54" s="223"/>
      <c r="J54" s="223"/>
      <c r="K54" s="75"/>
      <c r="L54" s="75"/>
      <c r="M54" s="75"/>
      <c r="N54" s="75"/>
      <c r="O54" s="75"/>
      <c r="P54" s="75"/>
      <c r="Q54" s="237" t="s">
        <v>282</v>
      </c>
      <c r="R54" s="237" t="s">
        <v>283</v>
      </c>
      <c r="S54" s="237"/>
      <c r="T54" s="75"/>
      <c r="U54" s="75"/>
      <c r="V54" s="237" t="s">
        <v>121</v>
      </c>
      <c r="W54" s="237" t="s">
        <v>284</v>
      </c>
      <c r="X54" s="237" t="s">
        <v>285</v>
      </c>
      <c r="Y54" s="237" t="s">
        <v>286</v>
      </c>
      <c r="Z54" s="237" t="s">
        <v>287</v>
      </c>
      <c r="AA54" s="75"/>
    </row>
    <row r="55" customFormat="false" ht="15" hidden="false" customHeight="false" outlineLevel="0" collapsed="false">
      <c r="A55" s="77"/>
      <c r="B55" s="77"/>
      <c r="C55" s="75"/>
      <c r="D55" s="75"/>
      <c r="E55" s="75"/>
      <c r="F55" s="75"/>
      <c r="G55" s="75"/>
      <c r="I55" s="223"/>
      <c r="J55" s="223"/>
      <c r="K55" s="75"/>
      <c r="L55" s="75"/>
      <c r="M55" s="75"/>
      <c r="N55" s="75"/>
      <c r="O55" s="75"/>
      <c r="P55" s="75"/>
      <c r="Q55" s="75"/>
      <c r="R55" s="241" t="s">
        <v>288</v>
      </c>
      <c r="S55" s="75"/>
      <c r="T55" s="75"/>
      <c r="U55" s="75"/>
      <c r="V55" s="75"/>
      <c r="W55" s="75"/>
      <c r="X55" s="75"/>
      <c r="Y55" s="75"/>
      <c r="Z55" s="75"/>
      <c r="AA55" s="75"/>
    </row>
    <row r="56" customFormat="false" ht="15" hidden="false" customHeight="false" outlineLevel="0" collapsed="false">
      <c r="A56" s="239"/>
      <c r="B56" s="239"/>
      <c r="C56" s="239"/>
      <c r="D56" s="239"/>
      <c r="E56" s="239"/>
      <c r="F56" s="75"/>
      <c r="G56" s="75"/>
      <c r="I56" s="227"/>
      <c r="J56" s="223"/>
      <c r="K56" s="75"/>
      <c r="L56" s="75"/>
      <c r="M56" s="75"/>
      <c r="N56" s="75"/>
      <c r="O56" s="75"/>
      <c r="P56" s="75"/>
      <c r="Q56" s="75"/>
      <c r="R56" s="75" t="s">
        <v>649</v>
      </c>
      <c r="S56" s="75"/>
      <c r="T56" s="75"/>
      <c r="U56" s="75"/>
      <c r="V56" s="75" t="s">
        <v>290</v>
      </c>
      <c r="W56" s="242" t="n">
        <v>0.1</v>
      </c>
      <c r="X56" s="243" t="n">
        <f aca="false">W56*8/$T$53</f>
        <v>0.02</v>
      </c>
      <c r="Y56" s="75" t="n">
        <v>34.73</v>
      </c>
      <c r="Z56" s="223" t="n">
        <f aca="false">X56*Y56</f>
        <v>0.6946</v>
      </c>
      <c r="AA56" s="75"/>
    </row>
    <row r="57" customFormat="false" ht="15" hidden="false" customHeight="false" outlineLevel="0" collapsed="false">
      <c r="A57" s="77"/>
      <c r="B57" s="75"/>
      <c r="C57" s="75"/>
      <c r="D57" s="75"/>
      <c r="E57" s="75"/>
      <c r="F57" s="75"/>
      <c r="G57" s="75"/>
      <c r="I57" s="209"/>
      <c r="J57" s="223"/>
      <c r="K57" s="160"/>
      <c r="L57" s="75"/>
      <c r="M57" s="75"/>
      <c r="N57" s="75"/>
      <c r="O57" s="75"/>
      <c r="P57" s="75"/>
      <c r="Q57" s="75"/>
      <c r="R57" s="75" t="s">
        <v>292</v>
      </c>
      <c r="S57" s="75"/>
      <c r="T57" s="75"/>
      <c r="U57" s="75"/>
      <c r="V57" s="75" t="s">
        <v>290</v>
      </c>
      <c r="W57" s="242" t="n">
        <v>2</v>
      </c>
      <c r="X57" s="243" t="n">
        <f aca="false">W57*8/$T$53</f>
        <v>0.4</v>
      </c>
      <c r="Y57" s="75" t="n">
        <v>20.51</v>
      </c>
      <c r="Z57" s="223" t="n">
        <f aca="false">X57*Y57</f>
        <v>8.204</v>
      </c>
      <c r="AA57" s="75"/>
    </row>
    <row r="58" customFormat="false" ht="15" hidden="false" customHeight="false" outlineLevel="0" collapsed="false">
      <c r="A58" s="75"/>
      <c r="B58" s="75"/>
      <c r="C58" s="75"/>
      <c r="D58" s="75"/>
      <c r="E58" s="75"/>
      <c r="F58" s="75"/>
      <c r="G58" s="75"/>
      <c r="I58" s="209"/>
      <c r="J58" s="223"/>
      <c r="K58" s="160"/>
      <c r="L58" s="75"/>
      <c r="M58" s="75"/>
      <c r="N58" s="75"/>
      <c r="O58" s="75"/>
      <c r="P58" s="75"/>
      <c r="Q58" s="75"/>
      <c r="R58" s="75" t="s">
        <v>651</v>
      </c>
      <c r="S58" s="75"/>
      <c r="T58" s="75"/>
      <c r="U58" s="75"/>
      <c r="V58" s="75" t="s">
        <v>290</v>
      </c>
      <c r="W58" s="242" t="n">
        <v>1</v>
      </c>
      <c r="X58" s="243" t="n">
        <f aca="false">W58*8/$T$53</f>
        <v>0.2</v>
      </c>
      <c r="Y58" s="75" t="n">
        <v>29.94</v>
      </c>
      <c r="Z58" s="223" t="n">
        <f aca="false">X58*Y58</f>
        <v>5.988</v>
      </c>
      <c r="AA58" s="75"/>
    </row>
    <row r="59" customFormat="false" ht="15" hidden="false" customHeight="false" outlineLevel="0" collapsed="false">
      <c r="A59" s="77"/>
      <c r="B59" s="77"/>
      <c r="C59" s="77"/>
      <c r="D59" s="75"/>
      <c r="E59" s="75"/>
      <c r="F59" s="75"/>
      <c r="G59" s="75"/>
      <c r="I59" s="209"/>
      <c r="J59" s="223"/>
      <c r="K59" s="160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242"/>
      <c r="X59" s="243"/>
      <c r="Y59" s="75"/>
      <c r="Z59" s="238" t="n">
        <f aca="false">SUM(Z56:Z58)</f>
        <v>14.8866</v>
      </c>
      <c r="AA59" s="75"/>
    </row>
    <row r="60" customFormat="false" ht="15" hidden="false" customHeight="false" outlineLevel="0" collapsed="false">
      <c r="A60" s="77"/>
      <c r="B60" s="77"/>
      <c r="C60" s="77"/>
      <c r="D60" s="75"/>
      <c r="E60" s="75"/>
      <c r="F60" s="75"/>
      <c r="G60" s="75"/>
      <c r="I60" s="209"/>
      <c r="J60" s="223"/>
      <c r="K60" s="75"/>
      <c r="L60" s="75"/>
      <c r="M60" s="75"/>
      <c r="N60" s="75"/>
      <c r="O60" s="75"/>
      <c r="P60" s="75"/>
      <c r="Q60" s="75"/>
      <c r="R60" s="241" t="s">
        <v>652</v>
      </c>
      <c r="S60" s="75"/>
      <c r="T60" s="75"/>
      <c r="U60" s="75"/>
      <c r="V60" s="75"/>
      <c r="W60" s="242"/>
      <c r="X60" s="243"/>
      <c r="Y60" s="75"/>
      <c r="Z60" s="75"/>
      <c r="AA60" s="75"/>
    </row>
    <row r="61" customFormat="false" ht="15" hidden="false" customHeight="false" outlineLevel="0" collapsed="false">
      <c r="A61" s="75"/>
      <c r="B61" s="75"/>
      <c r="C61" s="75"/>
      <c r="D61" s="75"/>
      <c r="E61" s="75"/>
      <c r="F61" s="75"/>
      <c r="G61" s="75"/>
      <c r="I61" s="209"/>
      <c r="J61" s="223"/>
      <c r="K61" s="75"/>
      <c r="L61" s="75"/>
      <c r="M61" s="75"/>
      <c r="N61" s="75"/>
      <c r="O61" s="75"/>
      <c r="P61" s="75"/>
      <c r="Q61" s="75"/>
      <c r="R61" s="75" t="s">
        <v>654</v>
      </c>
      <c r="S61" s="75"/>
      <c r="T61" s="75"/>
      <c r="U61" s="75"/>
      <c r="V61" s="75" t="s">
        <v>202</v>
      </c>
      <c r="W61" s="242"/>
      <c r="X61" s="243" t="n">
        <v>0.08</v>
      </c>
      <c r="Y61" s="75" t="n">
        <v>6.14</v>
      </c>
      <c r="Z61" s="223" t="n">
        <f aca="false">X61*Y61</f>
        <v>0.4912</v>
      </c>
      <c r="AA61" s="75"/>
    </row>
    <row r="62" customFormat="false" ht="15" hidden="false" customHeight="false" outlineLevel="0" collapsed="false">
      <c r="A62" s="75"/>
      <c r="B62" s="75"/>
      <c r="C62" s="75"/>
      <c r="D62" s="75"/>
      <c r="E62" s="75"/>
      <c r="F62" s="75"/>
      <c r="G62" s="75"/>
      <c r="I62" s="223"/>
      <c r="J62" s="223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242"/>
      <c r="X62" s="243"/>
      <c r="Y62" s="75"/>
      <c r="Z62" s="238" t="n">
        <f aca="false">SUM(Z61)</f>
        <v>0.4912</v>
      </c>
      <c r="AA62" s="75"/>
    </row>
    <row r="63" customFormat="false" ht="15" hidden="false" customHeight="false" outlineLevel="0" collapsed="false">
      <c r="A63" s="75"/>
      <c r="B63" s="75"/>
      <c r="C63" s="75"/>
      <c r="D63" s="75"/>
      <c r="E63" s="75"/>
      <c r="F63" s="75"/>
      <c r="G63" s="75"/>
      <c r="I63" s="209"/>
      <c r="J63" s="223"/>
      <c r="K63" s="160"/>
      <c r="L63" s="75"/>
      <c r="M63" s="75"/>
      <c r="N63" s="75"/>
      <c r="O63" s="75"/>
      <c r="P63" s="75"/>
      <c r="Q63" s="75"/>
      <c r="R63" s="241" t="s">
        <v>308</v>
      </c>
      <c r="S63" s="75"/>
      <c r="T63" s="75"/>
      <c r="U63" s="75"/>
      <c r="V63" s="75"/>
      <c r="W63" s="242"/>
      <c r="X63" s="243"/>
      <c r="Y63" s="75"/>
      <c r="Z63" s="75"/>
      <c r="AA63" s="75"/>
    </row>
    <row r="64" customFormat="false" ht="15" hidden="false" customHeight="false" outlineLevel="0" collapsed="false">
      <c r="A64" s="230"/>
      <c r="B64" s="75"/>
      <c r="C64" s="75"/>
      <c r="D64" s="75"/>
      <c r="E64" s="75"/>
      <c r="F64" s="75"/>
      <c r="G64" s="160"/>
      <c r="I64" s="209"/>
      <c r="J64" s="223"/>
      <c r="K64" s="75"/>
      <c r="L64" s="75"/>
      <c r="M64" s="75"/>
      <c r="N64" s="75"/>
      <c r="O64" s="75"/>
      <c r="P64" s="75"/>
      <c r="Q64" s="75"/>
      <c r="R64" s="75" t="s">
        <v>309</v>
      </c>
      <c r="S64" s="75"/>
      <c r="T64" s="75"/>
      <c r="U64" s="75"/>
      <c r="V64" s="75" t="s">
        <v>310</v>
      </c>
      <c r="W64" s="242"/>
      <c r="X64" s="243" t="n">
        <v>5</v>
      </c>
      <c r="Y64" s="223" t="n">
        <f aca="false">Z59</f>
        <v>14.8866</v>
      </c>
      <c r="Z64" s="223" t="n">
        <f aca="false">X64%*Y64</f>
        <v>0.74433</v>
      </c>
      <c r="AA64" s="75"/>
    </row>
    <row r="65" customFormat="false" ht="15" hidden="false" customHeight="false" outlineLevel="0" collapsed="false">
      <c r="A65" s="75"/>
      <c r="B65" s="75"/>
      <c r="C65" s="75"/>
      <c r="D65" s="75"/>
      <c r="E65" s="75"/>
      <c r="F65" s="75"/>
      <c r="G65" s="160"/>
      <c r="I65" s="209"/>
      <c r="J65" s="223"/>
      <c r="K65" s="75"/>
      <c r="L65" s="75"/>
      <c r="M65" s="75"/>
      <c r="N65" s="75"/>
      <c r="O65" s="75"/>
      <c r="P65" s="75"/>
      <c r="Q65" s="75"/>
      <c r="R65" s="75" t="s">
        <v>655</v>
      </c>
      <c r="S65" s="75"/>
      <c r="T65" s="75"/>
      <c r="U65" s="75"/>
      <c r="V65" s="75" t="s">
        <v>337</v>
      </c>
      <c r="W65" s="242" t="n">
        <v>1</v>
      </c>
      <c r="X65" s="243" t="n">
        <f aca="false">W65*8/$T$53</f>
        <v>0.2</v>
      </c>
      <c r="Y65" s="75" t="n">
        <v>17.47</v>
      </c>
      <c r="Z65" s="223" t="n">
        <f aca="false">X65*Y65</f>
        <v>3.494</v>
      </c>
      <c r="AA65" s="75"/>
    </row>
    <row r="66" customFormat="false" ht="15" hidden="false" customHeight="false" outlineLevel="0" collapsed="false">
      <c r="A66" s="75"/>
      <c r="B66" s="75"/>
      <c r="C66" s="75"/>
      <c r="D66" s="75"/>
      <c r="E66" s="75"/>
      <c r="F66" s="75"/>
      <c r="G66" s="160"/>
      <c r="I66" s="209"/>
      <c r="J66" s="223"/>
      <c r="K66" s="75"/>
      <c r="L66" s="75"/>
      <c r="M66" s="75"/>
      <c r="N66" s="75"/>
      <c r="O66" s="75"/>
      <c r="P66" s="75"/>
      <c r="Q66" s="75"/>
      <c r="R66" s="75" t="s">
        <v>656</v>
      </c>
      <c r="S66" s="75"/>
      <c r="T66" s="75"/>
      <c r="U66" s="75"/>
      <c r="V66" s="75" t="s">
        <v>337</v>
      </c>
      <c r="W66" s="242" t="n">
        <v>0.05</v>
      </c>
      <c r="X66" s="243" t="n">
        <f aca="false">W66*8/$T$53</f>
        <v>0.01</v>
      </c>
      <c r="Y66" s="75" t="n">
        <v>17.47</v>
      </c>
      <c r="Z66" s="223" t="n">
        <f aca="false">X66*Y66</f>
        <v>0.1747</v>
      </c>
      <c r="AA66" s="75"/>
    </row>
    <row r="67" customFormat="false" ht="15" hidden="false" customHeight="false" outlineLevel="0" collapsed="false">
      <c r="A67" s="75"/>
      <c r="B67" s="75"/>
      <c r="C67" s="75"/>
      <c r="D67" s="75"/>
      <c r="E67" s="75"/>
      <c r="F67" s="75"/>
      <c r="G67" s="160"/>
      <c r="I67" s="209"/>
      <c r="J67" s="223"/>
      <c r="K67" s="75"/>
      <c r="L67" s="75"/>
      <c r="M67" s="75"/>
      <c r="N67" s="75"/>
      <c r="O67" s="75"/>
      <c r="P67" s="75"/>
      <c r="Q67" s="244" t="s">
        <v>669</v>
      </c>
      <c r="R67" s="244" t="s">
        <v>669</v>
      </c>
      <c r="S67" s="244" t="s">
        <v>669</v>
      </c>
      <c r="T67" s="244" t="s">
        <v>669</v>
      </c>
      <c r="U67" s="244" t="s">
        <v>669</v>
      </c>
      <c r="V67" s="244" t="s">
        <v>669</v>
      </c>
      <c r="W67" s="244" t="s">
        <v>669</v>
      </c>
      <c r="X67" s="244" t="s">
        <v>669</v>
      </c>
      <c r="Y67" s="247" t="s">
        <v>669</v>
      </c>
      <c r="Z67" s="245" t="n">
        <f aca="false">SUM(Z64:Z66)</f>
        <v>4.41303</v>
      </c>
      <c r="AA67" s="75"/>
    </row>
    <row r="68" customFormat="false" ht="15" hidden="false" customHeight="false" outlineLevel="0" collapsed="false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</row>
    <row r="69" customFormat="false" ht="15" hidden="false" customHeight="false" outlineLevel="0" collapsed="false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237" t="s">
        <v>276</v>
      </c>
      <c r="R69" s="237"/>
      <c r="S69" s="237" t="s">
        <v>1348</v>
      </c>
      <c r="T69" s="237"/>
      <c r="U69" s="237"/>
      <c r="V69" s="237"/>
      <c r="W69" s="237"/>
      <c r="X69" s="75"/>
      <c r="Y69" s="75"/>
      <c r="Z69" s="75"/>
      <c r="AA69" s="75"/>
    </row>
    <row r="70" customFormat="false" ht="15" hidden="false" customHeight="false" outlineLevel="0" collapsed="false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237" t="s">
        <v>277</v>
      </c>
      <c r="R70" s="237" t="s">
        <v>278</v>
      </c>
      <c r="S70" s="237" t="s">
        <v>279</v>
      </c>
      <c r="T70" s="240" t="n">
        <v>500</v>
      </c>
      <c r="U70" s="240" t="s">
        <v>280</v>
      </c>
      <c r="V70" s="240" t="n">
        <f aca="false">T70</f>
        <v>500</v>
      </c>
      <c r="W70" s="237" t="s">
        <v>281</v>
      </c>
      <c r="X70" s="237"/>
      <c r="Y70" s="237" t="s">
        <v>132</v>
      </c>
      <c r="Z70" s="238" t="n">
        <f aca="false">Z76+Z82</f>
        <v>7.998448</v>
      </c>
      <c r="AA70" s="75"/>
    </row>
    <row r="71" customFormat="false" ht="15" hidden="false" customHeight="false" outlineLevel="0" collapsed="false">
      <c r="A71" s="75"/>
      <c r="B71" s="75"/>
      <c r="C71" s="75"/>
      <c r="D71" s="75"/>
      <c r="E71" s="75"/>
      <c r="F71" s="75"/>
      <c r="G71" s="75"/>
      <c r="H71" s="249"/>
      <c r="I71" s="75"/>
      <c r="J71" s="75"/>
      <c r="K71" s="75"/>
      <c r="L71" s="75"/>
      <c r="M71" s="75"/>
      <c r="N71" s="75"/>
      <c r="O71" s="75"/>
      <c r="P71" s="75"/>
      <c r="Q71" s="237" t="s">
        <v>282</v>
      </c>
      <c r="R71" s="237" t="s">
        <v>283</v>
      </c>
      <c r="S71" s="237"/>
      <c r="T71" s="75"/>
      <c r="U71" s="75"/>
      <c r="V71" s="237" t="s">
        <v>121</v>
      </c>
      <c r="W71" s="237" t="s">
        <v>284</v>
      </c>
      <c r="X71" s="237" t="s">
        <v>285</v>
      </c>
      <c r="Y71" s="237" t="s">
        <v>286</v>
      </c>
      <c r="Z71" s="237" t="s">
        <v>287</v>
      </c>
      <c r="AA71" s="75"/>
    </row>
    <row r="72" customFormat="false" ht="15" hidden="false" customHeight="false" outlineLevel="0" collapsed="false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241" t="s">
        <v>288</v>
      </c>
      <c r="S72" s="75"/>
      <c r="T72" s="75"/>
      <c r="U72" s="75"/>
      <c r="V72" s="75"/>
      <c r="W72" s="75"/>
      <c r="X72" s="75"/>
      <c r="Y72" s="75"/>
      <c r="Z72" s="75"/>
      <c r="AA72" s="75"/>
    </row>
    <row r="73" customFormat="false" ht="15" hidden="false" customHeight="false" outlineLevel="0" collapsed="false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 t="s">
        <v>649</v>
      </c>
      <c r="S73" s="75"/>
      <c r="T73" s="75"/>
      <c r="U73" s="75"/>
      <c r="V73" s="75" t="s">
        <v>290</v>
      </c>
      <c r="W73" s="242" t="n">
        <v>1</v>
      </c>
      <c r="X73" s="243" t="n">
        <f aca="false">W73*8/$T$70</f>
        <v>0.016</v>
      </c>
      <c r="Y73" s="75" t="n">
        <v>34.73</v>
      </c>
      <c r="Z73" s="223" t="n">
        <f aca="false">X73*Y73</f>
        <v>0.55568</v>
      </c>
      <c r="AA73" s="75"/>
    </row>
    <row r="74" customFormat="false" ht="15" hidden="false" customHeight="false" outlineLevel="0" collapsed="false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 t="s">
        <v>291</v>
      </c>
      <c r="S74" s="75"/>
      <c r="T74" s="75"/>
      <c r="U74" s="75"/>
      <c r="V74" s="75" t="s">
        <v>290</v>
      </c>
      <c r="W74" s="242" t="n">
        <v>1</v>
      </c>
      <c r="X74" s="243" t="n">
        <f aca="false">W74*8/$T$70</f>
        <v>0.016</v>
      </c>
      <c r="Y74" s="75" t="n">
        <v>23.6</v>
      </c>
      <c r="Z74" s="223" t="n">
        <f aca="false">X74*Y74</f>
        <v>0.3776</v>
      </c>
      <c r="AA74" s="75"/>
    </row>
    <row r="75" customFormat="false" ht="15" hidden="false" customHeight="false" outlineLevel="0" collapsed="false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 t="s">
        <v>292</v>
      </c>
      <c r="S75" s="75"/>
      <c r="T75" s="75"/>
      <c r="U75" s="75"/>
      <c r="V75" s="75" t="s">
        <v>290</v>
      </c>
      <c r="W75" s="242" t="n">
        <v>3</v>
      </c>
      <c r="X75" s="243" t="n">
        <f aca="false">W75*8/$T$70</f>
        <v>0.048</v>
      </c>
      <c r="Y75" s="75" t="n">
        <v>20.51</v>
      </c>
      <c r="Z75" s="223" t="n">
        <f aca="false">X75*Y75</f>
        <v>0.98448</v>
      </c>
      <c r="AA75" s="75"/>
    </row>
    <row r="76" customFormat="false" ht="15" hidden="false" customHeight="false" outlineLevel="0" collapsed="false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242"/>
      <c r="X76" s="243"/>
      <c r="Y76" s="75"/>
      <c r="Z76" s="238" t="n">
        <f aca="false">SUM(Z73:Z75)</f>
        <v>1.91776</v>
      </c>
      <c r="AA76" s="75"/>
    </row>
    <row r="77" customFormat="false" ht="15" hidden="false" customHeight="false" outlineLevel="0" collapsed="false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241" t="s">
        <v>308</v>
      </c>
      <c r="S77" s="75"/>
      <c r="T77" s="75"/>
      <c r="U77" s="75"/>
      <c r="V77" s="75"/>
      <c r="W77" s="242"/>
      <c r="X77" s="243"/>
      <c r="Y77" s="75"/>
      <c r="Z77" s="75"/>
      <c r="AA77" s="75"/>
    </row>
    <row r="78" customFormat="false" ht="15" hidden="false" customHeight="false" outlineLevel="0" collapsed="false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 t="s">
        <v>309</v>
      </c>
      <c r="S78" s="75"/>
      <c r="T78" s="75"/>
      <c r="U78" s="75"/>
      <c r="V78" s="75" t="s">
        <v>310</v>
      </c>
      <c r="W78" s="242"/>
      <c r="X78" s="243" t="n">
        <v>5</v>
      </c>
      <c r="Y78" s="223" t="n">
        <f aca="false">Z76</f>
        <v>1.91776</v>
      </c>
      <c r="Z78" s="223" t="n">
        <f aca="false">X78%*Y78</f>
        <v>0.095888</v>
      </c>
      <c r="AA78" s="75"/>
    </row>
    <row r="79" customFormat="false" ht="15" hidden="false" customHeight="false" outlineLevel="0" collapsed="false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 t="s">
        <v>655</v>
      </c>
      <c r="S79" s="75"/>
      <c r="T79" s="75"/>
      <c r="U79" s="75"/>
      <c r="V79" s="75" t="s">
        <v>337</v>
      </c>
      <c r="W79" s="242" t="n">
        <v>1</v>
      </c>
      <c r="X79" s="243" t="n">
        <f aca="false">W79*8/$T$70</f>
        <v>0.016</v>
      </c>
      <c r="Y79" s="75" t="n">
        <v>17.47</v>
      </c>
      <c r="Z79" s="223" t="n">
        <f aca="false">X79*Y79</f>
        <v>0.27952</v>
      </c>
      <c r="AA79" s="75"/>
    </row>
    <row r="80" customFormat="false" ht="15" hidden="false" customHeight="false" outlineLevel="0" collapsed="false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 t="s">
        <v>657</v>
      </c>
      <c r="S80" s="75"/>
      <c r="T80" s="75"/>
      <c r="U80" s="75"/>
      <c r="V80" s="75" t="s">
        <v>337</v>
      </c>
      <c r="W80" s="242" t="n">
        <v>1</v>
      </c>
      <c r="X80" s="243" t="n">
        <f aca="false">W80*8/$T$70</f>
        <v>0.016</v>
      </c>
      <c r="Y80" s="75" t="n">
        <v>136.06</v>
      </c>
      <c r="Z80" s="223" t="n">
        <f aca="false">X80*Y80</f>
        <v>2.17696</v>
      </c>
      <c r="AA80" s="75"/>
    </row>
    <row r="81" customFormat="false" ht="15" hidden="false" customHeight="false" outlineLevel="0" collapsed="false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 t="s">
        <v>658</v>
      </c>
      <c r="S81" s="250"/>
      <c r="T81" s="250"/>
      <c r="U81" s="250"/>
      <c r="V81" s="75" t="s">
        <v>337</v>
      </c>
      <c r="W81" s="242" t="n">
        <v>1</v>
      </c>
      <c r="X81" s="243" t="n">
        <f aca="false">W81*8/$T$70</f>
        <v>0.016</v>
      </c>
      <c r="Y81" s="75" t="n">
        <v>220.52</v>
      </c>
      <c r="Z81" s="223" t="n">
        <f aca="false">X81*Y81</f>
        <v>3.52832</v>
      </c>
      <c r="AA81" s="75"/>
    </row>
    <row r="82" customFormat="false" ht="15" hidden="false" customHeight="false" outlineLevel="0" collapsed="false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244" t="s">
        <v>669</v>
      </c>
      <c r="R82" s="244" t="s">
        <v>669</v>
      </c>
      <c r="S82" s="244" t="s">
        <v>669</v>
      </c>
      <c r="T82" s="244" t="s">
        <v>669</v>
      </c>
      <c r="U82" s="244" t="s">
        <v>669</v>
      </c>
      <c r="V82" s="244" t="s">
        <v>669</v>
      </c>
      <c r="W82" s="244" t="s">
        <v>669</v>
      </c>
      <c r="X82" s="244" t="s">
        <v>669</v>
      </c>
      <c r="Y82" s="247" t="s">
        <v>669</v>
      </c>
      <c r="Z82" s="245" t="n">
        <f aca="false">SUM(Z78:Z81)</f>
        <v>6.080688</v>
      </c>
      <c r="AA82" s="75"/>
    </row>
    <row r="83" customFormat="false" ht="15" hidden="false" customHeight="false" outlineLevel="0" collapsed="false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</row>
    <row r="84" customFormat="false" ht="15" hidden="false" customHeight="false" outlineLevel="0" collapsed="false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237" t="s">
        <v>276</v>
      </c>
      <c r="R84" s="237"/>
      <c r="S84" s="237" t="s">
        <v>467</v>
      </c>
      <c r="T84" s="237"/>
      <c r="U84" s="237"/>
      <c r="V84" s="237"/>
      <c r="W84" s="75"/>
      <c r="X84" s="75"/>
      <c r="Y84" s="75"/>
      <c r="Z84" s="75"/>
      <c r="AA84" s="75"/>
    </row>
    <row r="85" customFormat="false" ht="15" hidden="false" customHeight="false" outlineLevel="0" collapsed="false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237" t="s">
        <v>277</v>
      </c>
      <c r="R85" s="237" t="s">
        <v>313</v>
      </c>
      <c r="S85" s="237" t="s">
        <v>279</v>
      </c>
      <c r="T85" s="240" t="n">
        <v>80</v>
      </c>
      <c r="U85" s="240" t="s">
        <v>280</v>
      </c>
      <c r="V85" s="240" t="n">
        <f aca="false">T85</f>
        <v>80</v>
      </c>
      <c r="W85" s="237" t="s">
        <v>281</v>
      </c>
      <c r="X85" s="237"/>
      <c r="Y85" s="237" t="s">
        <v>143</v>
      </c>
      <c r="Z85" s="238" t="n">
        <f aca="false">Z89+Z93</f>
        <v>12.11253</v>
      </c>
      <c r="AA85" s="75"/>
    </row>
    <row r="86" customFormat="false" ht="15" hidden="false" customHeight="false" outlineLevel="0" collapsed="false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237" t="s">
        <v>282</v>
      </c>
      <c r="R86" s="237" t="s">
        <v>283</v>
      </c>
      <c r="S86" s="237"/>
      <c r="T86" s="242"/>
      <c r="U86" s="242"/>
      <c r="V86" s="240" t="s">
        <v>121</v>
      </c>
      <c r="W86" s="237" t="s">
        <v>284</v>
      </c>
      <c r="X86" s="237" t="s">
        <v>285</v>
      </c>
      <c r="Y86" s="237" t="s">
        <v>286</v>
      </c>
      <c r="Z86" s="237" t="s">
        <v>287</v>
      </c>
      <c r="AA86" s="75"/>
    </row>
    <row r="87" customFormat="false" ht="15" hidden="false" customHeight="false" outlineLevel="0" collapsed="false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241" t="s">
        <v>288</v>
      </c>
      <c r="S87" s="75"/>
      <c r="T87" s="75"/>
      <c r="U87" s="75"/>
      <c r="V87" s="75"/>
      <c r="W87" s="75"/>
      <c r="X87" s="75"/>
      <c r="Y87" s="75"/>
      <c r="Z87" s="75"/>
      <c r="AA87" s="75"/>
    </row>
    <row r="88" customFormat="false" ht="15" hidden="false" customHeight="false" outlineLevel="0" collapsed="false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 t="s">
        <v>292</v>
      </c>
      <c r="S88" s="75"/>
      <c r="T88" s="75"/>
      <c r="U88" s="75"/>
      <c r="V88" s="75" t="s">
        <v>290</v>
      </c>
      <c r="W88" s="242" t="n">
        <v>1</v>
      </c>
      <c r="X88" s="243" t="n">
        <f aca="false">W88*8/$T$85</f>
        <v>0.1</v>
      </c>
      <c r="Y88" s="223" t="n">
        <v>20.51</v>
      </c>
      <c r="Z88" s="223" t="n">
        <f aca="false">X88*Y88</f>
        <v>2.051</v>
      </c>
      <c r="AA88" s="75"/>
    </row>
    <row r="89" customFormat="false" ht="15" hidden="false" customHeight="false" outlineLevel="0" collapsed="false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242"/>
      <c r="X89" s="243"/>
      <c r="Y89" s="223"/>
      <c r="Z89" s="238" t="n">
        <f aca="false">SUM(Z88)</f>
        <v>2.051</v>
      </c>
      <c r="AA89" s="75"/>
    </row>
    <row r="90" customFormat="false" ht="15" hidden="false" customHeight="false" outlineLevel="0" collapsed="false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241" t="s">
        <v>308</v>
      </c>
      <c r="S90" s="75"/>
      <c r="T90" s="75"/>
      <c r="U90" s="75"/>
      <c r="V90" s="75"/>
      <c r="W90" s="242"/>
      <c r="X90" s="243"/>
      <c r="Y90" s="223"/>
      <c r="Z90" s="223"/>
      <c r="AA90" s="75"/>
    </row>
    <row r="91" customFormat="false" ht="15" hidden="false" customHeight="false" outlineLevel="0" collapsed="false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 t="s">
        <v>309</v>
      </c>
      <c r="S91" s="75"/>
      <c r="T91" s="75"/>
      <c r="U91" s="75"/>
      <c r="V91" s="75" t="s">
        <v>310</v>
      </c>
      <c r="W91" s="242"/>
      <c r="X91" s="243" t="n">
        <v>3</v>
      </c>
      <c r="Y91" s="223" t="n">
        <f aca="false">Z89</f>
        <v>2.051</v>
      </c>
      <c r="Z91" s="223" t="n">
        <f aca="false">X91%*Y91</f>
        <v>0.06153</v>
      </c>
      <c r="AA91" s="75"/>
    </row>
    <row r="92" customFormat="false" ht="15" hidden="false" customHeight="false" outlineLevel="0" collapsed="false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 t="s">
        <v>659</v>
      </c>
      <c r="S92" s="75"/>
      <c r="T92" s="75"/>
      <c r="U92" s="75"/>
      <c r="V92" s="75" t="s">
        <v>337</v>
      </c>
      <c r="W92" s="242" t="n">
        <v>1</v>
      </c>
      <c r="X92" s="243" t="n">
        <f aca="false">W92*8/$T$85</f>
        <v>0.1</v>
      </c>
      <c r="Y92" s="223" t="n">
        <v>100</v>
      </c>
      <c r="Z92" s="223" t="n">
        <f aca="false">X92*Y92</f>
        <v>10</v>
      </c>
      <c r="AA92" s="75"/>
    </row>
    <row r="93" customFormat="false" ht="15" hidden="false" customHeight="false" outlineLevel="0" collapsed="false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244" t="s">
        <v>669</v>
      </c>
      <c r="R93" s="244" t="s">
        <v>669</v>
      </c>
      <c r="S93" s="244" t="s">
        <v>669</v>
      </c>
      <c r="T93" s="244" t="s">
        <v>669</v>
      </c>
      <c r="U93" s="244" t="s">
        <v>669</v>
      </c>
      <c r="V93" s="244" t="s">
        <v>669</v>
      </c>
      <c r="W93" s="244" t="s">
        <v>669</v>
      </c>
      <c r="X93" s="244" t="s">
        <v>669</v>
      </c>
      <c r="Y93" s="245" t="s">
        <v>669</v>
      </c>
      <c r="Z93" s="245" t="n">
        <f aca="false">SUM(Z91:Z92)</f>
        <v>10.06153</v>
      </c>
      <c r="AA93" s="75"/>
    </row>
    <row r="94" customFormat="false" ht="15" hidden="false" customHeight="false" outlineLevel="0" collapsed="false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</row>
    <row r="95" customFormat="false" ht="15" hidden="false" customHeight="false" outlineLevel="0" collapsed="false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237" t="s">
        <v>276</v>
      </c>
      <c r="R95" s="237"/>
      <c r="S95" s="237" t="s">
        <v>469</v>
      </c>
      <c r="T95" s="237"/>
      <c r="U95" s="237"/>
      <c r="V95" s="237"/>
      <c r="W95" s="237"/>
      <c r="X95" s="75"/>
      <c r="Y95" s="75"/>
      <c r="Z95" s="75"/>
      <c r="AA95" s="75"/>
    </row>
    <row r="96" customFormat="false" ht="15" hidden="false" customHeight="false" outlineLevel="0" collapsed="false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237" t="s">
        <v>277</v>
      </c>
      <c r="R96" s="237" t="s">
        <v>415</v>
      </c>
      <c r="S96" s="237" t="s">
        <v>279</v>
      </c>
      <c r="T96" s="240" t="n">
        <v>187.5</v>
      </c>
      <c r="U96" s="240" t="s">
        <v>280</v>
      </c>
      <c r="V96" s="240" t="n">
        <f aca="false">T96</f>
        <v>187.5</v>
      </c>
      <c r="W96" s="237" t="s">
        <v>281</v>
      </c>
      <c r="X96" s="237"/>
      <c r="Y96" s="237" t="s">
        <v>202</v>
      </c>
      <c r="Z96" s="238" t="n">
        <f aca="false">Z101+Z106</f>
        <v>22.9100074666667</v>
      </c>
      <c r="AA96" s="75"/>
    </row>
    <row r="97" customFormat="false" ht="15" hidden="false" customHeight="false" outlineLevel="0" collapsed="false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237" t="s">
        <v>282</v>
      </c>
      <c r="R97" s="237" t="s">
        <v>283</v>
      </c>
      <c r="S97" s="237"/>
      <c r="T97" s="75"/>
      <c r="U97" s="75"/>
      <c r="V97" s="237" t="s">
        <v>121</v>
      </c>
      <c r="W97" s="237" t="s">
        <v>284</v>
      </c>
      <c r="X97" s="237" t="s">
        <v>285</v>
      </c>
      <c r="Y97" s="237" t="s">
        <v>286</v>
      </c>
      <c r="Z97" s="237" t="s">
        <v>287</v>
      </c>
      <c r="AA97" s="75"/>
    </row>
    <row r="98" customFormat="false" ht="15" hidden="false" customHeight="false" outlineLevel="0" collapsed="false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241" t="s">
        <v>288</v>
      </c>
      <c r="S98" s="75"/>
      <c r="T98" s="75"/>
      <c r="U98" s="75"/>
      <c r="V98" s="75"/>
      <c r="W98" s="75"/>
      <c r="X98" s="75"/>
      <c r="Y98" s="75"/>
      <c r="Z98" s="75"/>
      <c r="AA98" s="75"/>
    </row>
    <row r="99" customFormat="false" ht="15" hidden="false" customHeight="false" outlineLevel="0" collapsed="false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 t="s">
        <v>291</v>
      </c>
      <c r="S99" s="75"/>
      <c r="T99" s="75"/>
      <c r="U99" s="75"/>
      <c r="V99" s="75" t="s">
        <v>290</v>
      </c>
      <c r="W99" s="242" t="n">
        <v>1</v>
      </c>
      <c r="X99" s="243" t="n">
        <f aca="false">W99*8/$T$96</f>
        <v>0.0426666666666667</v>
      </c>
      <c r="Y99" s="75" t="n">
        <v>23.6</v>
      </c>
      <c r="Z99" s="223" t="n">
        <f aca="false">X99*Y99</f>
        <v>1.00693333333333</v>
      </c>
      <c r="AA99" s="75"/>
    </row>
    <row r="100" customFormat="false" ht="15" hidden="false" customHeight="false" outlineLevel="0" collapsed="false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 t="s">
        <v>292</v>
      </c>
      <c r="S100" s="75"/>
      <c r="T100" s="75"/>
      <c r="U100" s="75"/>
      <c r="V100" s="75" t="s">
        <v>290</v>
      </c>
      <c r="W100" s="242" t="n">
        <v>1</v>
      </c>
      <c r="X100" s="243" t="n">
        <f aca="false">W100*8/$T$96</f>
        <v>0.0426666666666667</v>
      </c>
      <c r="Y100" s="75" t="n">
        <v>20.51</v>
      </c>
      <c r="Z100" s="223" t="n">
        <f aca="false">X100*Y100</f>
        <v>0.875093333333333</v>
      </c>
      <c r="AA100" s="75"/>
    </row>
    <row r="101" customFormat="false" ht="15" hidden="false" customHeight="false" outlineLevel="0" collapsed="false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242"/>
      <c r="X101" s="243"/>
      <c r="Y101" s="75"/>
      <c r="Z101" s="238" t="n">
        <f aca="false">SUM(Z99:Z100)</f>
        <v>1.88202666666667</v>
      </c>
      <c r="AA101" s="75"/>
    </row>
    <row r="102" customFormat="false" ht="15" hidden="false" customHeight="false" outlineLevel="0" collapsed="false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241" t="s">
        <v>308</v>
      </c>
      <c r="S102" s="75"/>
      <c r="T102" s="75"/>
      <c r="U102" s="75"/>
      <c r="V102" s="75"/>
      <c r="W102" s="242"/>
      <c r="X102" s="243"/>
      <c r="Y102" s="75"/>
      <c r="Z102" s="75"/>
      <c r="AA102" s="75"/>
    </row>
    <row r="103" customFormat="false" ht="15" hidden="false" customHeight="false" outlineLevel="0" collapsed="false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 t="s">
        <v>309</v>
      </c>
      <c r="S103" s="75"/>
      <c r="T103" s="75"/>
      <c r="U103" s="75"/>
      <c r="V103" s="75" t="s">
        <v>310</v>
      </c>
      <c r="W103" s="242"/>
      <c r="X103" s="243" t="n">
        <v>3</v>
      </c>
      <c r="Y103" s="223" t="n">
        <f aca="false">Z101</f>
        <v>1.88202666666667</v>
      </c>
      <c r="Z103" s="223" t="n">
        <f aca="false">X103%*Y103</f>
        <v>0.0564608</v>
      </c>
      <c r="AA103" s="75"/>
    </row>
    <row r="104" customFormat="false" ht="15" hidden="false" customHeight="false" outlineLevel="0" collapsed="false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 t="s">
        <v>660</v>
      </c>
      <c r="S104" s="75"/>
      <c r="T104" s="75"/>
      <c r="U104" s="75"/>
      <c r="V104" s="75" t="s">
        <v>337</v>
      </c>
      <c r="W104" s="242" t="n">
        <v>1</v>
      </c>
      <c r="X104" s="243" t="n">
        <f aca="false">W104*8/$T$96</f>
        <v>0.0426666666666667</v>
      </c>
      <c r="Y104" s="248" t="n">
        <v>118.64</v>
      </c>
      <c r="Z104" s="223" t="n">
        <f aca="false">X104*Y104</f>
        <v>5.06197333333333</v>
      </c>
      <c r="AA104" s="75"/>
    </row>
    <row r="105" customFormat="false" ht="15" hidden="false" customHeight="false" outlineLevel="0" collapsed="false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 t="s">
        <v>661</v>
      </c>
      <c r="S105" s="75"/>
      <c r="T105" s="75"/>
      <c r="U105" s="75"/>
      <c r="V105" s="75" t="s">
        <v>337</v>
      </c>
      <c r="W105" s="242" t="n">
        <v>2</v>
      </c>
      <c r="X105" s="243" t="n">
        <f aca="false">W105*8/$T$96</f>
        <v>0.0853333333333333</v>
      </c>
      <c r="Y105" s="248" t="n">
        <v>186.44</v>
      </c>
      <c r="Z105" s="223" t="n">
        <f aca="false">X105*Y105</f>
        <v>15.9095466666667</v>
      </c>
      <c r="AA105" s="75"/>
    </row>
    <row r="106" customFormat="false" ht="15" hidden="false" customHeight="false" outlineLevel="0" collapsed="false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244" t="s">
        <v>669</v>
      </c>
      <c r="R106" s="244" t="s">
        <v>669</v>
      </c>
      <c r="S106" s="244" t="s">
        <v>669</v>
      </c>
      <c r="T106" s="244" t="s">
        <v>669</v>
      </c>
      <c r="U106" s="244" t="s">
        <v>669</v>
      </c>
      <c r="V106" s="244" t="s">
        <v>669</v>
      </c>
      <c r="W106" s="244" t="s">
        <v>669</v>
      </c>
      <c r="X106" s="244" t="s">
        <v>669</v>
      </c>
      <c r="Y106" s="247" t="s">
        <v>669</v>
      </c>
      <c r="Z106" s="245" t="n">
        <f aca="false">SUM(Z103:Z105)</f>
        <v>21.0279808</v>
      </c>
      <c r="AA106" s="75"/>
    </row>
    <row r="107" customFormat="false" ht="15" hidden="false" customHeight="false" outlineLevel="0" collapsed="false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</row>
    <row r="108" customFormat="false" ht="15" hidden="false" customHeight="false" outlineLevel="0" collapsed="false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86" t="s">
        <v>276</v>
      </c>
      <c r="R108" s="86"/>
      <c r="S108" s="86" t="s">
        <v>478</v>
      </c>
      <c r="T108" s="86"/>
      <c r="U108" s="86"/>
      <c r="V108" s="86"/>
      <c r="W108" s="86"/>
      <c r="X108" s="86"/>
      <c r="Y108" s="75"/>
      <c r="Z108" s="75"/>
      <c r="AA108" s="75"/>
    </row>
    <row r="109" customFormat="false" ht="15" hidden="false" customHeight="false" outlineLevel="0" collapsed="false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86" t="s">
        <v>277</v>
      </c>
      <c r="R109" s="86" t="s">
        <v>278</v>
      </c>
      <c r="S109" s="86" t="s">
        <v>279</v>
      </c>
      <c r="T109" s="92" t="n">
        <v>50</v>
      </c>
      <c r="U109" s="92" t="s">
        <v>280</v>
      </c>
      <c r="V109" s="92" t="n">
        <f aca="false">T109</f>
        <v>50</v>
      </c>
      <c r="W109" s="86" t="s">
        <v>281</v>
      </c>
      <c r="X109" s="86"/>
      <c r="Y109" s="86" t="s">
        <v>132</v>
      </c>
      <c r="Z109" s="93" t="n">
        <f aca="false">Z117+Z124+Z128</f>
        <v>238.3435744</v>
      </c>
      <c r="AA109" s="75"/>
    </row>
    <row r="110" customFormat="false" ht="15" hidden="false" customHeight="false" outlineLevel="0" collapsed="false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86" t="s">
        <v>282</v>
      </c>
      <c r="R110" s="86" t="s">
        <v>283</v>
      </c>
      <c r="S110" s="86"/>
      <c r="T110" s="75"/>
      <c r="U110" s="75"/>
      <c r="V110" s="86" t="s">
        <v>121</v>
      </c>
      <c r="W110" s="86" t="s">
        <v>284</v>
      </c>
      <c r="X110" s="86" t="s">
        <v>285</v>
      </c>
      <c r="Y110" s="86" t="s">
        <v>286</v>
      </c>
      <c r="Z110" s="86" t="s">
        <v>287</v>
      </c>
      <c r="AA110" s="75"/>
    </row>
    <row r="111" customFormat="false" ht="15" hidden="false" customHeight="false" outlineLevel="0" collapsed="false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95" t="s">
        <v>288</v>
      </c>
      <c r="S111" s="75"/>
      <c r="T111" s="75"/>
      <c r="U111" s="75"/>
      <c r="V111" s="75"/>
      <c r="W111" s="75"/>
      <c r="X111" s="75"/>
      <c r="Y111" s="75"/>
      <c r="Z111" s="75"/>
      <c r="AA111" s="75"/>
    </row>
    <row r="112" customFormat="false" ht="15" hidden="false" customHeight="false" outlineLevel="0" collapsed="false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 t="s">
        <v>649</v>
      </c>
      <c r="S112" s="75"/>
      <c r="T112" s="75"/>
      <c r="U112" s="75"/>
      <c r="V112" s="75" t="s">
        <v>290</v>
      </c>
      <c r="W112" s="242" t="n">
        <v>0.1</v>
      </c>
      <c r="X112" s="243" t="n">
        <f aca="false">W112*8/$T$109</f>
        <v>0.016</v>
      </c>
      <c r="Y112" s="223" t="n">
        <v>34.73</v>
      </c>
      <c r="Z112" s="223" t="n">
        <f aca="false">X112*Y112</f>
        <v>0.55568</v>
      </c>
      <c r="AA112" s="75"/>
    </row>
    <row r="113" customFormat="false" ht="15" hidden="false" customHeight="false" outlineLevel="0" collapsed="false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 t="s">
        <v>289</v>
      </c>
      <c r="S113" s="75"/>
      <c r="T113" s="75"/>
      <c r="U113" s="75"/>
      <c r="V113" s="75" t="s">
        <v>290</v>
      </c>
      <c r="W113" s="242" t="n">
        <v>1</v>
      </c>
      <c r="X113" s="243" t="n">
        <f aca="false">W113*8/$T$109</f>
        <v>0.16</v>
      </c>
      <c r="Y113" s="223" t="n">
        <v>28.94</v>
      </c>
      <c r="Z113" s="223" t="n">
        <f aca="false">X113*Y113</f>
        <v>4.6304</v>
      </c>
      <c r="AA113" s="75"/>
    </row>
    <row r="114" customFormat="false" ht="15" hidden="false" customHeight="false" outlineLevel="0" collapsed="false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 t="s">
        <v>291</v>
      </c>
      <c r="S114" s="75"/>
      <c r="T114" s="75"/>
      <c r="U114" s="75"/>
      <c r="V114" s="75" t="s">
        <v>290</v>
      </c>
      <c r="W114" s="242" t="n">
        <v>2</v>
      </c>
      <c r="X114" s="243" t="n">
        <f aca="false">W114*8/$T$109</f>
        <v>0.32</v>
      </c>
      <c r="Y114" s="223" t="n">
        <v>23.6</v>
      </c>
      <c r="Z114" s="223" t="n">
        <f aca="false">X114*Y114</f>
        <v>7.552</v>
      </c>
      <c r="AA114" s="75"/>
    </row>
    <row r="115" customFormat="false" ht="15" hidden="false" customHeight="false" outlineLevel="0" collapsed="false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 t="s">
        <v>292</v>
      </c>
      <c r="S115" s="75"/>
      <c r="T115" s="75"/>
      <c r="U115" s="75"/>
      <c r="V115" s="75" t="s">
        <v>290</v>
      </c>
      <c r="W115" s="242" t="n">
        <v>5</v>
      </c>
      <c r="X115" s="243" t="n">
        <f aca="false">W115*8/$T$109</f>
        <v>0.8</v>
      </c>
      <c r="Y115" s="223" t="n">
        <v>21.36</v>
      </c>
      <c r="Z115" s="223" t="n">
        <f aca="false">X115*Y115</f>
        <v>17.088</v>
      </c>
      <c r="AA115" s="75"/>
    </row>
    <row r="116" customFormat="false" ht="15" hidden="false" customHeight="false" outlineLevel="0" collapsed="false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 t="s">
        <v>651</v>
      </c>
      <c r="S116" s="75"/>
      <c r="T116" s="75"/>
      <c r="U116" s="75"/>
      <c r="V116" s="75" t="s">
        <v>290</v>
      </c>
      <c r="W116" s="242" t="n">
        <v>1</v>
      </c>
      <c r="X116" s="243" t="n">
        <f aca="false">W116*8/$T$109</f>
        <v>0.16</v>
      </c>
      <c r="Y116" s="223" t="n">
        <v>29.94</v>
      </c>
      <c r="Z116" s="223" t="n">
        <f aca="false">X116*Y116</f>
        <v>4.7904</v>
      </c>
      <c r="AA116" s="75"/>
    </row>
    <row r="117" customFormat="false" ht="15" hidden="false" customHeight="false" outlineLevel="0" collapsed="false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242"/>
      <c r="X117" s="243"/>
      <c r="Y117" s="223"/>
      <c r="Z117" s="93" t="n">
        <f aca="false">SUM(Z112:Z116)</f>
        <v>34.61648</v>
      </c>
      <c r="AA117" s="75"/>
    </row>
    <row r="118" customFormat="false" ht="15" hidden="false" customHeight="false" outlineLevel="0" collapsed="false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95" t="s">
        <v>652</v>
      </c>
      <c r="S118" s="75"/>
      <c r="T118" s="75"/>
      <c r="U118" s="75"/>
      <c r="V118" s="75"/>
      <c r="W118" s="242"/>
      <c r="X118" s="243"/>
      <c r="Y118" s="223"/>
      <c r="Z118" s="223"/>
      <c r="AA118" s="75"/>
    </row>
    <row r="119" customFormat="false" ht="15" hidden="false" customHeight="false" outlineLevel="0" collapsed="false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 t="s">
        <v>305</v>
      </c>
      <c r="S119" s="75"/>
      <c r="T119" s="75"/>
      <c r="U119" s="75"/>
      <c r="V119" s="75" t="s">
        <v>306</v>
      </c>
      <c r="W119" s="242"/>
      <c r="X119" s="243" t="n">
        <v>3.8</v>
      </c>
      <c r="Y119" s="223" t="n">
        <v>24.52</v>
      </c>
      <c r="Z119" s="223" t="n">
        <f aca="false">X119*Y119</f>
        <v>93.176</v>
      </c>
      <c r="AA119" s="75"/>
    </row>
    <row r="120" customFormat="false" ht="15" hidden="false" customHeight="false" outlineLevel="0" collapsed="false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 t="s">
        <v>654</v>
      </c>
      <c r="S120" s="75"/>
      <c r="T120" s="75"/>
      <c r="U120" s="75"/>
      <c r="V120" s="75" t="s">
        <v>202</v>
      </c>
      <c r="W120" s="242"/>
      <c r="X120" s="243" t="n">
        <v>0.08</v>
      </c>
      <c r="Y120" s="223" t="n">
        <v>6.14</v>
      </c>
      <c r="Z120" s="223" t="n">
        <f aca="false">X120*Y120</f>
        <v>0.4912</v>
      </c>
      <c r="AA120" s="75"/>
    </row>
    <row r="121" customFormat="false" ht="15" hidden="false" customHeight="false" outlineLevel="0" collapsed="false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 t="s">
        <v>663</v>
      </c>
      <c r="S121" s="75"/>
      <c r="T121" s="75"/>
      <c r="U121" s="75"/>
      <c r="V121" s="75" t="s">
        <v>437</v>
      </c>
      <c r="W121" s="242"/>
      <c r="X121" s="243" t="n">
        <v>0.5</v>
      </c>
      <c r="Y121" s="223" t="n">
        <v>13.93</v>
      </c>
      <c r="Z121" s="223" t="n">
        <f aca="false">X121*Y121</f>
        <v>6.965</v>
      </c>
      <c r="AA121" s="75"/>
    </row>
    <row r="122" customFormat="false" ht="15" hidden="false" customHeight="false" outlineLevel="0" collapsed="false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 t="s">
        <v>311</v>
      </c>
      <c r="S122" s="75"/>
      <c r="T122" s="75"/>
      <c r="U122" s="75"/>
      <c r="V122" s="75" t="s">
        <v>202</v>
      </c>
      <c r="W122" s="242"/>
      <c r="X122" s="243" t="n">
        <v>0.93</v>
      </c>
      <c r="Y122" s="251" t="n">
        <v>70.92</v>
      </c>
      <c r="Z122" s="223" t="n">
        <f aca="false">X122*Y122</f>
        <v>65.9556</v>
      </c>
      <c r="AA122" s="75"/>
    </row>
    <row r="123" customFormat="false" ht="15" hidden="false" customHeight="false" outlineLevel="0" collapsed="false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 t="s">
        <v>664</v>
      </c>
      <c r="S123" s="75"/>
      <c r="T123" s="75"/>
      <c r="U123" s="75"/>
      <c r="V123" s="75" t="s">
        <v>202</v>
      </c>
      <c r="W123" s="242"/>
      <c r="X123" s="243" t="n">
        <v>0.4</v>
      </c>
      <c r="Y123" s="251" t="n">
        <v>80</v>
      </c>
      <c r="Z123" s="223" t="n">
        <f aca="false">X123*Y123</f>
        <v>32</v>
      </c>
      <c r="AA123" s="75"/>
    </row>
    <row r="124" customFormat="false" ht="15" hidden="false" customHeight="false" outlineLevel="0" collapsed="false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242"/>
      <c r="X124" s="243"/>
      <c r="Y124" s="223"/>
      <c r="Z124" s="93" t="n">
        <f aca="false">SUM(Z119:Z123)</f>
        <v>198.5878</v>
      </c>
      <c r="AA124" s="75"/>
    </row>
    <row r="125" customFormat="false" ht="15" hidden="false" customHeight="false" outlineLevel="0" collapsed="false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95" t="s">
        <v>308</v>
      </c>
      <c r="S125" s="75"/>
      <c r="T125" s="75"/>
      <c r="U125" s="75"/>
      <c r="V125" s="75"/>
      <c r="W125" s="242"/>
      <c r="X125" s="243"/>
      <c r="Y125" s="223"/>
      <c r="Z125" s="223"/>
      <c r="AA125" s="75"/>
    </row>
    <row r="126" customFormat="false" ht="15" hidden="false" customHeight="false" outlineLevel="0" collapsed="false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 t="s">
        <v>309</v>
      </c>
      <c r="S126" s="75"/>
      <c r="T126" s="75"/>
      <c r="U126" s="75"/>
      <c r="V126" s="75" t="s">
        <v>310</v>
      </c>
      <c r="W126" s="242"/>
      <c r="X126" s="243" t="n">
        <v>3</v>
      </c>
      <c r="Y126" s="223" t="n">
        <f aca="false">Z117</f>
        <v>34.61648</v>
      </c>
      <c r="Z126" s="223" t="n">
        <f aca="false">X126%*Y126</f>
        <v>1.0384944</v>
      </c>
      <c r="AA126" s="75"/>
    </row>
    <row r="127" customFormat="false" ht="15" hidden="false" customHeight="false" outlineLevel="0" collapsed="false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 t="s">
        <v>665</v>
      </c>
      <c r="S127" s="75"/>
      <c r="T127" s="75"/>
      <c r="U127" s="75"/>
      <c r="V127" s="75" t="s">
        <v>337</v>
      </c>
      <c r="W127" s="242" t="n">
        <v>1</v>
      </c>
      <c r="X127" s="243" t="n">
        <f aca="false">W127*8/$T$109</f>
        <v>0.16</v>
      </c>
      <c r="Y127" s="223" t="n">
        <v>25.63</v>
      </c>
      <c r="Z127" s="223" t="n">
        <f aca="false">X127*Y127</f>
        <v>4.1008</v>
      </c>
      <c r="AA127" s="75"/>
    </row>
    <row r="128" customFormat="false" ht="15" hidden="false" customHeight="false" outlineLevel="0" collapsed="false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244" t="s">
        <v>669</v>
      </c>
      <c r="R128" s="244" t="s">
        <v>669</v>
      </c>
      <c r="S128" s="244" t="s">
        <v>669</v>
      </c>
      <c r="T128" s="244" t="s">
        <v>669</v>
      </c>
      <c r="U128" s="244" t="s">
        <v>669</v>
      </c>
      <c r="V128" s="244" t="s">
        <v>669</v>
      </c>
      <c r="W128" s="244" t="s">
        <v>669</v>
      </c>
      <c r="X128" s="244" t="s">
        <v>669</v>
      </c>
      <c r="Y128" s="252" t="s">
        <v>669</v>
      </c>
      <c r="Z128" s="100" t="n">
        <f aca="false">SUM(Z126:Z127)</f>
        <v>5.1392944</v>
      </c>
      <c r="AA128" s="75"/>
    </row>
    <row r="129" customFormat="false" ht="15" hidden="false" customHeight="false" outlineLevel="0" collapsed="false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</row>
    <row r="130" customFormat="false" ht="15" hidden="false" customHeight="false" outlineLevel="0" collapsed="false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</row>
    <row r="131" customFormat="false" ht="15" hidden="false" customHeight="false" outlineLevel="0" collapsed="false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</row>
    <row r="132" customFormat="false" ht="15" hidden="false" customHeight="false" outlineLevel="0" collapsed="false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</row>
    <row r="133" customFormat="false" ht="15" hidden="false" customHeight="false" outlineLevel="0" collapsed="false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</row>
    <row r="134" customFormat="false" ht="15" hidden="false" customHeight="false" outlineLevel="0" collapsed="false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86" t="s">
        <v>276</v>
      </c>
      <c r="R134" s="86"/>
      <c r="S134" s="86" t="s">
        <v>666</v>
      </c>
      <c r="T134" s="86"/>
      <c r="U134" s="86"/>
      <c r="V134" s="75"/>
      <c r="W134" s="75"/>
      <c r="X134" s="75"/>
      <c r="Y134" s="75"/>
      <c r="Z134" s="75"/>
      <c r="AA134" s="75"/>
    </row>
    <row r="135" customFormat="false" ht="15" hidden="false" customHeight="false" outlineLevel="0" collapsed="false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86" t="s">
        <v>277</v>
      </c>
      <c r="R135" s="86" t="s">
        <v>278</v>
      </c>
      <c r="S135" s="86" t="s">
        <v>279</v>
      </c>
      <c r="T135" s="92" t="n">
        <v>110</v>
      </c>
      <c r="U135" s="92" t="s">
        <v>280</v>
      </c>
      <c r="V135" s="92" t="n">
        <f aca="false">T135</f>
        <v>110</v>
      </c>
      <c r="W135" s="92" t="s">
        <v>281</v>
      </c>
      <c r="X135" s="86"/>
      <c r="Y135" s="86" t="s">
        <v>132</v>
      </c>
      <c r="Z135" s="93" t="n">
        <f aca="false">Z141+Z147+Z151</f>
        <v>39.6208818181818</v>
      </c>
      <c r="AA135" s="75"/>
    </row>
    <row r="136" customFormat="false" ht="15" hidden="false" customHeight="false" outlineLevel="0" collapsed="false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86" t="s">
        <v>282</v>
      </c>
      <c r="R136" s="86" t="s">
        <v>283</v>
      </c>
      <c r="S136" s="86"/>
      <c r="T136" s="242"/>
      <c r="U136" s="242"/>
      <c r="V136" s="92" t="s">
        <v>121</v>
      </c>
      <c r="W136" s="92" t="s">
        <v>284</v>
      </c>
      <c r="X136" s="86" t="s">
        <v>285</v>
      </c>
      <c r="Y136" s="86" t="s">
        <v>286</v>
      </c>
      <c r="Z136" s="86" t="s">
        <v>287</v>
      </c>
      <c r="AA136" s="75"/>
    </row>
    <row r="137" customFormat="false" ht="15" hidden="false" customHeight="false" outlineLevel="0" collapsed="false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95" t="s">
        <v>288</v>
      </c>
      <c r="S137" s="75"/>
      <c r="T137" s="242"/>
      <c r="U137" s="242"/>
      <c r="V137" s="242"/>
      <c r="W137" s="242"/>
      <c r="X137" s="75"/>
      <c r="Y137" s="75"/>
      <c r="Z137" s="75"/>
      <c r="AA137" s="75"/>
    </row>
    <row r="138" customFormat="false" ht="15" hidden="false" customHeight="false" outlineLevel="0" collapsed="false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 t="s">
        <v>289</v>
      </c>
      <c r="S138" s="75"/>
      <c r="T138" s="242"/>
      <c r="U138" s="242"/>
      <c r="V138" s="242" t="s">
        <v>290</v>
      </c>
      <c r="W138" s="242" t="n">
        <v>2</v>
      </c>
      <c r="X138" s="243" t="n">
        <f aca="false">W138*8/$T$135</f>
        <v>0.145454545454545</v>
      </c>
      <c r="Y138" s="75" t="n">
        <v>28.94</v>
      </c>
      <c r="Z138" s="223" t="n">
        <f aca="false">X138*Y138</f>
        <v>4.20945454545455</v>
      </c>
      <c r="AA138" s="75"/>
    </row>
    <row r="139" customFormat="false" ht="15" hidden="false" customHeight="false" outlineLevel="0" collapsed="false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 t="s">
        <v>291</v>
      </c>
      <c r="S139" s="75"/>
      <c r="T139" s="242"/>
      <c r="U139" s="242"/>
      <c r="V139" s="242" t="s">
        <v>290</v>
      </c>
      <c r="W139" s="242" t="n">
        <v>1</v>
      </c>
      <c r="X139" s="243" t="n">
        <f aca="false">W139*8/$T$135</f>
        <v>0.0727272727272727</v>
      </c>
      <c r="Y139" s="75" t="n">
        <v>23.6</v>
      </c>
      <c r="Z139" s="223" t="n">
        <f aca="false">X139*Y139</f>
        <v>1.71636363636364</v>
      </c>
      <c r="AA139" s="75"/>
    </row>
    <row r="140" customFormat="false" ht="15" hidden="false" customHeight="false" outlineLevel="0" collapsed="false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 t="s">
        <v>292</v>
      </c>
      <c r="S140" s="75"/>
      <c r="T140" s="242"/>
      <c r="U140" s="242"/>
      <c r="V140" s="242" t="s">
        <v>290</v>
      </c>
      <c r="W140" s="242" t="n">
        <v>6</v>
      </c>
      <c r="X140" s="243" t="n">
        <f aca="false">W140*8/$T$135</f>
        <v>0.436363636363636</v>
      </c>
      <c r="Y140" s="75" t="n">
        <v>21.36</v>
      </c>
      <c r="Z140" s="223" t="n">
        <f aca="false">X140*Y140</f>
        <v>9.32072727272727</v>
      </c>
      <c r="AA140" s="75"/>
    </row>
    <row r="141" customFormat="false" ht="15" hidden="false" customHeight="false" outlineLevel="0" collapsed="false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242"/>
      <c r="U141" s="242"/>
      <c r="V141" s="242"/>
      <c r="W141" s="242"/>
      <c r="X141" s="243"/>
      <c r="Y141" s="75"/>
      <c r="Z141" s="93" t="n">
        <f aca="false">SUM(Z138:Z140)</f>
        <v>15.2465454545455</v>
      </c>
      <c r="AA141" s="75"/>
    </row>
    <row r="142" customFormat="false" ht="15" hidden="false" customHeight="false" outlineLevel="0" collapsed="false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95" t="s">
        <v>652</v>
      </c>
      <c r="S142" s="75"/>
      <c r="T142" s="242"/>
      <c r="U142" s="242"/>
      <c r="V142" s="242"/>
      <c r="W142" s="242"/>
      <c r="X142" s="243"/>
      <c r="Y142" s="75"/>
      <c r="Z142" s="75"/>
      <c r="AA142" s="75"/>
    </row>
    <row r="143" customFormat="false" ht="15" hidden="false" customHeight="false" outlineLevel="0" collapsed="false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 t="s">
        <v>305</v>
      </c>
      <c r="S143" s="75"/>
      <c r="T143" s="242"/>
      <c r="U143" s="242"/>
      <c r="V143" s="242" t="s">
        <v>306</v>
      </c>
      <c r="W143" s="242"/>
      <c r="X143" s="243" t="n">
        <v>0.42</v>
      </c>
      <c r="Y143" s="75" t="n">
        <v>24.52</v>
      </c>
      <c r="Z143" s="223" t="n">
        <f aca="false">X143*Y143</f>
        <v>10.2984</v>
      </c>
      <c r="AA143" s="75"/>
    </row>
    <row r="144" customFormat="false" ht="15" hidden="false" customHeight="false" outlineLevel="0" collapsed="false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 t="s">
        <v>654</v>
      </c>
      <c r="S144" s="75"/>
      <c r="T144" s="242"/>
      <c r="U144" s="242"/>
      <c r="V144" s="242" t="s">
        <v>202</v>
      </c>
      <c r="W144" s="242"/>
      <c r="X144" s="243" t="n">
        <v>0.025</v>
      </c>
      <c r="Y144" s="75" t="n">
        <v>6.14</v>
      </c>
      <c r="Z144" s="223" t="n">
        <f aca="false">X144*Y144</f>
        <v>0.1535</v>
      </c>
      <c r="AA144" s="75"/>
    </row>
    <row r="145" customFormat="false" ht="15" hidden="false" customHeight="false" outlineLevel="0" collapsed="false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 t="s">
        <v>311</v>
      </c>
      <c r="S145" s="75"/>
      <c r="T145" s="242"/>
      <c r="U145" s="242"/>
      <c r="V145" s="242" t="s">
        <v>202</v>
      </c>
      <c r="W145" s="242"/>
      <c r="X145" s="243" t="n">
        <v>0.162</v>
      </c>
      <c r="Y145" s="248" t="n">
        <v>70.92</v>
      </c>
      <c r="Z145" s="223" t="n">
        <f aca="false">X145*Y145</f>
        <v>11.48904</v>
      </c>
      <c r="AA145" s="75"/>
    </row>
    <row r="146" customFormat="false" ht="15" hidden="false" customHeight="false" outlineLevel="0" collapsed="false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 t="s">
        <v>667</v>
      </c>
      <c r="S146" s="75"/>
      <c r="T146" s="242"/>
      <c r="U146" s="242"/>
      <c r="V146" s="242" t="s">
        <v>304</v>
      </c>
      <c r="W146" s="242"/>
      <c r="X146" s="243" t="n">
        <v>0.18</v>
      </c>
      <c r="Y146" s="223" t="n">
        <v>5.8</v>
      </c>
      <c r="Z146" s="223" t="n">
        <f aca="false">X146*Y146</f>
        <v>1.044</v>
      </c>
      <c r="AA146" s="75"/>
    </row>
    <row r="147" customFormat="false" ht="15" hidden="false" customHeight="false" outlineLevel="0" collapsed="false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242"/>
      <c r="U147" s="242"/>
      <c r="V147" s="242"/>
      <c r="W147" s="242"/>
      <c r="X147" s="243"/>
      <c r="Y147" s="75"/>
      <c r="Z147" s="93" t="n">
        <f aca="false">SUM(Z143:Z146)</f>
        <v>22.98494</v>
      </c>
      <c r="AA147" s="75"/>
    </row>
    <row r="148" customFormat="false" ht="15" hidden="false" customHeight="false" outlineLevel="0" collapsed="false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95" t="s">
        <v>308</v>
      </c>
      <c r="S148" s="75"/>
      <c r="T148" s="242"/>
      <c r="U148" s="242"/>
      <c r="V148" s="242"/>
      <c r="W148" s="242"/>
      <c r="X148" s="243"/>
      <c r="Y148" s="75"/>
      <c r="Z148" s="75"/>
      <c r="AA148" s="75"/>
    </row>
    <row r="149" customFormat="false" ht="15" hidden="false" customHeight="false" outlineLevel="0" collapsed="false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 t="s">
        <v>309</v>
      </c>
      <c r="S149" s="75"/>
      <c r="T149" s="242"/>
      <c r="U149" s="242"/>
      <c r="V149" s="242" t="s">
        <v>310</v>
      </c>
      <c r="W149" s="242"/>
      <c r="X149" s="243" t="n">
        <v>3</v>
      </c>
      <c r="Y149" s="223" t="n">
        <f aca="false">Z141</f>
        <v>15.2465454545455</v>
      </c>
      <c r="Z149" s="223" t="n">
        <f aca="false">X149%*Y149</f>
        <v>0.457396363636364</v>
      </c>
      <c r="AA149" s="75"/>
    </row>
    <row r="150" customFormat="false" ht="15" hidden="false" customHeight="false" outlineLevel="0" collapsed="false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 t="s">
        <v>665</v>
      </c>
      <c r="S150" s="75"/>
      <c r="T150" s="242"/>
      <c r="U150" s="242"/>
      <c r="V150" s="242" t="s">
        <v>337</v>
      </c>
      <c r="W150" s="242" t="n">
        <v>0.5</v>
      </c>
      <c r="X150" s="243" t="n">
        <f aca="false">W150*8/$T$135</f>
        <v>0.0363636363636364</v>
      </c>
      <c r="Y150" s="75" t="n">
        <v>25.63</v>
      </c>
      <c r="Z150" s="223" t="n">
        <f aca="false">X150*Y150</f>
        <v>0.932</v>
      </c>
      <c r="AA150" s="75"/>
    </row>
    <row r="151" customFormat="false" ht="15" hidden="false" customHeight="false" outlineLevel="0" collapsed="false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244" t="s">
        <v>669</v>
      </c>
      <c r="R151" s="244" t="s">
        <v>669</v>
      </c>
      <c r="S151" s="244" t="s">
        <v>669</v>
      </c>
      <c r="T151" s="244" t="s">
        <v>669</v>
      </c>
      <c r="U151" s="244" t="s">
        <v>669</v>
      </c>
      <c r="V151" s="244" t="s">
        <v>669</v>
      </c>
      <c r="W151" s="244" t="s">
        <v>669</v>
      </c>
      <c r="X151" s="244" t="s">
        <v>669</v>
      </c>
      <c r="Y151" s="244" t="s">
        <v>669</v>
      </c>
      <c r="Z151" s="100" t="n">
        <f aca="false">SUM(Z149:Z150)</f>
        <v>1.38939636363636</v>
      </c>
      <c r="AA151" s="75"/>
    </row>
    <row r="152" customFormat="false" ht="15" hidden="false" customHeight="false" outlineLevel="0" collapsed="false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  <c r="AA152" s="75"/>
    </row>
    <row r="153" customFormat="false" ht="15" hidden="false" customHeight="false" outlineLevel="0" collapsed="false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86" t="s">
        <v>276</v>
      </c>
      <c r="R153" s="86"/>
      <c r="S153" s="86" t="s">
        <v>668</v>
      </c>
      <c r="T153" s="86"/>
      <c r="U153" s="86"/>
      <c r="V153" s="75"/>
      <c r="W153" s="75"/>
      <c r="X153" s="75"/>
      <c r="Y153" s="75"/>
      <c r="Z153" s="75"/>
      <c r="AA153" s="75"/>
    </row>
    <row r="154" customFormat="false" ht="15" hidden="false" customHeight="false" outlineLevel="0" collapsed="false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86" t="s">
        <v>277</v>
      </c>
      <c r="R154" s="86" t="s">
        <v>278</v>
      </c>
      <c r="S154" s="86" t="s">
        <v>279</v>
      </c>
      <c r="T154" s="92" t="n">
        <v>120</v>
      </c>
      <c r="U154" s="92" t="s">
        <v>280</v>
      </c>
      <c r="V154" s="92" t="n">
        <f aca="false">T154</f>
        <v>120</v>
      </c>
      <c r="W154" s="92" t="s">
        <v>281</v>
      </c>
      <c r="X154" s="86"/>
      <c r="Y154" s="86" t="s">
        <v>132</v>
      </c>
      <c r="Z154" s="93" t="n">
        <f aca="false">Z160+Z166+Z170</f>
        <v>27.126394</v>
      </c>
      <c r="AA154" s="75"/>
    </row>
    <row r="155" customFormat="false" ht="15" hidden="false" customHeight="false" outlineLevel="0" collapsed="false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86" t="s">
        <v>282</v>
      </c>
      <c r="R155" s="86" t="s">
        <v>283</v>
      </c>
      <c r="S155" s="86"/>
      <c r="T155" s="242"/>
      <c r="U155" s="242"/>
      <c r="V155" s="92" t="s">
        <v>121</v>
      </c>
      <c r="W155" s="92" t="s">
        <v>284</v>
      </c>
      <c r="X155" s="86" t="s">
        <v>285</v>
      </c>
      <c r="Y155" s="86" t="s">
        <v>286</v>
      </c>
      <c r="Z155" s="86" t="s">
        <v>287</v>
      </c>
      <c r="AA155" s="75"/>
    </row>
    <row r="156" customFormat="false" ht="15" hidden="false" customHeight="false" outlineLevel="0" collapsed="false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95" t="s">
        <v>288</v>
      </c>
      <c r="S156" s="75"/>
      <c r="T156" s="242"/>
      <c r="U156" s="242"/>
      <c r="V156" s="242"/>
      <c r="W156" s="242"/>
      <c r="X156" s="75"/>
      <c r="Y156" s="75"/>
      <c r="Z156" s="75"/>
      <c r="AA156" s="75"/>
    </row>
    <row r="157" customFormat="false" ht="15" hidden="false" customHeight="false" outlineLevel="0" collapsed="false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 t="s">
        <v>289</v>
      </c>
      <c r="S157" s="75"/>
      <c r="T157" s="242"/>
      <c r="U157" s="242"/>
      <c r="V157" s="242" t="s">
        <v>290</v>
      </c>
      <c r="W157" s="242" t="n">
        <v>2</v>
      </c>
      <c r="X157" s="243" t="n">
        <f aca="false">W157*8/$T$154</f>
        <v>0.133333333333333</v>
      </c>
      <c r="Y157" s="75" t="n">
        <v>28.94</v>
      </c>
      <c r="Z157" s="223" t="n">
        <f aca="false">X157*Y157</f>
        <v>3.85866666666667</v>
      </c>
      <c r="AA157" s="75"/>
    </row>
    <row r="158" customFormat="false" ht="15" hidden="false" customHeight="false" outlineLevel="0" collapsed="false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 t="s">
        <v>291</v>
      </c>
      <c r="S158" s="75"/>
      <c r="T158" s="242"/>
      <c r="U158" s="242"/>
      <c r="V158" s="242" t="s">
        <v>290</v>
      </c>
      <c r="W158" s="242" t="n">
        <v>2</v>
      </c>
      <c r="X158" s="243" t="n">
        <f aca="false">W158*8/$T$154</f>
        <v>0.133333333333333</v>
      </c>
      <c r="Y158" s="75" t="n">
        <v>23.6</v>
      </c>
      <c r="Z158" s="223" t="n">
        <f aca="false">X158*Y158</f>
        <v>3.14666666666667</v>
      </c>
      <c r="AA158" s="75"/>
    </row>
    <row r="159" customFormat="false" ht="15" hidden="false" customHeight="false" outlineLevel="0" collapsed="false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 t="s">
        <v>292</v>
      </c>
      <c r="S159" s="75"/>
      <c r="T159" s="242"/>
      <c r="U159" s="242"/>
      <c r="V159" s="242" t="s">
        <v>290</v>
      </c>
      <c r="W159" s="242" t="n">
        <v>6</v>
      </c>
      <c r="X159" s="243" t="n">
        <f aca="false">W159*8/$T$154</f>
        <v>0.4</v>
      </c>
      <c r="Y159" s="75" t="n">
        <v>21.36</v>
      </c>
      <c r="Z159" s="223" t="n">
        <f aca="false">X159*Y159</f>
        <v>8.544</v>
      </c>
      <c r="AA159" s="75"/>
    </row>
    <row r="160" customFormat="false" ht="15" hidden="false" customHeight="false" outlineLevel="0" collapsed="false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242"/>
      <c r="U160" s="242"/>
      <c r="V160" s="242"/>
      <c r="W160" s="242"/>
      <c r="X160" s="243"/>
      <c r="Y160" s="75"/>
      <c r="Z160" s="93" t="n">
        <f aca="false">SUM(Z157:Z159)</f>
        <v>15.5493333333333</v>
      </c>
      <c r="AA160" s="75"/>
    </row>
    <row r="161" customFormat="false" ht="15" hidden="false" customHeight="false" outlineLevel="0" collapsed="false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95" t="s">
        <v>652</v>
      </c>
      <c r="S161" s="75"/>
      <c r="T161" s="242"/>
      <c r="U161" s="242"/>
      <c r="V161" s="242"/>
      <c r="W161" s="242"/>
      <c r="X161" s="243"/>
      <c r="Y161" s="75"/>
      <c r="Z161" s="75"/>
      <c r="AA161" s="75"/>
    </row>
    <row r="162" customFormat="false" ht="15" hidden="false" customHeight="false" outlineLevel="0" collapsed="false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 t="s">
        <v>305</v>
      </c>
      <c r="S162" s="75"/>
      <c r="T162" s="242"/>
      <c r="U162" s="242"/>
      <c r="V162" s="242" t="s">
        <v>306</v>
      </c>
      <c r="W162" s="242"/>
      <c r="X162" s="243" t="n">
        <v>0.19</v>
      </c>
      <c r="Y162" s="75" t="n">
        <v>24.52</v>
      </c>
      <c r="Z162" s="223" t="n">
        <f aca="false">X162*Y162</f>
        <v>4.6588</v>
      </c>
      <c r="AA162" s="75"/>
    </row>
    <row r="163" customFormat="false" ht="15" hidden="false" customHeight="false" outlineLevel="0" collapsed="false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 t="s">
        <v>654</v>
      </c>
      <c r="S163" s="75"/>
      <c r="T163" s="242"/>
      <c r="U163" s="242"/>
      <c r="V163" s="242" t="s">
        <v>202</v>
      </c>
      <c r="W163" s="242"/>
      <c r="X163" s="243" t="n">
        <v>0.0081</v>
      </c>
      <c r="Y163" s="75" t="n">
        <v>6.14</v>
      </c>
      <c r="Z163" s="223" t="n">
        <f aca="false">X163*Y163</f>
        <v>0.049734</v>
      </c>
      <c r="AA163" s="75"/>
    </row>
    <row r="164" customFormat="false" ht="15" hidden="false" customHeight="false" outlineLevel="0" collapsed="false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 t="s">
        <v>663</v>
      </c>
      <c r="S164" s="75"/>
      <c r="T164" s="242"/>
      <c r="U164" s="242"/>
      <c r="V164" s="242" t="s">
        <v>437</v>
      </c>
      <c r="W164" s="242"/>
      <c r="X164" s="243" t="n">
        <v>0.006</v>
      </c>
      <c r="Y164" s="75" t="n">
        <v>13.93</v>
      </c>
      <c r="Z164" s="223" t="n">
        <f aca="false">X164*Y164</f>
        <v>0.08358</v>
      </c>
      <c r="AA164" s="75"/>
    </row>
    <row r="165" customFormat="false" ht="15" hidden="false" customHeight="false" outlineLevel="0" collapsed="false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 t="s">
        <v>311</v>
      </c>
      <c r="S165" s="75"/>
      <c r="T165" s="242"/>
      <c r="U165" s="242"/>
      <c r="V165" s="242" t="s">
        <v>202</v>
      </c>
      <c r="W165" s="242"/>
      <c r="X165" s="243" t="n">
        <v>0.065</v>
      </c>
      <c r="Y165" s="248" t="n">
        <v>70.92</v>
      </c>
      <c r="Z165" s="223" t="n">
        <f aca="false">X165*Y165</f>
        <v>4.6098</v>
      </c>
      <c r="AA165" s="75"/>
    </row>
    <row r="166" customFormat="false" ht="15" hidden="false" customHeight="false" outlineLevel="0" collapsed="false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242"/>
      <c r="U166" s="242"/>
      <c r="V166" s="242"/>
      <c r="W166" s="242"/>
      <c r="X166" s="243"/>
      <c r="Y166" s="75"/>
      <c r="Z166" s="93" t="n">
        <f aca="false">SUM(Z162:Z165)</f>
        <v>9.401914</v>
      </c>
      <c r="AA166" s="75"/>
    </row>
    <row r="167" customFormat="false" ht="15" hidden="false" customHeight="false" outlineLevel="0" collapsed="false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95" t="s">
        <v>308</v>
      </c>
      <c r="S167" s="75"/>
      <c r="T167" s="242"/>
      <c r="U167" s="242"/>
      <c r="V167" s="242"/>
      <c r="W167" s="242"/>
      <c r="X167" s="243"/>
      <c r="Y167" s="75"/>
      <c r="Z167" s="75"/>
      <c r="AA167" s="75"/>
    </row>
    <row r="168" customFormat="false" ht="15" hidden="false" customHeight="false" outlineLevel="0" collapsed="false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 t="s">
        <v>309</v>
      </c>
      <c r="S168" s="75"/>
      <c r="T168" s="242"/>
      <c r="U168" s="242"/>
      <c r="V168" s="242" t="s">
        <v>310</v>
      </c>
      <c r="W168" s="242"/>
      <c r="X168" s="243" t="n">
        <v>3</v>
      </c>
      <c r="Y168" s="223" t="n">
        <f aca="false">Z160</f>
        <v>15.5493333333333</v>
      </c>
      <c r="Z168" s="223" t="n">
        <f aca="false">X168%*Y168</f>
        <v>0.46648</v>
      </c>
      <c r="AA168" s="75"/>
    </row>
    <row r="169" customFormat="false" ht="15" hidden="false" customHeight="false" outlineLevel="0" collapsed="false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 t="s">
        <v>665</v>
      </c>
      <c r="S169" s="75"/>
      <c r="T169" s="242"/>
      <c r="U169" s="242"/>
      <c r="V169" s="242" t="s">
        <v>337</v>
      </c>
      <c r="W169" s="242" t="n">
        <v>1</v>
      </c>
      <c r="X169" s="243" t="n">
        <f aca="false">W169*8/$T$154</f>
        <v>0.0666666666666667</v>
      </c>
      <c r="Y169" s="75" t="n">
        <v>25.63</v>
      </c>
      <c r="Z169" s="223" t="n">
        <f aca="false">X169*Y169</f>
        <v>1.70866666666667</v>
      </c>
      <c r="AA169" s="75"/>
    </row>
    <row r="170" customFormat="false" ht="15" hidden="false" customHeight="false" outlineLevel="0" collapsed="false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244" t="s">
        <v>669</v>
      </c>
      <c r="R170" s="244" t="s">
        <v>669</v>
      </c>
      <c r="S170" s="244" t="s">
        <v>669</v>
      </c>
      <c r="T170" s="244" t="s">
        <v>669</v>
      </c>
      <c r="U170" s="244" t="s">
        <v>669</v>
      </c>
      <c r="V170" s="244" t="s">
        <v>669</v>
      </c>
      <c r="W170" s="244" t="s">
        <v>669</v>
      </c>
      <c r="X170" s="244" t="s">
        <v>669</v>
      </c>
      <c r="Y170" s="244" t="s">
        <v>669</v>
      </c>
      <c r="Z170" s="100" t="n">
        <f aca="false">SUM(Z168:Z169)</f>
        <v>2.17514666666667</v>
      </c>
      <c r="AA170" s="75"/>
    </row>
    <row r="171" customFormat="false" ht="15" hidden="false" customHeight="false" outlineLevel="0" collapsed="false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</row>
    <row r="172" customFormat="false" ht="15" hidden="false" customHeight="false" outlineLevel="0" collapsed="false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86" t="s">
        <v>276</v>
      </c>
      <c r="R172" s="86"/>
      <c r="S172" s="86" t="s">
        <v>678</v>
      </c>
      <c r="T172" s="86"/>
      <c r="U172" s="86"/>
      <c r="V172" s="86"/>
      <c r="W172" s="75"/>
      <c r="X172" s="75"/>
      <c r="Y172" s="75"/>
      <c r="Z172" s="75"/>
      <c r="AA172" s="75"/>
    </row>
    <row r="173" customFormat="false" ht="15" hidden="false" customHeight="false" outlineLevel="0" collapsed="false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86" t="s">
        <v>277</v>
      </c>
      <c r="R173" s="86" t="s">
        <v>415</v>
      </c>
      <c r="S173" s="86" t="s">
        <v>279</v>
      </c>
      <c r="T173" s="92" t="n">
        <v>25</v>
      </c>
      <c r="U173" s="92" t="s">
        <v>280</v>
      </c>
      <c r="V173" s="92" t="n">
        <f aca="false">T173</f>
        <v>25</v>
      </c>
      <c r="W173" s="92" t="s">
        <v>281</v>
      </c>
      <c r="X173" s="86"/>
      <c r="Y173" s="86" t="s">
        <v>202</v>
      </c>
      <c r="Z173" s="93" t="n">
        <f aca="false">SUM(Z179+Z187+Z192)</f>
        <v>426.397544</v>
      </c>
      <c r="AA173" s="75"/>
    </row>
    <row r="174" customFormat="false" ht="15" hidden="false" customHeight="false" outlineLevel="0" collapsed="false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86" t="s">
        <v>282</v>
      </c>
      <c r="R174" s="86" t="s">
        <v>283</v>
      </c>
      <c r="S174" s="86"/>
      <c r="T174" s="242"/>
      <c r="U174" s="242"/>
      <c r="V174" s="92" t="s">
        <v>121</v>
      </c>
      <c r="W174" s="92" t="s">
        <v>284</v>
      </c>
      <c r="X174" s="86" t="s">
        <v>285</v>
      </c>
      <c r="Y174" s="86" t="s">
        <v>286</v>
      </c>
      <c r="Z174" s="86" t="s">
        <v>287</v>
      </c>
      <c r="AA174" s="75"/>
    </row>
    <row r="175" customFormat="false" ht="15" hidden="false" customHeight="false" outlineLevel="0" collapsed="false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95" t="s">
        <v>288</v>
      </c>
      <c r="S175" s="75"/>
      <c r="T175" s="242"/>
      <c r="U175" s="242"/>
      <c r="V175" s="242"/>
      <c r="W175" s="242"/>
      <c r="X175" s="75"/>
      <c r="Y175" s="75"/>
      <c r="Z175" s="75"/>
      <c r="AA175" s="75"/>
    </row>
    <row r="176" customFormat="false" ht="15" hidden="false" customHeight="false" outlineLevel="0" collapsed="false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 t="s">
        <v>289</v>
      </c>
      <c r="S176" s="75"/>
      <c r="T176" s="242"/>
      <c r="U176" s="242"/>
      <c r="V176" s="242" t="s">
        <v>290</v>
      </c>
      <c r="W176" s="242" t="n">
        <v>2</v>
      </c>
      <c r="X176" s="243" t="n">
        <f aca="false">W176*8/$T$173</f>
        <v>0.64</v>
      </c>
      <c r="Y176" s="223" t="n">
        <v>28.94</v>
      </c>
      <c r="Z176" s="223" t="n">
        <f aca="false">X176*Y176</f>
        <v>18.5216</v>
      </c>
      <c r="AA176" s="75"/>
    </row>
    <row r="177" customFormat="false" ht="15" hidden="false" customHeight="false" outlineLevel="0" collapsed="false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 t="s">
        <v>291</v>
      </c>
      <c r="S177" s="75"/>
      <c r="T177" s="242"/>
      <c r="U177" s="242"/>
      <c r="V177" s="242" t="s">
        <v>290</v>
      </c>
      <c r="W177" s="242" t="n">
        <v>2</v>
      </c>
      <c r="X177" s="243" t="n">
        <f aca="false">W177*8/$T$173</f>
        <v>0.64</v>
      </c>
      <c r="Y177" s="223" t="n">
        <v>23.6</v>
      </c>
      <c r="Z177" s="223" t="n">
        <f aca="false">X177*Y177</f>
        <v>15.104</v>
      </c>
      <c r="AA177" s="75"/>
    </row>
    <row r="178" customFormat="false" ht="15" hidden="false" customHeight="false" outlineLevel="0" collapsed="false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 t="s">
        <v>292</v>
      </c>
      <c r="S178" s="75"/>
      <c r="T178" s="242"/>
      <c r="U178" s="242"/>
      <c r="V178" s="242" t="s">
        <v>290</v>
      </c>
      <c r="W178" s="242" t="n">
        <v>6</v>
      </c>
      <c r="X178" s="243" t="n">
        <f aca="false">W178*8/$T$173</f>
        <v>1.92</v>
      </c>
      <c r="Y178" s="223" t="n">
        <v>21.36</v>
      </c>
      <c r="Z178" s="223" t="n">
        <f aca="false">X178*Y178</f>
        <v>41.0112</v>
      </c>
      <c r="AA178" s="75"/>
    </row>
    <row r="179" customFormat="false" ht="15" hidden="false" customHeight="false" outlineLevel="0" collapsed="false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242"/>
      <c r="U179" s="242"/>
      <c r="V179" s="242"/>
      <c r="W179" s="242"/>
      <c r="X179" s="243"/>
      <c r="Y179" s="223"/>
      <c r="Z179" s="93" t="n">
        <f aca="false">SUM(Z176:Z178)</f>
        <v>74.6368</v>
      </c>
      <c r="AA179" s="75"/>
    </row>
    <row r="180" customFormat="false" ht="15" hidden="false" customHeight="false" outlineLevel="0" collapsed="false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95" t="s">
        <v>652</v>
      </c>
      <c r="S180" s="75"/>
      <c r="T180" s="242"/>
      <c r="U180" s="242"/>
      <c r="V180" s="242"/>
      <c r="W180" s="242"/>
      <c r="X180" s="243"/>
      <c r="Y180" s="223"/>
      <c r="Z180" s="223"/>
      <c r="AA180" s="75"/>
    </row>
    <row r="181" customFormat="false" ht="15" hidden="false" customHeight="false" outlineLevel="0" collapsed="false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 t="s">
        <v>670</v>
      </c>
      <c r="S181" s="75"/>
      <c r="T181" s="242"/>
      <c r="U181" s="242"/>
      <c r="V181" s="242" t="s">
        <v>202</v>
      </c>
      <c r="W181" s="242"/>
      <c r="X181" s="243" t="n">
        <v>0.53</v>
      </c>
      <c r="Y181" s="223" t="n">
        <v>55.08</v>
      </c>
      <c r="Z181" s="223" t="n">
        <f aca="false">X181*Y181</f>
        <v>29.1924</v>
      </c>
      <c r="AA181" s="75"/>
    </row>
    <row r="182" customFormat="false" ht="15" hidden="false" customHeight="false" outlineLevel="0" collapsed="false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 t="s">
        <v>671</v>
      </c>
      <c r="S182" s="75"/>
      <c r="T182" s="242"/>
      <c r="U182" s="242"/>
      <c r="V182" s="242" t="s">
        <v>202</v>
      </c>
      <c r="W182" s="242"/>
      <c r="X182" s="243" t="n">
        <v>0.52</v>
      </c>
      <c r="Y182" s="223" t="n">
        <v>47</v>
      </c>
      <c r="Z182" s="223" t="n">
        <f aca="false">X182*Y182</f>
        <v>24.44</v>
      </c>
      <c r="AA182" s="75"/>
    </row>
    <row r="183" customFormat="false" ht="15" hidden="false" customHeight="false" outlineLevel="0" collapsed="false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 t="s">
        <v>305</v>
      </c>
      <c r="S183" s="75"/>
      <c r="T183" s="242"/>
      <c r="U183" s="242"/>
      <c r="V183" s="242" t="s">
        <v>306</v>
      </c>
      <c r="W183" s="242"/>
      <c r="X183" s="243" t="n">
        <v>9.73</v>
      </c>
      <c r="Y183" s="223" t="n">
        <v>24.52</v>
      </c>
      <c r="Z183" s="223" t="n">
        <f aca="false">X183*Y183</f>
        <v>238.5796</v>
      </c>
      <c r="AA183" s="75"/>
    </row>
    <row r="184" customFormat="false" ht="15" hidden="false" customHeight="false" outlineLevel="0" collapsed="false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 t="s">
        <v>654</v>
      </c>
      <c r="S184" s="75"/>
      <c r="T184" s="242"/>
      <c r="U184" s="242"/>
      <c r="V184" s="242" t="s">
        <v>202</v>
      </c>
      <c r="W184" s="242"/>
      <c r="X184" s="243" t="n">
        <v>0.186</v>
      </c>
      <c r="Y184" s="223" t="n">
        <v>6.14</v>
      </c>
      <c r="Z184" s="223" t="n">
        <f aca="false">X184*Y184</f>
        <v>1.14204</v>
      </c>
      <c r="AA184" s="75"/>
    </row>
    <row r="185" customFormat="false" ht="15" hidden="false" customHeight="false" outlineLevel="0" collapsed="false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 t="s">
        <v>663</v>
      </c>
      <c r="S185" s="75"/>
      <c r="T185" s="242"/>
      <c r="U185" s="242"/>
      <c r="V185" s="242" t="s">
        <v>437</v>
      </c>
      <c r="W185" s="242"/>
      <c r="X185" s="243" t="n">
        <v>0.36</v>
      </c>
      <c r="Y185" s="223" t="n">
        <v>13.93</v>
      </c>
      <c r="Z185" s="223" t="n">
        <f aca="false">X185*Y185</f>
        <v>5.0148</v>
      </c>
      <c r="AA185" s="75"/>
    </row>
    <row r="186" customFormat="false" ht="15" hidden="false" customHeight="false" outlineLevel="0" collapsed="false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 t="s">
        <v>672</v>
      </c>
      <c r="S186" s="75"/>
      <c r="T186" s="242"/>
      <c r="U186" s="242"/>
      <c r="V186" s="242" t="s">
        <v>437</v>
      </c>
      <c r="W186" s="242"/>
      <c r="X186" s="243" t="n">
        <v>1.5</v>
      </c>
      <c r="Y186" s="251" t="n">
        <v>27.88</v>
      </c>
      <c r="Z186" s="223" t="n">
        <f aca="false">X186*Y186</f>
        <v>41.82</v>
      </c>
      <c r="AA186" s="75"/>
    </row>
    <row r="187" customFormat="false" ht="15" hidden="false" customHeight="false" outlineLevel="0" collapsed="false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242"/>
      <c r="U187" s="242"/>
      <c r="V187" s="242"/>
      <c r="W187" s="242"/>
      <c r="X187" s="243"/>
      <c r="Y187" s="223"/>
      <c r="Z187" s="93" t="n">
        <f aca="false">SUM(Z181:Z186)</f>
        <v>340.18884</v>
      </c>
      <c r="AA187" s="75"/>
    </row>
    <row r="188" customFormat="false" ht="15" hidden="false" customHeight="false" outlineLevel="0" collapsed="false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95" t="s">
        <v>308</v>
      </c>
      <c r="S188" s="75"/>
      <c r="T188" s="242"/>
      <c r="U188" s="242"/>
      <c r="V188" s="242"/>
      <c r="W188" s="242"/>
      <c r="X188" s="243"/>
      <c r="Y188" s="75"/>
      <c r="Z188" s="75"/>
      <c r="AA188" s="75"/>
    </row>
    <row r="189" customFormat="false" ht="15" hidden="false" customHeight="false" outlineLevel="0" collapsed="false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 t="s">
        <v>309</v>
      </c>
      <c r="S189" s="75"/>
      <c r="T189" s="242"/>
      <c r="U189" s="242"/>
      <c r="V189" s="242" t="s">
        <v>310</v>
      </c>
      <c r="W189" s="242"/>
      <c r="X189" s="243" t="n">
        <v>3</v>
      </c>
      <c r="Y189" s="223" t="n">
        <f aca="false">Z179</f>
        <v>74.6368</v>
      </c>
      <c r="Z189" s="223" t="n">
        <f aca="false">X189%*Y189</f>
        <v>2.239104</v>
      </c>
      <c r="AA189" s="75"/>
    </row>
    <row r="190" customFormat="false" ht="15" hidden="false" customHeight="false" outlineLevel="0" collapsed="false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 t="s">
        <v>665</v>
      </c>
      <c r="S190" s="75"/>
      <c r="T190" s="242"/>
      <c r="U190" s="242"/>
      <c r="V190" s="242" t="s">
        <v>337</v>
      </c>
      <c r="W190" s="242" t="n">
        <v>1</v>
      </c>
      <c r="X190" s="243" t="n">
        <f aca="false">W190*8/$T$173</f>
        <v>0.32</v>
      </c>
      <c r="Y190" s="75" t="n">
        <v>25.63</v>
      </c>
      <c r="Z190" s="223" t="n">
        <f aca="false">X190*Y190</f>
        <v>8.2016</v>
      </c>
      <c r="AA190" s="75"/>
    </row>
    <row r="191" customFormat="false" ht="15" hidden="false" customHeight="false" outlineLevel="0" collapsed="false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 t="s">
        <v>673</v>
      </c>
      <c r="S191" s="75"/>
      <c r="T191" s="242"/>
      <c r="U191" s="242"/>
      <c r="V191" s="242" t="s">
        <v>337</v>
      </c>
      <c r="W191" s="242" t="n">
        <v>0.5</v>
      </c>
      <c r="X191" s="243" t="n">
        <f aca="false">W191*8/$T$173</f>
        <v>0.16</v>
      </c>
      <c r="Y191" s="75" t="n">
        <v>7.07</v>
      </c>
      <c r="Z191" s="223" t="n">
        <f aca="false">X191*Y191</f>
        <v>1.1312</v>
      </c>
      <c r="AA191" s="75"/>
    </row>
    <row r="192" customFormat="false" ht="15" hidden="false" customHeight="false" outlineLevel="0" collapsed="false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244" t="s">
        <v>669</v>
      </c>
      <c r="R192" s="244" t="s">
        <v>669</v>
      </c>
      <c r="S192" s="244" t="s">
        <v>669</v>
      </c>
      <c r="T192" s="244" t="s">
        <v>669</v>
      </c>
      <c r="U192" s="244" t="s">
        <v>669</v>
      </c>
      <c r="V192" s="244" t="s">
        <v>669</v>
      </c>
      <c r="W192" s="244" t="s">
        <v>669</v>
      </c>
      <c r="X192" s="244" t="s">
        <v>669</v>
      </c>
      <c r="Y192" s="244" t="s">
        <v>669</v>
      </c>
      <c r="Z192" s="100" t="n">
        <f aca="false">SUM(Z189:Z191)</f>
        <v>11.571904</v>
      </c>
      <c r="AA192" s="75"/>
    </row>
    <row r="193" customFormat="false" ht="15" hidden="false" customHeight="false" outlineLevel="0" collapsed="false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</row>
    <row r="194" customFormat="false" ht="15" hidden="false" customHeight="false" outlineLevel="0" collapsed="false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86" t="s">
        <v>276</v>
      </c>
      <c r="R194" s="86"/>
      <c r="S194" s="86" t="s">
        <v>679</v>
      </c>
      <c r="T194" s="86"/>
      <c r="U194" s="86"/>
      <c r="V194" s="86"/>
      <c r="W194" s="75"/>
      <c r="X194" s="75"/>
      <c r="Y194" s="75"/>
      <c r="Z194" s="75"/>
      <c r="AA194" s="75"/>
    </row>
    <row r="195" customFormat="false" ht="15" hidden="false" customHeight="false" outlineLevel="0" collapsed="false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86" t="s">
        <v>277</v>
      </c>
      <c r="R195" s="86" t="s">
        <v>278</v>
      </c>
      <c r="S195" s="86" t="s">
        <v>279</v>
      </c>
      <c r="T195" s="92" t="n">
        <v>8</v>
      </c>
      <c r="U195" s="92" t="s">
        <v>280</v>
      </c>
      <c r="V195" s="92" t="n">
        <f aca="false">T195</f>
        <v>8</v>
      </c>
      <c r="W195" s="92" t="s">
        <v>281</v>
      </c>
      <c r="X195" s="86"/>
      <c r="Y195" s="86" t="s">
        <v>132</v>
      </c>
      <c r="Z195" s="93" t="n">
        <f aca="false">Z200+Z205+Z208</f>
        <v>75.1142</v>
      </c>
      <c r="AA195" s="75"/>
    </row>
    <row r="196" customFormat="false" ht="15" hidden="false" customHeight="false" outlineLevel="0" collapsed="false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86" t="s">
        <v>282</v>
      </c>
      <c r="R196" s="86" t="s">
        <v>283</v>
      </c>
      <c r="S196" s="86"/>
      <c r="T196" s="242"/>
      <c r="U196" s="242"/>
      <c r="V196" s="92" t="s">
        <v>121</v>
      </c>
      <c r="W196" s="92" t="s">
        <v>284</v>
      </c>
      <c r="X196" s="86" t="s">
        <v>285</v>
      </c>
      <c r="Y196" s="86" t="s">
        <v>286</v>
      </c>
      <c r="Z196" s="86" t="s">
        <v>287</v>
      </c>
      <c r="AA196" s="75"/>
    </row>
    <row r="197" customFormat="false" ht="15" hidden="false" customHeight="false" outlineLevel="0" collapsed="false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95" t="s">
        <v>288</v>
      </c>
      <c r="S197" s="75"/>
      <c r="T197" s="242"/>
      <c r="U197" s="242"/>
      <c r="V197" s="242"/>
      <c r="W197" s="242"/>
      <c r="X197" s="75"/>
      <c r="Y197" s="75"/>
      <c r="Z197" s="75"/>
      <c r="AA197" s="75"/>
    </row>
    <row r="198" customFormat="false" ht="15" hidden="false" customHeight="false" outlineLevel="0" collapsed="false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 t="s">
        <v>289</v>
      </c>
      <c r="S198" s="75"/>
      <c r="T198" s="242"/>
      <c r="U198" s="242"/>
      <c r="V198" s="242" t="s">
        <v>290</v>
      </c>
      <c r="W198" s="242" t="n">
        <v>1</v>
      </c>
      <c r="X198" s="243" t="n">
        <f aca="false">W198*8/$T$195</f>
        <v>1</v>
      </c>
      <c r="Y198" s="223" t="n">
        <v>28.94</v>
      </c>
      <c r="Z198" s="223" t="n">
        <f aca="false">X198*Y198</f>
        <v>28.94</v>
      </c>
      <c r="AA198" s="75"/>
    </row>
    <row r="199" customFormat="false" ht="15" hidden="false" customHeight="false" outlineLevel="0" collapsed="false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 t="s">
        <v>291</v>
      </c>
      <c r="S199" s="75"/>
      <c r="T199" s="242"/>
      <c r="U199" s="242"/>
      <c r="V199" s="242" t="s">
        <v>290</v>
      </c>
      <c r="W199" s="242" t="n">
        <v>1</v>
      </c>
      <c r="X199" s="243" t="n">
        <f aca="false">W199*8/$T$195</f>
        <v>1</v>
      </c>
      <c r="Y199" s="223" t="n">
        <v>23.6</v>
      </c>
      <c r="Z199" s="223" t="n">
        <f aca="false">X199*Y199</f>
        <v>23.6</v>
      </c>
      <c r="AA199" s="75"/>
    </row>
    <row r="200" customFormat="false" ht="15" hidden="false" customHeight="false" outlineLevel="0" collapsed="false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242"/>
      <c r="U200" s="242"/>
      <c r="V200" s="242"/>
      <c r="W200" s="242"/>
      <c r="X200" s="243"/>
      <c r="Y200" s="223"/>
      <c r="Z200" s="93" t="n">
        <f aca="false">SUM(Z198:Z199)</f>
        <v>52.54</v>
      </c>
      <c r="AA200" s="75"/>
    </row>
    <row r="201" customFormat="false" ht="15" hidden="false" customHeight="false" outlineLevel="0" collapsed="false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95" t="s">
        <v>652</v>
      </c>
      <c r="S201" s="75"/>
      <c r="T201" s="242"/>
      <c r="U201" s="242"/>
      <c r="V201" s="242"/>
      <c r="W201" s="242"/>
      <c r="X201" s="243"/>
      <c r="Y201" s="223"/>
      <c r="Z201" s="75"/>
      <c r="AA201" s="75"/>
    </row>
    <row r="202" customFormat="false" ht="15" hidden="false" customHeight="false" outlineLevel="0" collapsed="false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 t="s">
        <v>680</v>
      </c>
      <c r="S202" s="75"/>
      <c r="T202" s="242"/>
      <c r="U202" s="242"/>
      <c r="V202" s="242" t="s">
        <v>295</v>
      </c>
      <c r="W202" s="242"/>
      <c r="X202" s="243" t="n">
        <v>0.26</v>
      </c>
      <c r="Y202" s="223" t="n">
        <v>2.64</v>
      </c>
      <c r="Z202" s="223" t="n">
        <f aca="false">X202*Y202</f>
        <v>0.6864</v>
      </c>
      <c r="AA202" s="75"/>
    </row>
    <row r="203" customFormat="false" ht="15" hidden="false" customHeight="false" outlineLevel="0" collapsed="false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 t="s">
        <v>300</v>
      </c>
      <c r="S203" s="75"/>
      <c r="T203" s="242"/>
      <c r="U203" s="242"/>
      <c r="V203" s="242" t="s">
        <v>295</v>
      </c>
      <c r="W203" s="242"/>
      <c r="X203" s="243" t="n">
        <v>0.16</v>
      </c>
      <c r="Y203" s="223" t="n">
        <v>5.51</v>
      </c>
      <c r="Z203" s="223" t="n">
        <f aca="false">X203*Y203</f>
        <v>0.8816</v>
      </c>
      <c r="AA203" s="75"/>
    </row>
    <row r="204" customFormat="false" ht="15" hidden="false" customHeight="false" outlineLevel="0" collapsed="false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 t="s">
        <v>667</v>
      </c>
      <c r="S204" s="75"/>
      <c r="T204" s="242"/>
      <c r="U204" s="242"/>
      <c r="V204" s="242" t="s">
        <v>304</v>
      </c>
      <c r="W204" s="242"/>
      <c r="X204" s="243" t="n">
        <v>3.35</v>
      </c>
      <c r="Y204" s="223" t="n">
        <v>5.8</v>
      </c>
      <c r="Z204" s="223" t="n">
        <f aca="false">X204*Y204</f>
        <v>19.43</v>
      </c>
      <c r="AA204" s="75"/>
    </row>
    <row r="205" customFormat="false" ht="15" hidden="false" customHeight="false" outlineLevel="0" collapsed="false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242"/>
      <c r="U205" s="242"/>
      <c r="V205" s="242"/>
      <c r="W205" s="242"/>
      <c r="X205" s="243"/>
      <c r="Y205" s="223"/>
      <c r="Z205" s="93" t="n">
        <f aca="false">SUM(Z202:Z204)</f>
        <v>20.998</v>
      </c>
      <c r="AA205" s="75"/>
    </row>
    <row r="206" customFormat="false" ht="15" hidden="false" customHeight="false" outlineLevel="0" collapsed="false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95" t="s">
        <v>308</v>
      </c>
      <c r="S206" s="75"/>
      <c r="T206" s="242"/>
      <c r="U206" s="242"/>
      <c r="V206" s="242"/>
      <c r="W206" s="242"/>
      <c r="X206" s="243"/>
      <c r="Y206" s="75"/>
      <c r="Z206" s="75"/>
      <c r="AA206" s="75"/>
    </row>
    <row r="207" customFormat="false" ht="15" hidden="false" customHeight="false" outlineLevel="0" collapsed="false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 t="s">
        <v>309</v>
      </c>
      <c r="S207" s="75"/>
      <c r="T207" s="75"/>
      <c r="U207" s="75"/>
      <c r="V207" s="75" t="s">
        <v>310</v>
      </c>
      <c r="W207" s="75"/>
      <c r="X207" s="243" t="n">
        <v>3</v>
      </c>
      <c r="Y207" s="75" t="n">
        <f aca="false">Z200</f>
        <v>52.54</v>
      </c>
      <c r="Z207" s="223" t="n">
        <f aca="false">X207%*Y207</f>
        <v>1.5762</v>
      </c>
      <c r="AA207" s="75"/>
    </row>
    <row r="208" customFormat="false" ht="15" hidden="false" customHeight="false" outlineLevel="0" collapsed="false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244" t="s">
        <v>669</v>
      </c>
      <c r="R208" s="244" t="s">
        <v>669</v>
      </c>
      <c r="S208" s="244" t="s">
        <v>669</v>
      </c>
      <c r="T208" s="244" t="s">
        <v>669</v>
      </c>
      <c r="U208" s="244" t="s">
        <v>669</v>
      </c>
      <c r="V208" s="244" t="s">
        <v>669</v>
      </c>
      <c r="W208" s="244" t="s">
        <v>669</v>
      </c>
      <c r="X208" s="253" t="s">
        <v>669</v>
      </c>
      <c r="Y208" s="244" t="s">
        <v>669</v>
      </c>
      <c r="Z208" s="100" t="n">
        <f aca="false">SUM(Z207)</f>
        <v>1.5762</v>
      </c>
      <c r="AA208" s="75"/>
    </row>
    <row r="209" customFormat="false" ht="15" hidden="false" customHeight="false" outlineLevel="0" collapsed="false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  <c r="AA209" s="75"/>
    </row>
    <row r="210" customFormat="false" ht="15" hidden="false" customHeight="false" outlineLevel="0" collapsed="false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</row>
    <row r="211" customFormat="false" ht="15" hidden="false" customHeight="false" outlineLevel="0" collapsed="false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86" t="s">
        <v>276</v>
      </c>
      <c r="R211" s="86"/>
      <c r="S211" s="86" t="s">
        <v>505</v>
      </c>
      <c r="T211" s="86"/>
      <c r="U211" s="86"/>
      <c r="V211" s="86"/>
      <c r="W211" s="86"/>
      <c r="X211" s="75"/>
      <c r="Y211" s="75"/>
      <c r="Z211" s="75"/>
      <c r="AA211" s="75"/>
    </row>
    <row r="212" customFormat="false" ht="15" hidden="false" customHeight="false" outlineLevel="0" collapsed="false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86" t="s">
        <v>277</v>
      </c>
      <c r="R212" s="86" t="s">
        <v>674</v>
      </c>
      <c r="S212" s="86" t="s">
        <v>279</v>
      </c>
      <c r="T212" s="92" t="n">
        <v>250</v>
      </c>
      <c r="U212" s="92" t="s">
        <v>280</v>
      </c>
      <c r="V212" s="92" t="n">
        <f aca="false">T212</f>
        <v>250</v>
      </c>
      <c r="W212" s="92" t="s">
        <v>281</v>
      </c>
      <c r="X212" s="86"/>
      <c r="Y212" s="86" t="s">
        <v>295</v>
      </c>
      <c r="Z212" s="93" t="n">
        <f aca="false">Z217+Z221+Z225</f>
        <v>5.5639628445</v>
      </c>
      <c r="AA212" s="75"/>
    </row>
    <row r="213" customFormat="false" ht="15" hidden="false" customHeight="false" outlineLevel="0" collapsed="false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86" t="s">
        <v>282</v>
      </c>
      <c r="R213" s="86" t="s">
        <v>283</v>
      </c>
      <c r="S213" s="86"/>
      <c r="T213" s="242"/>
      <c r="U213" s="242"/>
      <c r="V213" s="92" t="s">
        <v>121</v>
      </c>
      <c r="W213" s="92" t="s">
        <v>284</v>
      </c>
      <c r="X213" s="86" t="s">
        <v>285</v>
      </c>
      <c r="Y213" s="86" t="s">
        <v>286</v>
      </c>
      <c r="Z213" s="86" t="s">
        <v>287</v>
      </c>
      <c r="AA213" s="75"/>
    </row>
    <row r="214" customFormat="false" ht="15" hidden="false" customHeight="false" outlineLevel="0" collapsed="false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95" t="s">
        <v>288</v>
      </c>
      <c r="S214" s="75"/>
      <c r="T214" s="242"/>
      <c r="U214" s="242"/>
      <c r="V214" s="242"/>
      <c r="W214" s="242"/>
      <c r="X214" s="75"/>
      <c r="Y214" s="75"/>
      <c r="Z214" s="75"/>
      <c r="AA214" s="75"/>
    </row>
    <row r="215" customFormat="false" ht="15" hidden="false" customHeight="false" outlineLevel="0" collapsed="false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 t="s">
        <v>289</v>
      </c>
      <c r="S215" s="75"/>
      <c r="T215" s="242"/>
      <c r="U215" s="242"/>
      <c r="V215" s="242" t="s">
        <v>290</v>
      </c>
      <c r="W215" s="242" t="n">
        <v>1</v>
      </c>
      <c r="X215" s="243" t="n">
        <f aca="false">W215*8/$T$212</f>
        <v>0.032</v>
      </c>
      <c r="Y215" s="223" t="n">
        <v>28.94</v>
      </c>
      <c r="Z215" s="223" t="n">
        <f aca="false">X215*Y215</f>
        <v>0.92608</v>
      </c>
      <c r="AA215" s="75"/>
    </row>
    <row r="216" customFormat="false" ht="15" hidden="false" customHeight="false" outlineLevel="0" collapsed="false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 t="s">
        <v>675</v>
      </c>
      <c r="S216" s="75"/>
      <c r="T216" s="242"/>
      <c r="U216" s="242"/>
      <c r="V216" s="242" t="s">
        <v>290</v>
      </c>
      <c r="W216" s="242" t="n">
        <v>1</v>
      </c>
      <c r="X216" s="243" t="n">
        <f aca="false">W216*8/$T$212</f>
        <v>0.032</v>
      </c>
      <c r="Y216" s="223" t="n">
        <v>23.6</v>
      </c>
      <c r="Z216" s="223" t="n">
        <f aca="false">X216*Y216</f>
        <v>0.7552</v>
      </c>
      <c r="AA216" s="75"/>
    </row>
    <row r="217" customFormat="false" ht="15" hidden="false" customHeight="false" outlineLevel="0" collapsed="false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242"/>
      <c r="U217" s="242"/>
      <c r="V217" s="242"/>
      <c r="W217" s="242"/>
      <c r="X217" s="243"/>
      <c r="Y217" s="223"/>
      <c r="Z217" s="93" t="n">
        <f aca="false">SUM(Z215:Z216)</f>
        <v>1.68128</v>
      </c>
      <c r="AA217" s="75"/>
    </row>
    <row r="218" customFormat="false" ht="15" hidden="false" customHeight="false" outlineLevel="0" collapsed="false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95" t="s">
        <v>293</v>
      </c>
      <c r="S218" s="75"/>
      <c r="T218" s="242"/>
      <c r="U218" s="242"/>
      <c r="V218" s="242"/>
      <c r="W218" s="242"/>
      <c r="X218" s="243"/>
      <c r="Y218" s="223"/>
      <c r="Z218" s="75"/>
      <c r="AA218" s="75"/>
    </row>
    <row r="219" customFormat="false" ht="15" hidden="false" customHeight="false" outlineLevel="0" collapsed="false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 t="s">
        <v>294</v>
      </c>
      <c r="S219" s="75"/>
      <c r="T219" s="242"/>
      <c r="U219" s="242"/>
      <c r="V219" s="242" t="s">
        <v>295</v>
      </c>
      <c r="W219" s="242"/>
      <c r="X219" s="243" t="n">
        <v>0.03</v>
      </c>
      <c r="Y219" s="223" t="n">
        <v>2.64</v>
      </c>
      <c r="Z219" s="223" t="n">
        <f aca="false">X219*Y219</f>
        <v>0.0792</v>
      </c>
      <c r="AA219" s="75"/>
    </row>
    <row r="220" customFormat="false" ht="15" hidden="false" customHeight="false" outlineLevel="0" collapsed="false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 t="s">
        <v>676</v>
      </c>
      <c r="S220" s="75"/>
      <c r="T220" s="242"/>
      <c r="U220" s="242"/>
      <c r="V220" s="242" t="s">
        <v>295</v>
      </c>
      <c r="W220" s="242"/>
      <c r="X220" s="243" t="n">
        <v>1.05</v>
      </c>
      <c r="Y220" s="223" t="n">
        <f aca="false">1012.71*3.379/1000</f>
        <v>3.42194709</v>
      </c>
      <c r="Z220" s="223" t="n">
        <f aca="false">X220*Y220</f>
        <v>3.5930444445</v>
      </c>
      <c r="AA220" s="75"/>
    </row>
    <row r="221" customFormat="false" ht="15" hidden="false" customHeight="false" outlineLevel="0" collapsed="false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242"/>
      <c r="U221" s="242"/>
      <c r="V221" s="242"/>
      <c r="W221" s="242"/>
      <c r="X221" s="243"/>
      <c r="Y221" s="223"/>
      <c r="Z221" s="93" t="n">
        <f aca="false">SUM(Z219:Z220)</f>
        <v>3.6722444445</v>
      </c>
      <c r="AA221" s="75"/>
    </row>
    <row r="222" customFormat="false" ht="15" hidden="false" customHeight="false" outlineLevel="0" collapsed="false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95" t="s">
        <v>317</v>
      </c>
      <c r="S222" s="75"/>
      <c r="T222" s="242"/>
      <c r="U222" s="242"/>
      <c r="V222" s="242"/>
      <c r="W222" s="242"/>
      <c r="X222" s="243"/>
      <c r="Y222" s="223"/>
      <c r="Z222" s="75"/>
      <c r="AA222" s="75"/>
    </row>
    <row r="223" customFormat="false" ht="15" hidden="false" customHeight="false" outlineLevel="0" collapsed="false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 t="s">
        <v>309</v>
      </c>
      <c r="S223" s="75"/>
      <c r="T223" s="242"/>
      <c r="U223" s="242"/>
      <c r="V223" s="242" t="s">
        <v>310</v>
      </c>
      <c r="W223" s="242"/>
      <c r="X223" s="243" t="n">
        <v>3</v>
      </c>
      <c r="Y223" s="223" t="n">
        <f aca="false">Z217</f>
        <v>1.68128</v>
      </c>
      <c r="Z223" s="223" t="n">
        <f aca="false">X223%*Y223</f>
        <v>0.0504384</v>
      </c>
      <c r="AA223" s="75"/>
    </row>
    <row r="224" customFormat="false" ht="15" hidden="false" customHeight="false" outlineLevel="0" collapsed="false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 t="s">
        <v>677</v>
      </c>
      <c r="S224" s="75"/>
      <c r="T224" s="242"/>
      <c r="U224" s="242"/>
      <c r="V224" s="242" t="s">
        <v>290</v>
      </c>
      <c r="W224" s="242" t="n">
        <v>1</v>
      </c>
      <c r="X224" s="243" t="n">
        <f aca="false">W224*8/$T$212</f>
        <v>0.032</v>
      </c>
      <c r="Y224" s="251" t="n">
        <v>5</v>
      </c>
      <c r="Z224" s="223" t="n">
        <f aca="false">X224*Y224</f>
        <v>0.16</v>
      </c>
      <c r="AA224" s="75"/>
    </row>
    <row r="225" customFormat="false" ht="15" hidden="false" customHeight="false" outlineLevel="0" collapsed="false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244" t="s">
        <v>669</v>
      </c>
      <c r="R225" s="244" t="s">
        <v>669</v>
      </c>
      <c r="S225" s="244" t="s">
        <v>669</v>
      </c>
      <c r="T225" s="244" t="s">
        <v>669</v>
      </c>
      <c r="U225" s="244" t="s">
        <v>669</v>
      </c>
      <c r="V225" s="244" t="s">
        <v>669</v>
      </c>
      <c r="W225" s="244" t="s">
        <v>669</v>
      </c>
      <c r="X225" s="244" t="s">
        <v>669</v>
      </c>
      <c r="Y225" s="244" t="s">
        <v>669</v>
      </c>
      <c r="Z225" s="100" t="n">
        <f aca="false">SUM(Z223:Z224)</f>
        <v>0.2104384</v>
      </c>
      <c r="AA225" s="75"/>
    </row>
    <row r="226" customFormat="false" ht="15" hidden="false" customHeight="false" outlineLevel="0" collapsed="false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  <c r="AA226" s="75"/>
    </row>
    <row r="227" customFormat="false" ht="15" hidden="false" customHeight="false" outlineLevel="0" collapsed="false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86" t="s">
        <v>276</v>
      </c>
      <c r="R227" s="86"/>
      <c r="S227" s="86" t="s">
        <v>509</v>
      </c>
      <c r="T227" s="86"/>
      <c r="U227" s="86"/>
      <c r="V227" s="86"/>
      <c r="W227" s="86"/>
      <c r="X227" s="75"/>
      <c r="Y227" s="75"/>
      <c r="Z227" s="75"/>
      <c r="AA227" s="75"/>
    </row>
    <row r="228" customFormat="false" ht="15" hidden="false" customHeight="false" outlineLevel="0" collapsed="false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86" t="s">
        <v>277</v>
      </c>
      <c r="R228" s="86" t="s">
        <v>415</v>
      </c>
      <c r="S228" s="86" t="s">
        <v>279</v>
      </c>
      <c r="T228" s="92" t="n">
        <v>20</v>
      </c>
      <c r="U228" s="92" t="s">
        <v>280</v>
      </c>
      <c r="V228" s="92" t="n">
        <f aca="false">T228</f>
        <v>20</v>
      </c>
      <c r="W228" s="92" t="s">
        <v>281</v>
      </c>
      <c r="X228" s="86"/>
      <c r="Y228" s="86" t="s">
        <v>202</v>
      </c>
      <c r="Z228" s="93" t="n">
        <f aca="false">Z234+Z242+Z247</f>
        <v>438.22652</v>
      </c>
      <c r="AA228" s="75"/>
    </row>
    <row r="229" customFormat="false" ht="15" hidden="false" customHeight="false" outlineLevel="0" collapsed="false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86" t="s">
        <v>282</v>
      </c>
      <c r="R229" s="86" t="s">
        <v>283</v>
      </c>
      <c r="S229" s="86"/>
      <c r="T229" s="242"/>
      <c r="U229" s="242"/>
      <c r="V229" s="92" t="s">
        <v>121</v>
      </c>
      <c r="W229" s="92" t="s">
        <v>284</v>
      </c>
      <c r="X229" s="86" t="s">
        <v>285</v>
      </c>
      <c r="Y229" s="86" t="s">
        <v>286</v>
      </c>
      <c r="Z229" s="86" t="s">
        <v>287</v>
      </c>
      <c r="AA229" s="75"/>
    </row>
    <row r="230" customFormat="false" ht="15" hidden="false" customHeight="false" outlineLevel="0" collapsed="false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95" t="s">
        <v>288</v>
      </c>
      <c r="S230" s="75"/>
      <c r="T230" s="242"/>
      <c r="U230" s="242"/>
      <c r="V230" s="242"/>
      <c r="W230" s="242"/>
      <c r="X230" s="75"/>
      <c r="Y230" s="75"/>
      <c r="Z230" s="75"/>
      <c r="AA230" s="75"/>
    </row>
    <row r="231" customFormat="false" ht="15" hidden="false" customHeight="false" outlineLevel="0" collapsed="false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 t="s">
        <v>289</v>
      </c>
      <c r="S231" s="75"/>
      <c r="T231" s="242"/>
      <c r="U231" s="242"/>
      <c r="V231" s="242" t="s">
        <v>290</v>
      </c>
      <c r="W231" s="242" t="n">
        <v>2</v>
      </c>
      <c r="X231" s="243" t="n">
        <f aca="false">W231*8/$T$228</f>
        <v>0.8</v>
      </c>
      <c r="Y231" s="223" t="n">
        <v>28.94</v>
      </c>
      <c r="Z231" s="223" t="n">
        <f aca="false">X231*Y231</f>
        <v>23.152</v>
      </c>
      <c r="AA231" s="75"/>
    </row>
    <row r="232" customFormat="false" ht="15" hidden="false" customHeight="false" outlineLevel="0" collapsed="false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 t="s">
        <v>291</v>
      </c>
      <c r="S232" s="75"/>
      <c r="T232" s="242"/>
      <c r="U232" s="242"/>
      <c r="V232" s="242" t="s">
        <v>290</v>
      </c>
      <c r="W232" s="242" t="n">
        <v>1</v>
      </c>
      <c r="X232" s="243" t="n">
        <f aca="false">W232*8/$T$228</f>
        <v>0.4</v>
      </c>
      <c r="Y232" s="223" t="n">
        <v>23.6</v>
      </c>
      <c r="Z232" s="223" t="n">
        <f aca="false">X232*Y232</f>
        <v>9.44</v>
      </c>
      <c r="AA232" s="75"/>
    </row>
    <row r="233" customFormat="false" ht="15" hidden="false" customHeight="false" outlineLevel="0" collapsed="false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 t="s">
        <v>292</v>
      </c>
      <c r="S233" s="75"/>
      <c r="T233" s="242"/>
      <c r="U233" s="242"/>
      <c r="V233" s="242" t="s">
        <v>290</v>
      </c>
      <c r="W233" s="242" t="n">
        <v>6</v>
      </c>
      <c r="X233" s="243" t="n">
        <f aca="false">W233*8/$T$228</f>
        <v>2.4</v>
      </c>
      <c r="Y233" s="223" t="n">
        <v>21.36</v>
      </c>
      <c r="Z233" s="223" t="n">
        <f aca="false">X233*Y233</f>
        <v>51.264</v>
      </c>
      <c r="AA233" s="75"/>
    </row>
    <row r="234" customFormat="false" ht="15" hidden="false" customHeight="false" outlineLevel="0" collapsed="false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242"/>
      <c r="U234" s="242"/>
      <c r="V234" s="242"/>
      <c r="W234" s="242"/>
      <c r="X234" s="243"/>
      <c r="Y234" s="223"/>
      <c r="Z234" s="93" t="n">
        <f aca="false">SUM(Z231:Z233)</f>
        <v>83.856</v>
      </c>
      <c r="AA234" s="75"/>
    </row>
    <row r="235" customFormat="false" ht="15" hidden="false" customHeight="false" outlineLevel="0" collapsed="false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95" t="s">
        <v>652</v>
      </c>
      <c r="S235" s="75"/>
      <c r="T235" s="242"/>
      <c r="U235" s="242"/>
      <c r="V235" s="242"/>
      <c r="W235" s="242"/>
      <c r="X235" s="243"/>
      <c r="Y235" s="223"/>
      <c r="Z235" s="75"/>
      <c r="AA235" s="75"/>
    </row>
    <row r="236" customFormat="false" ht="15" hidden="false" customHeight="false" outlineLevel="0" collapsed="false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 t="s">
        <v>670</v>
      </c>
      <c r="S236" s="75"/>
      <c r="T236" s="242"/>
      <c r="U236" s="242"/>
      <c r="V236" s="242" t="s">
        <v>202</v>
      </c>
      <c r="W236" s="242"/>
      <c r="X236" s="243" t="n">
        <v>0.53</v>
      </c>
      <c r="Y236" s="223" t="n">
        <v>55.08</v>
      </c>
      <c r="Z236" s="223" t="n">
        <f aca="false">X236*Y236</f>
        <v>29.1924</v>
      </c>
      <c r="AA236" s="75"/>
    </row>
    <row r="237" customFormat="false" ht="15" hidden="false" customHeight="false" outlineLevel="0" collapsed="false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 t="s">
        <v>671</v>
      </c>
      <c r="S237" s="75"/>
      <c r="T237" s="242"/>
      <c r="U237" s="242"/>
      <c r="V237" s="242" t="s">
        <v>202</v>
      </c>
      <c r="W237" s="242"/>
      <c r="X237" s="243" t="n">
        <v>0.52</v>
      </c>
      <c r="Y237" s="223" t="n">
        <v>47</v>
      </c>
      <c r="Z237" s="223" t="n">
        <f aca="false">X237*Y237</f>
        <v>24.44</v>
      </c>
      <c r="AA237" s="75"/>
    </row>
    <row r="238" customFormat="false" ht="15" hidden="false" customHeight="false" outlineLevel="0" collapsed="false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 t="s">
        <v>305</v>
      </c>
      <c r="S238" s="75"/>
      <c r="T238" s="242"/>
      <c r="U238" s="242"/>
      <c r="V238" s="242" t="s">
        <v>306</v>
      </c>
      <c r="W238" s="242"/>
      <c r="X238" s="243" t="n">
        <v>9.73</v>
      </c>
      <c r="Y238" s="223" t="n">
        <v>24.52</v>
      </c>
      <c r="Z238" s="223" t="n">
        <f aca="false">X238*Y238</f>
        <v>238.5796</v>
      </c>
      <c r="AA238" s="75"/>
    </row>
    <row r="239" customFormat="false" ht="15" hidden="false" customHeight="false" outlineLevel="0" collapsed="false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 t="s">
        <v>654</v>
      </c>
      <c r="S239" s="75"/>
      <c r="T239" s="242"/>
      <c r="U239" s="242"/>
      <c r="V239" s="242" t="s">
        <v>202</v>
      </c>
      <c r="W239" s="242"/>
      <c r="X239" s="243" t="n">
        <v>0.186</v>
      </c>
      <c r="Y239" s="223" t="n">
        <v>6.14</v>
      </c>
      <c r="Z239" s="223" t="n">
        <f aca="false">X239*Y239</f>
        <v>1.14204</v>
      </c>
      <c r="AA239" s="75"/>
    </row>
    <row r="240" customFormat="false" ht="15" hidden="false" customHeight="false" outlineLevel="0" collapsed="false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 t="s">
        <v>663</v>
      </c>
      <c r="S240" s="75"/>
      <c r="T240" s="242"/>
      <c r="U240" s="242"/>
      <c r="V240" s="242" t="s">
        <v>437</v>
      </c>
      <c r="W240" s="242"/>
      <c r="X240" s="243" t="n">
        <v>0.36</v>
      </c>
      <c r="Y240" s="223" t="n">
        <v>13.93</v>
      </c>
      <c r="Z240" s="223" t="n">
        <f aca="false">X240*Y240</f>
        <v>5.0148</v>
      </c>
      <c r="AA240" s="75"/>
    </row>
    <row r="241" customFormat="false" ht="15" hidden="false" customHeight="false" outlineLevel="0" collapsed="false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 t="s">
        <v>672</v>
      </c>
      <c r="S241" s="75"/>
      <c r="T241" s="242"/>
      <c r="U241" s="242"/>
      <c r="V241" s="242" t="s">
        <v>437</v>
      </c>
      <c r="W241" s="242"/>
      <c r="X241" s="243" t="n">
        <v>1.5</v>
      </c>
      <c r="Y241" s="251" t="n">
        <v>27.88</v>
      </c>
      <c r="Z241" s="223" t="n">
        <f aca="false">X241*Y241</f>
        <v>41.82</v>
      </c>
      <c r="AA241" s="75"/>
    </row>
    <row r="242" customFormat="false" ht="15" hidden="false" customHeight="false" outlineLevel="0" collapsed="false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242"/>
      <c r="U242" s="242"/>
      <c r="V242" s="242"/>
      <c r="W242" s="242"/>
      <c r="X242" s="243"/>
      <c r="Y242" s="223"/>
      <c r="Z242" s="93" t="n">
        <f aca="false">SUM(Z236:Z241)</f>
        <v>340.18884</v>
      </c>
      <c r="AA242" s="75"/>
    </row>
    <row r="243" customFormat="false" ht="15" hidden="false" customHeight="false" outlineLevel="0" collapsed="false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95" t="s">
        <v>308</v>
      </c>
      <c r="S243" s="75"/>
      <c r="T243" s="242"/>
      <c r="U243" s="242"/>
      <c r="V243" s="242"/>
      <c r="W243" s="242"/>
      <c r="X243" s="243"/>
      <c r="Y243" s="223"/>
      <c r="Z243" s="75"/>
      <c r="AA243" s="75"/>
    </row>
    <row r="244" customFormat="false" ht="15" hidden="false" customHeight="false" outlineLevel="0" collapsed="false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 t="s">
        <v>309</v>
      </c>
      <c r="S244" s="75"/>
      <c r="T244" s="242"/>
      <c r="U244" s="242"/>
      <c r="V244" s="242" t="s">
        <v>310</v>
      </c>
      <c r="W244" s="242"/>
      <c r="X244" s="243" t="n">
        <v>3</v>
      </c>
      <c r="Y244" s="223" t="n">
        <f aca="false">Z234</f>
        <v>83.856</v>
      </c>
      <c r="Z244" s="223" t="n">
        <f aca="false">X244%*Y244</f>
        <v>2.51568</v>
      </c>
      <c r="AA244" s="75"/>
    </row>
    <row r="245" customFormat="false" ht="15" hidden="false" customHeight="false" outlineLevel="0" collapsed="false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 t="s">
        <v>665</v>
      </c>
      <c r="S245" s="75"/>
      <c r="T245" s="242"/>
      <c r="U245" s="242"/>
      <c r="V245" s="242" t="s">
        <v>337</v>
      </c>
      <c r="W245" s="242" t="n">
        <v>1</v>
      </c>
      <c r="X245" s="243" t="n">
        <f aca="false">W245*8/$T$228</f>
        <v>0.4</v>
      </c>
      <c r="Y245" s="75" t="n">
        <v>25.63</v>
      </c>
      <c r="Z245" s="223" t="n">
        <f aca="false">X245*Y245</f>
        <v>10.252</v>
      </c>
      <c r="AA245" s="75"/>
    </row>
    <row r="246" customFormat="false" ht="15" hidden="false" customHeight="false" outlineLevel="0" collapsed="false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 t="s">
        <v>673</v>
      </c>
      <c r="S246" s="75"/>
      <c r="T246" s="242"/>
      <c r="U246" s="242"/>
      <c r="V246" s="242" t="s">
        <v>337</v>
      </c>
      <c r="W246" s="242" t="n">
        <v>0.5</v>
      </c>
      <c r="X246" s="243" t="n">
        <f aca="false">W246*8/$T$228</f>
        <v>0.2</v>
      </c>
      <c r="Y246" s="75" t="n">
        <v>7.07</v>
      </c>
      <c r="Z246" s="223" t="n">
        <f aca="false">X246*Y246</f>
        <v>1.414</v>
      </c>
      <c r="AA246" s="75"/>
    </row>
    <row r="247" customFormat="false" ht="15" hidden="false" customHeight="false" outlineLevel="0" collapsed="false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244" t="s">
        <v>669</v>
      </c>
      <c r="R247" s="244" t="s">
        <v>669</v>
      </c>
      <c r="S247" s="244" t="s">
        <v>669</v>
      </c>
      <c r="T247" s="244" t="s">
        <v>669</v>
      </c>
      <c r="U247" s="244" t="s">
        <v>669</v>
      </c>
      <c r="V247" s="244" t="s">
        <v>669</v>
      </c>
      <c r="W247" s="244" t="s">
        <v>669</v>
      </c>
      <c r="X247" s="244" t="s">
        <v>669</v>
      </c>
      <c r="Y247" s="244" t="s">
        <v>669</v>
      </c>
      <c r="Z247" s="100" t="n">
        <f aca="false">SUM(Z244:Z246)</f>
        <v>14.18168</v>
      </c>
      <c r="AA247" s="75"/>
    </row>
    <row r="248" customFormat="false" ht="15" hidden="false" customHeight="false" outlineLevel="0" collapsed="false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86"/>
      <c r="AA248" s="75"/>
    </row>
    <row r="249" customFormat="false" ht="15" hidden="false" customHeight="false" outlineLevel="0" collapsed="false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86" t="s">
        <v>276</v>
      </c>
      <c r="R249" s="86"/>
      <c r="S249" s="86" t="s">
        <v>511</v>
      </c>
      <c r="T249" s="86"/>
      <c r="U249" s="86"/>
      <c r="V249" s="86"/>
      <c r="W249" s="86"/>
      <c r="X249" s="86"/>
      <c r="Y249" s="75"/>
      <c r="Z249" s="75"/>
      <c r="AA249" s="75"/>
    </row>
    <row r="250" customFormat="false" ht="15" hidden="false" customHeight="false" outlineLevel="0" collapsed="false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86" t="s">
        <v>277</v>
      </c>
      <c r="R250" s="86" t="s">
        <v>278</v>
      </c>
      <c r="S250" s="86" t="s">
        <v>279</v>
      </c>
      <c r="T250" s="92" t="n">
        <v>20</v>
      </c>
      <c r="U250" s="92" t="s">
        <v>280</v>
      </c>
      <c r="V250" s="92" t="n">
        <f aca="false">T250</f>
        <v>20</v>
      </c>
      <c r="W250" s="92" t="s">
        <v>281</v>
      </c>
      <c r="X250" s="86"/>
      <c r="Y250" s="86" t="s">
        <v>132</v>
      </c>
      <c r="Z250" s="93" t="n">
        <f aca="false">Z255+Z260+Z263</f>
        <v>64.02696</v>
      </c>
      <c r="AA250" s="75"/>
    </row>
    <row r="251" customFormat="false" ht="15" hidden="false" customHeight="false" outlineLevel="0" collapsed="false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86" t="s">
        <v>282</v>
      </c>
      <c r="R251" s="86" t="s">
        <v>283</v>
      </c>
      <c r="S251" s="86"/>
      <c r="T251" s="242"/>
      <c r="U251" s="242"/>
      <c r="V251" s="92" t="s">
        <v>121</v>
      </c>
      <c r="W251" s="92" t="s">
        <v>284</v>
      </c>
      <c r="X251" s="86" t="s">
        <v>285</v>
      </c>
      <c r="Y251" s="86" t="s">
        <v>286</v>
      </c>
      <c r="Z251" s="86" t="s">
        <v>287</v>
      </c>
      <c r="AA251" s="75"/>
    </row>
    <row r="252" customFormat="false" ht="15" hidden="false" customHeight="false" outlineLevel="0" collapsed="false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95" t="s">
        <v>288</v>
      </c>
      <c r="S252" s="75"/>
      <c r="T252" s="242"/>
      <c r="U252" s="242"/>
      <c r="V252" s="242"/>
      <c r="W252" s="242"/>
      <c r="X252" s="75"/>
      <c r="Y252" s="75"/>
      <c r="Z252" s="75"/>
      <c r="AA252" s="75"/>
    </row>
    <row r="253" customFormat="false" ht="15" hidden="false" customHeight="false" outlineLevel="0" collapsed="false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 t="s">
        <v>289</v>
      </c>
      <c r="S253" s="75"/>
      <c r="T253" s="242"/>
      <c r="U253" s="242"/>
      <c r="V253" s="242" t="s">
        <v>290</v>
      </c>
      <c r="W253" s="242" t="n">
        <v>2</v>
      </c>
      <c r="X253" s="243" t="n">
        <f aca="false">W253*8/$T$250</f>
        <v>0.8</v>
      </c>
      <c r="Y253" s="223" t="n">
        <v>28.94</v>
      </c>
      <c r="Z253" s="223" t="n">
        <f aca="false">X253*Y253</f>
        <v>23.152</v>
      </c>
      <c r="AA253" s="75"/>
    </row>
    <row r="254" customFormat="false" ht="15" hidden="false" customHeight="false" outlineLevel="0" collapsed="false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 t="s">
        <v>291</v>
      </c>
      <c r="S254" s="75"/>
      <c r="T254" s="242"/>
      <c r="U254" s="242"/>
      <c r="V254" s="242" t="s">
        <v>290</v>
      </c>
      <c r="W254" s="242" t="n">
        <v>2</v>
      </c>
      <c r="X254" s="243" t="n">
        <f aca="false">W254*8/$T$250</f>
        <v>0.8</v>
      </c>
      <c r="Y254" s="223" t="n">
        <v>23.6</v>
      </c>
      <c r="Z254" s="223" t="n">
        <f aca="false">X254*Y254</f>
        <v>18.88</v>
      </c>
      <c r="AA254" s="75"/>
    </row>
    <row r="255" customFormat="false" ht="15" hidden="false" customHeight="false" outlineLevel="0" collapsed="false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242"/>
      <c r="U255" s="242"/>
      <c r="V255" s="242"/>
      <c r="W255" s="242"/>
      <c r="X255" s="243"/>
      <c r="Y255" s="223"/>
      <c r="Z255" s="93" t="n">
        <f aca="false">SUM(Z253:Z254)</f>
        <v>42.032</v>
      </c>
      <c r="AA255" s="75"/>
    </row>
    <row r="256" customFormat="false" ht="15" hidden="false" customHeight="false" outlineLevel="0" collapsed="false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95" t="s">
        <v>652</v>
      </c>
      <c r="S256" s="75"/>
      <c r="T256" s="242"/>
      <c r="U256" s="242"/>
      <c r="V256" s="242"/>
      <c r="W256" s="242"/>
      <c r="X256" s="243"/>
      <c r="Y256" s="223"/>
      <c r="Z256" s="75"/>
      <c r="AA256" s="75"/>
    </row>
    <row r="257" customFormat="false" ht="15" hidden="false" customHeight="false" outlineLevel="0" collapsed="false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 t="s">
        <v>680</v>
      </c>
      <c r="S257" s="75"/>
      <c r="T257" s="242"/>
      <c r="U257" s="242"/>
      <c r="V257" s="242" t="s">
        <v>295</v>
      </c>
      <c r="W257" s="242"/>
      <c r="X257" s="243" t="n">
        <v>0.16</v>
      </c>
      <c r="Y257" s="223" t="n">
        <v>2.64</v>
      </c>
      <c r="Z257" s="223" t="n">
        <f aca="false">X257*Y257</f>
        <v>0.4224</v>
      </c>
      <c r="AA257" s="75"/>
    </row>
    <row r="258" customFormat="false" ht="15" hidden="false" customHeight="false" outlineLevel="0" collapsed="false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 t="s">
        <v>300</v>
      </c>
      <c r="S258" s="75"/>
      <c r="T258" s="242"/>
      <c r="U258" s="242"/>
      <c r="V258" s="242" t="s">
        <v>295</v>
      </c>
      <c r="W258" s="242"/>
      <c r="X258" s="243" t="n">
        <v>0.16</v>
      </c>
      <c r="Y258" s="223" t="n">
        <v>5.51</v>
      </c>
      <c r="Z258" s="223" t="n">
        <f aca="false">X258*Y258</f>
        <v>0.8816</v>
      </c>
      <c r="AA258" s="75"/>
    </row>
    <row r="259" customFormat="false" ht="15" hidden="false" customHeight="false" outlineLevel="0" collapsed="false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 t="s">
        <v>667</v>
      </c>
      <c r="S259" s="75"/>
      <c r="T259" s="242"/>
      <c r="U259" s="242"/>
      <c r="V259" s="242" t="s">
        <v>304</v>
      </c>
      <c r="W259" s="242"/>
      <c r="X259" s="243" t="n">
        <v>3.35</v>
      </c>
      <c r="Y259" s="223" t="n">
        <v>5.8</v>
      </c>
      <c r="Z259" s="223" t="n">
        <f aca="false">X259*Y259</f>
        <v>19.43</v>
      </c>
      <c r="AA259" s="75"/>
    </row>
    <row r="260" customFormat="false" ht="15" hidden="false" customHeight="false" outlineLevel="0" collapsed="false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242"/>
      <c r="U260" s="242"/>
      <c r="V260" s="242"/>
      <c r="W260" s="242"/>
      <c r="X260" s="243"/>
      <c r="Y260" s="75"/>
      <c r="Z260" s="93" t="n">
        <f aca="false">SUM(Z257:Z259)</f>
        <v>20.734</v>
      </c>
      <c r="AA260" s="75"/>
    </row>
    <row r="261" customFormat="false" ht="15" hidden="false" customHeight="false" outlineLevel="0" collapsed="false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95" t="s">
        <v>308</v>
      </c>
      <c r="S261" s="75"/>
      <c r="T261" s="75"/>
      <c r="U261" s="75"/>
      <c r="V261" s="75"/>
      <c r="W261" s="75"/>
      <c r="X261" s="243"/>
      <c r="Y261" s="75"/>
      <c r="Z261" s="75"/>
      <c r="AA261" s="75"/>
    </row>
    <row r="262" customFormat="false" ht="15" hidden="false" customHeight="false" outlineLevel="0" collapsed="false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 t="s">
        <v>309</v>
      </c>
      <c r="S262" s="75"/>
      <c r="T262" s="75"/>
      <c r="U262" s="75"/>
      <c r="V262" s="75" t="s">
        <v>310</v>
      </c>
      <c r="W262" s="75"/>
      <c r="X262" s="243" t="n">
        <v>3</v>
      </c>
      <c r="Y262" s="223" t="n">
        <f aca="false">Z255</f>
        <v>42.032</v>
      </c>
      <c r="Z262" s="223" t="n">
        <f aca="false">X262%*Y262</f>
        <v>1.26096</v>
      </c>
      <c r="AA262" s="75"/>
    </row>
    <row r="263" customFormat="false" ht="15" hidden="false" customHeight="false" outlineLevel="0" collapsed="false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244" t="s">
        <v>669</v>
      </c>
      <c r="R263" s="244" t="s">
        <v>669</v>
      </c>
      <c r="S263" s="244" t="s">
        <v>669</v>
      </c>
      <c r="T263" s="244" t="s">
        <v>669</v>
      </c>
      <c r="U263" s="244" t="s">
        <v>669</v>
      </c>
      <c r="V263" s="244" t="s">
        <v>669</v>
      </c>
      <c r="W263" s="244" t="s">
        <v>669</v>
      </c>
      <c r="X263" s="244" t="s">
        <v>669</v>
      </c>
      <c r="Y263" s="244" t="s">
        <v>669</v>
      </c>
      <c r="Z263" s="100" t="n">
        <f aca="false">SUM(Z262)</f>
        <v>1.26096</v>
      </c>
      <c r="AA263" s="75"/>
    </row>
    <row r="264" customFormat="false" ht="15" hidden="false" customHeight="false" outlineLevel="0" collapsed="false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86"/>
      <c r="AA264" s="75"/>
    </row>
    <row r="265" customFormat="false" ht="15" hidden="false" customHeight="false" outlineLevel="0" collapsed="false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86" t="s">
        <v>276</v>
      </c>
      <c r="R265" s="86"/>
      <c r="S265" s="86" t="s">
        <v>681</v>
      </c>
      <c r="T265" s="86"/>
      <c r="U265" s="86"/>
      <c r="V265" s="86"/>
      <c r="W265" s="86"/>
      <c r="X265" s="86"/>
      <c r="Y265" s="86"/>
      <c r="Z265" s="75"/>
      <c r="AA265" s="75"/>
    </row>
    <row r="266" customFormat="false" ht="15" hidden="false" customHeight="false" outlineLevel="0" collapsed="false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86" t="s">
        <v>277</v>
      </c>
      <c r="R266" s="86" t="s">
        <v>674</v>
      </c>
      <c r="S266" s="86" t="s">
        <v>279</v>
      </c>
      <c r="T266" s="92" t="n">
        <v>250</v>
      </c>
      <c r="U266" s="92" t="s">
        <v>280</v>
      </c>
      <c r="V266" s="92" t="n">
        <f aca="false">T266</f>
        <v>250</v>
      </c>
      <c r="W266" s="92" t="s">
        <v>281</v>
      </c>
      <c r="X266" s="86"/>
      <c r="Y266" s="86" t="s">
        <v>295</v>
      </c>
      <c r="Z266" s="93" t="n">
        <f aca="false">Z272+Z276+Z280</f>
        <v>5.5639628445</v>
      </c>
      <c r="AA266" s="75"/>
    </row>
    <row r="267" customFormat="false" ht="15" hidden="false" customHeight="false" outlineLevel="0" collapsed="false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86" t="s">
        <v>282</v>
      </c>
      <c r="R267" s="86" t="s">
        <v>283</v>
      </c>
      <c r="S267" s="86"/>
      <c r="T267" s="242"/>
      <c r="U267" s="242"/>
      <c r="V267" s="92" t="s">
        <v>121</v>
      </c>
      <c r="W267" s="92" t="s">
        <v>284</v>
      </c>
      <c r="X267" s="86" t="s">
        <v>285</v>
      </c>
      <c r="Y267" s="86" t="s">
        <v>286</v>
      </c>
      <c r="Z267" s="86" t="s">
        <v>287</v>
      </c>
      <c r="AA267" s="75"/>
    </row>
    <row r="268" customFormat="false" ht="15" hidden="false" customHeight="false" outlineLevel="0" collapsed="false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95" t="s">
        <v>288</v>
      </c>
      <c r="S268" s="75"/>
      <c r="T268" s="242"/>
      <c r="U268" s="242"/>
      <c r="V268" s="242"/>
      <c r="W268" s="242"/>
      <c r="X268" s="75"/>
      <c r="Y268" s="75"/>
      <c r="Z268" s="75"/>
      <c r="AA268" s="75"/>
    </row>
    <row r="269" customFormat="false" ht="15" hidden="false" customHeight="false" outlineLevel="0" collapsed="false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 t="s">
        <v>289</v>
      </c>
      <c r="S269" s="75"/>
      <c r="T269" s="242"/>
      <c r="U269" s="242"/>
      <c r="V269" s="242" t="s">
        <v>290</v>
      </c>
      <c r="W269" s="242" t="n">
        <v>1</v>
      </c>
      <c r="X269" s="243" t="n">
        <f aca="false">W269*8/$T$266</f>
        <v>0.032</v>
      </c>
      <c r="Y269" s="223" t="n">
        <v>28.94</v>
      </c>
      <c r="Z269" s="223" t="n">
        <f aca="false">X269*Y269</f>
        <v>0.92608</v>
      </c>
      <c r="AA269" s="75"/>
    </row>
    <row r="270" customFormat="false" ht="15" hidden="false" customHeight="false" outlineLevel="0" collapsed="false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 t="s">
        <v>675</v>
      </c>
      <c r="S270" s="75"/>
      <c r="T270" s="242"/>
      <c r="U270" s="242"/>
      <c r="V270" s="242" t="s">
        <v>290</v>
      </c>
      <c r="W270" s="242" t="n">
        <v>1</v>
      </c>
      <c r="X270" s="243" t="n">
        <f aca="false">W270*8/$T$266</f>
        <v>0.032</v>
      </c>
      <c r="Y270" s="223" t="n">
        <v>23.6</v>
      </c>
      <c r="Z270" s="223" t="n">
        <f aca="false">X270*Y270</f>
        <v>0.7552</v>
      </c>
      <c r="AA270" s="75"/>
    </row>
    <row r="271" customFormat="false" ht="15" hidden="false" customHeight="false" outlineLevel="0" collapsed="false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242"/>
      <c r="U271" s="242"/>
      <c r="V271" s="242"/>
      <c r="W271" s="242"/>
      <c r="X271" s="243"/>
      <c r="Y271" s="223"/>
      <c r="Z271" s="223"/>
      <c r="AA271" s="75"/>
    </row>
    <row r="272" customFormat="false" ht="15" hidden="false" customHeight="false" outlineLevel="0" collapsed="false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242"/>
      <c r="U272" s="242"/>
      <c r="V272" s="242"/>
      <c r="W272" s="242"/>
      <c r="X272" s="243"/>
      <c r="Y272" s="223"/>
      <c r="Z272" s="93" t="n">
        <f aca="false">SUM(Z269:Z270)</f>
        <v>1.68128</v>
      </c>
      <c r="AA272" s="75"/>
    </row>
    <row r="273" customFormat="false" ht="15" hidden="false" customHeight="false" outlineLevel="0" collapsed="false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95" t="s">
        <v>293</v>
      </c>
      <c r="S273" s="75"/>
      <c r="T273" s="242"/>
      <c r="U273" s="242"/>
      <c r="V273" s="242"/>
      <c r="W273" s="242"/>
      <c r="X273" s="243"/>
      <c r="Y273" s="223"/>
      <c r="Z273" s="223"/>
      <c r="AA273" s="75"/>
    </row>
    <row r="274" customFormat="false" ht="15" hidden="false" customHeight="false" outlineLevel="0" collapsed="false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 t="s">
        <v>294</v>
      </c>
      <c r="S274" s="75"/>
      <c r="T274" s="242"/>
      <c r="U274" s="242"/>
      <c r="V274" s="242" t="s">
        <v>295</v>
      </c>
      <c r="W274" s="242"/>
      <c r="X274" s="243" t="n">
        <v>0.03</v>
      </c>
      <c r="Y274" s="223" t="n">
        <v>2.64</v>
      </c>
      <c r="Z274" s="223" t="n">
        <f aca="false">X274*Y274</f>
        <v>0.0792</v>
      </c>
      <c r="AA274" s="75"/>
    </row>
    <row r="275" customFormat="false" ht="15" hidden="false" customHeight="false" outlineLevel="0" collapsed="false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 t="s">
        <v>676</v>
      </c>
      <c r="S275" s="75"/>
      <c r="T275" s="242"/>
      <c r="U275" s="242"/>
      <c r="V275" s="242" t="s">
        <v>295</v>
      </c>
      <c r="W275" s="242"/>
      <c r="X275" s="243" t="n">
        <v>1.05</v>
      </c>
      <c r="Y275" s="223" t="n">
        <f aca="false">1012.71*3.379/1000</f>
        <v>3.42194709</v>
      </c>
      <c r="Z275" s="223" t="n">
        <f aca="false">X275*Y275</f>
        <v>3.5930444445</v>
      </c>
      <c r="AA275" s="75"/>
    </row>
    <row r="276" customFormat="false" ht="15" hidden="false" customHeight="false" outlineLevel="0" collapsed="false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242"/>
      <c r="U276" s="242"/>
      <c r="V276" s="242"/>
      <c r="W276" s="242"/>
      <c r="X276" s="243"/>
      <c r="Y276" s="223"/>
      <c r="Z276" s="93" t="n">
        <f aca="false">SUM(Z274:Z275)</f>
        <v>3.6722444445</v>
      </c>
      <c r="AA276" s="75"/>
    </row>
    <row r="277" customFormat="false" ht="15" hidden="false" customHeight="false" outlineLevel="0" collapsed="false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95" t="s">
        <v>317</v>
      </c>
      <c r="S277" s="75"/>
      <c r="T277" s="242"/>
      <c r="U277" s="242"/>
      <c r="V277" s="242"/>
      <c r="W277" s="242"/>
      <c r="X277" s="243"/>
      <c r="Y277" s="223"/>
      <c r="Z277" s="223"/>
      <c r="AA277" s="75"/>
    </row>
    <row r="278" customFormat="false" ht="15" hidden="false" customHeight="false" outlineLevel="0" collapsed="false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 t="s">
        <v>309</v>
      </c>
      <c r="S278" s="75"/>
      <c r="T278" s="242"/>
      <c r="U278" s="242"/>
      <c r="V278" s="242" t="s">
        <v>310</v>
      </c>
      <c r="W278" s="242"/>
      <c r="X278" s="243" t="n">
        <v>3</v>
      </c>
      <c r="Y278" s="223" t="n">
        <f aca="false">Z272</f>
        <v>1.68128</v>
      </c>
      <c r="Z278" s="223" t="n">
        <f aca="false">X278%*Y278</f>
        <v>0.0504384</v>
      </c>
      <c r="AA278" s="75"/>
    </row>
    <row r="279" customFormat="false" ht="15" hidden="false" customHeight="false" outlineLevel="0" collapsed="false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 t="s">
        <v>677</v>
      </c>
      <c r="S279" s="75"/>
      <c r="T279" s="242"/>
      <c r="U279" s="242"/>
      <c r="V279" s="242" t="s">
        <v>290</v>
      </c>
      <c r="W279" s="242" t="n">
        <v>1</v>
      </c>
      <c r="X279" s="243" t="n">
        <f aca="false">W279*8/$T$266</f>
        <v>0.032</v>
      </c>
      <c r="Y279" s="251" t="n">
        <v>5</v>
      </c>
      <c r="Z279" s="223" t="n">
        <f aca="false">X279*Y279</f>
        <v>0.16</v>
      </c>
      <c r="AA279" s="75"/>
    </row>
    <row r="280" customFormat="false" ht="15" hidden="false" customHeight="false" outlineLevel="0" collapsed="false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244" t="s">
        <v>669</v>
      </c>
      <c r="R280" s="244" t="s">
        <v>669</v>
      </c>
      <c r="S280" s="244" t="s">
        <v>669</v>
      </c>
      <c r="T280" s="244" t="s">
        <v>669</v>
      </c>
      <c r="U280" s="244" t="s">
        <v>669</v>
      </c>
      <c r="V280" s="244" t="s">
        <v>669</v>
      </c>
      <c r="W280" s="244" t="s">
        <v>669</v>
      </c>
      <c r="X280" s="244" t="s">
        <v>669</v>
      </c>
      <c r="Y280" s="252" t="s">
        <v>669</v>
      </c>
      <c r="Z280" s="100" t="n">
        <f aca="false">SUM(Z278:Z279)</f>
        <v>0.2104384</v>
      </c>
      <c r="AA280" s="75"/>
    </row>
    <row r="281" customFormat="false" ht="15" hidden="false" customHeight="false" outlineLevel="0" collapsed="false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223"/>
      <c r="Z281" s="223"/>
      <c r="AA281" s="75"/>
    </row>
    <row r="282" customFormat="false" ht="15" hidden="false" customHeight="false" outlineLevel="0" collapsed="false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5"/>
    </row>
    <row r="283" customFormat="false" ht="15" hidden="false" customHeight="false" outlineLevel="0" collapsed="false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86"/>
      <c r="R283" s="86"/>
      <c r="S283" s="86"/>
      <c r="T283" s="86"/>
      <c r="U283" s="86"/>
      <c r="V283" s="86"/>
      <c r="W283" s="86"/>
      <c r="X283" s="75"/>
      <c r="Y283" s="75"/>
      <c r="Z283" s="75"/>
      <c r="AA283" s="75"/>
    </row>
    <row r="284" customFormat="false" ht="15" hidden="false" customHeight="false" outlineLevel="0" collapsed="false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</row>
    <row r="285" customFormat="false" ht="15" hidden="false" customHeight="false" outlineLevel="0" collapsed="false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</row>
    <row r="286" customFormat="false" ht="15" hidden="false" customHeight="false" outlineLevel="0" collapsed="false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</row>
    <row r="287" customFormat="false" ht="15" hidden="false" customHeight="false" outlineLevel="0" collapsed="false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</row>
    <row r="288" customFormat="false" ht="15" hidden="false" customHeight="false" outlineLevel="0" collapsed="false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</row>
    <row r="289" customFormat="false" ht="15" hidden="false" customHeight="false" outlineLevel="0" collapsed="false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</row>
    <row r="290" customFormat="false" ht="15" hidden="false" customHeight="false" outlineLevel="0" collapsed="false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</row>
    <row r="291" customFormat="false" ht="15" hidden="false" customHeight="false" outlineLevel="0" collapsed="false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</row>
    <row r="292" customFormat="false" ht="15" hidden="false" customHeight="false" outlineLevel="0" collapsed="false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</row>
    <row r="293" customFormat="false" ht="15" hidden="false" customHeight="false" outlineLevel="0" collapsed="false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</row>
    <row r="294" customFormat="false" ht="15" hidden="false" customHeight="false" outlineLevel="0" collapsed="false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</row>
    <row r="295" customFormat="false" ht="15" hidden="false" customHeight="false" outlineLevel="0" collapsed="false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</row>
    <row r="296" customFormat="false" ht="15" hidden="false" customHeight="false" outlineLevel="0" collapsed="false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</row>
    <row r="297" customFormat="false" ht="15" hidden="false" customHeight="false" outlineLevel="0" collapsed="false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</row>
    <row r="298" customFormat="false" ht="15" hidden="false" customHeight="false" outlineLevel="0" collapsed="false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</row>
    <row r="299" customFormat="false" ht="15" hidden="false" customHeight="false" outlineLevel="0" collapsed="false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</row>
    <row r="300" customFormat="false" ht="15" hidden="false" customHeight="false" outlineLevel="0" collapsed="false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</row>
    <row r="301" customFormat="false" ht="15" hidden="false" customHeight="false" outlineLevel="0" collapsed="false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75"/>
    </row>
    <row r="302" customFormat="false" ht="15" hidden="false" customHeight="false" outlineLevel="0" collapsed="false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86"/>
      <c r="R302" s="86"/>
      <c r="S302" s="86"/>
      <c r="T302" s="75"/>
      <c r="U302" s="75"/>
      <c r="V302" s="86"/>
      <c r="W302" s="86"/>
      <c r="X302" s="86"/>
      <c r="Y302" s="86"/>
      <c r="Z302" s="86"/>
      <c r="AA302" s="75"/>
    </row>
    <row r="303" customFormat="false" ht="15" hidden="false" customHeight="false" outlineLevel="0" collapsed="false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95"/>
      <c r="S303" s="75"/>
      <c r="T303" s="75"/>
      <c r="U303" s="75"/>
      <c r="V303" s="75"/>
      <c r="W303" s="75"/>
      <c r="X303" s="75"/>
      <c r="Y303" s="75"/>
      <c r="Z303" s="75"/>
      <c r="AA303" s="75"/>
    </row>
    <row r="304" customFormat="false" ht="15" hidden="false" customHeight="false" outlineLevel="0" collapsed="false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</row>
    <row r="305" customFormat="false" ht="15" hidden="false" customHeight="false" outlineLevel="0" collapsed="false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</row>
    <row r="306" customFormat="false" ht="15" hidden="false" customHeight="false" outlineLevel="0" collapsed="false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</row>
    <row r="307" customFormat="false" ht="15" hidden="false" customHeight="false" outlineLevel="0" collapsed="false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86"/>
      <c r="AA307" s="75"/>
    </row>
    <row r="308" customFormat="false" ht="15" hidden="false" customHeight="false" outlineLevel="0" collapsed="false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95"/>
      <c r="S308" s="75"/>
      <c r="T308" s="75"/>
      <c r="U308" s="75"/>
      <c r="V308" s="75"/>
      <c r="W308" s="75"/>
      <c r="X308" s="75"/>
      <c r="Y308" s="75"/>
      <c r="Z308" s="75"/>
      <c r="AA308" s="75"/>
    </row>
    <row r="309" customFormat="false" ht="15" hidden="false" customHeight="false" outlineLevel="0" collapsed="false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</row>
    <row r="310" customFormat="false" ht="15" hidden="false" customHeight="false" outlineLevel="0" collapsed="false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  <c r="AA310" s="75"/>
    </row>
    <row r="311" customFormat="false" ht="15" hidden="false" customHeight="false" outlineLevel="0" collapsed="false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</row>
    <row r="312" customFormat="false" ht="15" hidden="false" customHeight="false" outlineLevel="0" collapsed="false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  <c r="AA312" s="75"/>
    </row>
    <row r="313" customFormat="false" ht="15" hidden="false" customHeight="false" outlineLevel="0" collapsed="false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  <c r="AA313" s="75"/>
    </row>
    <row r="314" customFormat="false" ht="15" hidden="false" customHeight="false" outlineLevel="0" collapsed="false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86"/>
      <c r="AA314" s="75"/>
    </row>
    <row r="315" customFormat="false" ht="15" hidden="false" customHeight="false" outlineLevel="0" collapsed="false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95"/>
      <c r="S315" s="75"/>
      <c r="T315" s="75"/>
      <c r="U315" s="75"/>
      <c r="V315" s="75"/>
      <c r="W315" s="75"/>
      <c r="X315" s="75"/>
      <c r="Y315" s="75"/>
      <c r="Z315" s="75"/>
      <c r="AA315" s="75"/>
    </row>
    <row r="316" customFormat="false" ht="15" hidden="false" customHeight="false" outlineLevel="0" collapsed="false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  <c r="AA316" s="75"/>
    </row>
    <row r="317" customFormat="false" ht="15" hidden="false" customHeight="false" outlineLevel="0" collapsed="false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  <c r="AA317" s="75"/>
    </row>
    <row r="318" customFormat="false" ht="15" hidden="false" customHeight="false" outlineLevel="0" collapsed="false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  <c r="AA318" s="75"/>
    </row>
    <row r="319" customFormat="false" ht="15" hidden="false" customHeight="false" outlineLevel="0" collapsed="false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244"/>
      <c r="R319" s="244"/>
      <c r="S319" s="244"/>
      <c r="T319" s="244"/>
      <c r="U319" s="244"/>
      <c r="V319" s="244"/>
      <c r="W319" s="244"/>
      <c r="X319" s="244"/>
      <c r="Y319" s="244"/>
      <c r="Z319" s="254"/>
      <c r="AA319" s="75"/>
    </row>
    <row r="320" customFormat="false" ht="15" hidden="false" customHeight="false" outlineLevel="0" collapsed="false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  <c r="AA320" s="75"/>
    </row>
    <row r="321" customFormat="false" ht="15" hidden="false" customHeight="false" outlineLevel="0" collapsed="false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86"/>
      <c r="R321" s="86"/>
      <c r="S321" s="86"/>
      <c r="T321" s="86"/>
      <c r="U321" s="86"/>
      <c r="V321" s="86"/>
      <c r="W321" s="86"/>
      <c r="X321" s="86"/>
      <c r="Y321" s="75"/>
      <c r="Z321" s="75"/>
      <c r="AA321" s="75"/>
    </row>
    <row r="322" customFormat="false" ht="15" hidden="false" customHeight="false" outlineLevel="0" collapsed="false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75"/>
    </row>
    <row r="323" customFormat="false" ht="15" hidden="false" customHeight="false" outlineLevel="0" collapsed="false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86"/>
      <c r="R323" s="86"/>
      <c r="S323" s="86"/>
      <c r="T323" s="75"/>
      <c r="U323" s="75"/>
      <c r="V323" s="86"/>
      <c r="W323" s="86"/>
      <c r="X323" s="86"/>
      <c r="Y323" s="86"/>
      <c r="Z323" s="86"/>
      <c r="AA323" s="75"/>
    </row>
    <row r="324" customFormat="false" ht="15" hidden="false" customHeight="false" outlineLevel="0" collapsed="false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95"/>
      <c r="S324" s="75"/>
      <c r="T324" s="75"/>
      <c r="U324" s="75"/>
      <c r="V324" s="75"/>
      <c r="W324" s="75"/>
      <c r="X324" s="75"/>
      <c r="Y324" s="75"/>
      <c r="Z324" s="75"/>
      <c r="AA324" s="75"/>
    </row>
    <row r="325" customFormat="false" ht="15" hidden="false" customHeight="false" outlineLevel="0" collapsed="false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  <c r="AA325" s="75"/>
    </row>
    <row r="326" customFormat="false" ht="15" hidden="false" customHeight="false" outlineLevel="0" collapsed="false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  <c r="AA326" s="75"/>
    </row>
    <row r="327" customFormat="false" ht="15" hidden="false" customHeight="false" outlineLevel="0" collapsed="false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86"/>
      <c r="AA327" s="75"/>
    </row>
    <row r="328" customFormat="false" ht="15" hidden="false" customHeight="false" outlineLevel="0" collapsed="false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95"/>
      <c r="S328" s="75"/>
      <c r="T328" s="75"/>
      <c r="U328" s="75"/>
      <c r="V328" s="75"/>
      <c r="W328" s="75"/>
      <c r="X328" s="75"/>
      <c r="Y328" s="75"/>
      <c r="Z328" s="75"/>
      <c r="AA328" s="75"/>
    </row>
    <row r="329" customFormat="false" ht="15" hidden="false" customHeight="false" outlineLevel="0" collapsed="false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  <c r="AA329" s="75"/>
    </row>
    <row r="330" customFormat="false" ht="15" hidden="false" customHeight="false" outlineLevel="0" collapsed="false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  <c r="AA330" s="75"/>
    </row>
    <row r="331" customFormat="false" ht="15" hidden="false" customHeight="false" outlineLevel="0" collapsed="false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  <c r="AA331" s="75"/>
    </row>
    <row r="332" customFormat="false" ht="15" hidden="false" customHeight="false" outlineLevel="0" collapsed="false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86"/>
      <c r="AA332" s="75"/>
    </row>
    <row r="333" customFormat="false" ht="15" hidden="false" customHeight="false" outlineLevel="0" collapsed="false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95"/>
      <c r="S333" s="75"/>
      <c r="T333" s="75"/>
      <c r="U333" s="75"/>
      <c r="V333" s="75"/>
      <c r="W333" s="75"/>
      <c r="X333" s="75"/>
      <c r="Y333" s="75"/>
      <c r="Z333" s="75"/>
      <c r="AA333" s="75"/>
    </row>
    <row r="334" customFormat="false" ht="15" hidden="false" customHeight="false" outlineLevel="0" collapsed="false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  <c r="AA334" s="75"/>
    </row>
    <row r="335" customFormat="false" ht="15" hidden="false" customHeight="false" outlineLevel="0" collapsed="false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244"/>
      <c r="R335" s="244"/>
      <c r="S335" s="244"/>
      <c r="T335" s="244"/>
      <c r="U335" s="244"/>
      <c r="V335" s="244"/>
      <c r="W335" s="244"/>
      <c r="X335" s="244"/>
      <c r="Y335" s="244"/>
      <c r="Z335" s="254"/>
      <c r="AA335" s="75"/>
    </row>
    <row r="336" customFormat="false" ht="15" hidden="false" customHeight="false" outlineLevel="0" collapsed="false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  <c r="AA336" s="75"/>
    </row>
    <row r="337" customFormat="false" ht="15" hidden="false" customHeight="false" outlineLevel="0" collapsed="false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86"/>
      <c r="R337" s="86"/>
      <c r="S337" s="86"/>
      <c r="T337" s="86"/>
      <c r="U337" s="86"/>
      <c r="V337" s="86"/>
      <c r="W337" s="86"/>
      <c r="X337" s="86"/>
      <c r="Y337" s="75"/>
      <c r="Z337" s="75"/>
      <c r="AA337" s="75"/>
    </row>
    <row r="338" customFormat="false" ht="15" hidden="false" customHeight="false" outlineLevel="0" collapsed="false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75"/>
    </row>
    <row r="339" customFormat="false" ht="15" hidden="false" customHeight="false" outlineLevel="0" collapsed="false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86"/>
      <c r="R339" s="86"/>
      <c r="S339" s="86"/>
      <c r="T339" s="75"/>
      <c r="U339" s="75"/>
      <c r="V339" s="86"/>
      <c r="W339" s="86"/>
      <c r="X339" s="86"/>
      <c r="Y339" s="86"/>
      <c r="Z339" s="86"/>
      <c r="AA339" s="75"/>
    </row>
    <row r="340" customFormat="false" ht="15" hidden="false" customHeight="false" outlineLevel="0" collapsed="false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95"/>
      <c r="S340" s="75"/>
      <c r="T340" s="75"/>
      <c r="U340" s="75"/>
      <c r="V340" s="75"/>
      <c r="W340" s="75"/>
      <c r="X340" s="75"/>
      <c r="Y340" s="75"/>
      <c r="Z340" s="75"/>
      <c r="AA340" s="75"/>
    </row>
    <row r="341" customFormat="false" ht="15" hidden="false" customHeight="false" outlineLevel="0" collapsed="false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  <c r="AA341" s="75"/>
    </row>
    <row r="342" customFormat="false" ht="15" hidden="false" customHeight="false" outlineLevel="0" collapsed="false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  <c r="AA342" s="75"/>
    </row>
    <row r="343" customFormat="false" ht="15" hidden="false" customHeight="false" outlineLevel="0" collapsed="false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86"/>
      <c r="AA343" s="75"/>
    </row>
    <row r="344" customFormat="false" ht="15" hidden="false" customHeight="false" outlineLevel="0" collapsed="false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95"/>
      <c r="S344" s="75"/>
      <c r="T344" s="75"/>
      <c r="U344" s="75"/>
      <c r="V344" s="75"/>
      <c r="W344" s="75"/>
      <c r="X344" s="75"/>
      <c r="Y344" s="75"/>
      <c r="Z344" s="75"/>
      <c r="AA344" s="75"/>
    </row>
    <row r="345" customFormat="false" ht="15" hidden="false" customHeight="false" outlineLevel="0" collapsed="false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  <c r="AA345" s="75"/>
    </row>
    <row r="346" customFormat="false" ht="15" hidden="false" customHeight="false" outlineLevel="0" collapsed="false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  <c r="AA346" s="75"/>
    </row>
    <row r="347" customFormat="false" ht="15" hidden="false" customHeight="false" outlineLevel="0" collapsed="false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86"/>
      <c r="AA347" s="75"/>
    </row>
    <row r="348" customFormat="false" ht="15" hidden="false" customHeight="false" outlineLevel="0" collapsed="false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95"/>
      <c r="S348" s="75"/>
      <c r="T348" s="75"/>
      <c r="U348" s="75"/>
      <c r="V348" s="75"/>
      <c r="W348" s="75"/>
      <c r="X348" s="75"/>
      <c r="Y348" s="75"/>
      <c r="Z348" s="75"/>
      <c r="AA348" s="75"/>
    </row>
    <row r="349" customFormat="false" ht="15" hidden="false" customHeight="false" outlineLevel="0" collapsed="false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  <c r="AA349" s="75"/>
    </row>
    <row r="350" customFormat="false" ht="15" hidden="false" customHeight="false" outlineLevel="0" collapsed="false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248"/>
      <c r="Z350" s="75"/>
      <c r="AA350" s="75"/>
    </row>
    <row r="351" customFormat="false" ht="15" hidden="false" customHeight="false" outlineLevel="0" collapsed="false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244"/>
      <c r="R351" s="244"/>
      <c r="S351" s="244"/>
      <c r="T351" s="244"/>
      <c r="U351" s="244"/>
      <c r="V351" s="244"/>
      <c r="W351" s="244"/>
      <c r="X351" s="244"/>
      <c r="Y351" s="244"/>
      <c r="Z351" s="254"/>
      <c r="AA351" s="7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Q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0" activeCellId="0" sqref="G60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</cols>
  <sheetData>
    <row r="2" customFormat="false" ht="15" hidden="false" customHeight="false" outlineLevel="0" collapsed="false">
      <c r="L2" s="159" t="s">
        <v>88</v>
      </c>
      <c r="M2" s="159" t="n">
        <f aca="false">'Datos iniciales '!D16</f>
        <v>100</v>
      </c>
    </row>
    <row r="3" customFormat="false" ht="15" hidden="false" customHeight="false" outlineLevel="0" collapsed="false">
      <c r="D3" s="38"/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159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94711.3496109215</v>
      </c>
      <c r="L4" s="159" t="s">
        <v>1373</v>
      </c>
      <c r="M4" s="159" t="n">
        <f aca="false">J4/M2</f>
        <v>947.113496109215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59" t="n">
        <v>0.29</v>
      </c>
      <c r="F6" s="231" t="s">
        <v>132</v>
      </c>
      <c r="G6" s="76" t="n">
        <f aca="false">E6*$M$2</f>
        <v>29</v>
      </c>
      <c r="H6" s="30" t="n">
        <f aca="false">'APUS ARQUITECTURA'!J5</f>
        <v>140.28</v>
      </c>
      <c r="I6" s="1" t="n">
        <f aca="false">G6*H6</f>
        <v>4068.12</v>
      </c>
    </row>
    <row r="7" customFormat="false" ht="16.4" hidden="false" customHeight="false" outlineLevel="0" collapsed="false">
      <c r="A7" s="1" t="s">
        <v>755</v>
      </c>
      <c r="E7" s="59" t="n">
        <v>0.23</v>
      </c>
      <c r="F7" s="231" t="s">
        <v>132</v>
      </c>
      <c r="G7" s="76" t="n">
        <f aca="false">E7*$M$2</f>
        <v>23</v>
      </c>
      <c r="H7" s="30" t="n">
        <f aca="false">'APUS ARQUITECTURA'!J32</f>
        <v>166.45</v>
      </c>
      <c r="I7" s="1" t="n">
        <f aca="false">G7*H7</f>
        <v>3828.35</v>
      </c>
    </row>
    <row r="8" customFormat="false" ht="16.4" hidden="false" customHeight="false" outlineLevel="0" collapsed="false">
      <c r="A8" s="1" t="s">
        <v>757</v>
      </c>
      <c r="E8" s="59" t="n">
        <v>0.08</v>
      </c>
      <c r="F8" s="231" t="s">
        <v>132</v>
      </c>
      <c r="G8" s="76" t="n">
        <f aca="false">E8*$M$2</f>
        <v>8</v>
      </c>
      <c r="H8" s="30" t="n">
        <f aca="false">'APUS ARQUITECTURA'!J50</f>
        <v>141.07</v>
      </c>
      <c r="I8" s="1" t="n">
        <f aca="false">G8*H8</f>
        <v>1128.56</v>
      </c>
    </row>
    <row r="9" customFormat="false" ht="15" hidden="false" customHeight="true" outlineLevel="0" collapsed="false">
      <c r="A9" s="1" t="s">
        <v>1392</v>
      </c>
      <c r="E9" s="1" t="n">
        <v>0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Q9" s="30"/>
    </row>
    <row r="10" customFormat="false" ht="16.4" hidden="false" customHeight="false" outlineLevel="0" collapsed="false">
      <c r="A10" s="1" t="s">
        <v>761</v>
      </c>
      <c r="E10" s="1" t="n">
        <v>0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M10" s="30"/>
    </row>
    <row r="11" customFormat="false" ht="15" hidden="false" customHeight="false" outlineLevel="0" collapsed="false">
      <c r="A11" s="109" t="s">
        <v>762</v>
      </c>
      <c r="E11" s="108"/>
      <c r="G11" s="76"/>
      <c r="H11" s="30"/>
    </row>
    <row r="12" customFormat="false" ht="15" hidden="false" customHeight="false" outlineLevel="0" collapsed="false">
      <c r="A12" s="15" t="s">
        <v>764</v>
      </c>
      <c r="G12" s="76"/>
      <c r="H12" s="30"/>
    </row>
    <row r="13" customFormat="false" ht="15" hidden="false" customHeight="false" outlineLevel="0" collapsed="false">
      <c r="A13" s="1" t="s">
        <v>766</v>
      </c>
      <c r="E13" s="30" t="n">
        <v>0.99</v>
      </c>
      <c r="F13" s="1" t="s">
        <v>132</v>
      </c>
      <c r="G13" s="76" t="n">
        <f aca="false">E13*$M$2</f>
        <v>99</v>
      </c>
      <c r="H13" s="30" t="n">
        <f aca="false">'APUS ARQUITECTURA'!J127</f>
        <v>27.33</v>
      </c>
      <c r="I13" s="1" t="n">
        <f aca="false">G13*H13</f>
        <v>2705.67</v>
      </c>
    </row>
    <row r="14" customFormat="false" ht="15" hidden="false" customHeight="false" outlineLevel="0" collapsed="false">
      <c r="A14" s="1" t="s">
        <v>768</v>
      </c>
      <c r="E14" s="30" t="n">
        <v>0.46</v>
      </c>
      <c r="F14" s="1" t="s">
        <v>132</v>
      </c>
      <c r="G14" s="76" t="n">
        <f aca="false">E14*$M$2</f>
        <v>46</v>
      </c>
      <c r="H14" s="30" t="n">
        <f aca="false">'APUS ARQUITECTURA'!J148</f>
        <v>36.09</v>
      </c>
      <c r="I14" s="1" t="n">
        <f aca="false">G14*H14</f>
        <v>1660.14</v>
      </c>
    </row>
    <row r="15" customFormat="false" ht="15" hidden="false" customHeight="false" outlineLevel="0" collapsed="false">
      <c r="A15" s="27" t="s">
        <v>770</v>
      </c>
      <c r="E15" s="30"/>
      <c r="G15" s="76"/>
      <c r="H15" s="30"/>
    </row>
    <row r="16" customFormat="false" ht="15" hidden="false" customHeight="false" outlineLevel="0" collapsed="false">
      <c r="A16" s="1" t="s">
        <v>772</v>
      </c>
      <c r="E16" s="30" t="n">
        <v>0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</row>
    <row r="17" customFormat="false" ht="15" hidden="false" customHeight="true" outlineLevel="0" collapsed="false">
      <c r="A17" s="27" t="s">
        <v>774</v>
      </c>
      <c r="D17" s="59"/>
      <c r="F17" s="30"/>
      <c r="G17" s="76"/>
    </row>
    <row r="18" customFormat="false" ht="15" hidden="false" customHeight="false" outlineLevel="0" collapsed="false">
      <c r="A18" s="1" t="s">
        <v>776</v>
      </c>
      <c r="E18" s="59" t="n">
        <v>1</v>
      </c>
      <c r="F18" s="1" t="s">
        <v>202</v>
      </c>
      <c r="G18" s="76" t="n">
        <f aca="false">E18*$M$2</f>
        <v>100</v>
      </c>
      <c r="H18" s="30" t="n">
        <f aca="false">'APUS ARQUITECTURA'!J188</f>
        <v>213.2</v>
      </c>
      <c r="I18" s="1" t="n">
        <f aca="false">G18*H18</f>
        <v>21320</v>
      </c>
    </row>
    <row r="19" customFormat="false" ht="15" hidden="false" customHeight="false" outlineLevel="0" collapsed="false">
      <c r="A19" s="1" t="s">
        <v>778</v>
      </c>
      <c r="E19" s="1" t="n">
        <v>0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</row>
    <row r="20" customFormat="false" ht="15" hidden="false" customHeight="false" outlineLevel="0" collapsed="false">
      <c r="A20" s="15" t="s">
        <v>779</v>
      </c>
      <c r="E20" s="59"/>
      <c r="G20" s="76"/>
    </row>
    <row r="21" customFormat="false" ht="15" hidden="false" customHeight="false" outlineLevel="0" collapsed="false">
      <c r="A21" s="1" t="s">
        <v>781</v>
      </c>
      <c r="E21" s="1" t="n">
        <v>1</v>
      </c>
      <c r="F21" s="1" t="s">
        <v>132</v>
      </c>
      <c r="G21" s="76" t="n">
        <f aca="false">E21*$M$2</f>
        <v>100</v>
      </c>
      <c r="H21" s="30" t="n">
        <f aca="false">'APUS ARQUITECTURA'!J232</f>
        <v>49.7</v>
      </c>
      <c r="I21" s="1" t="n">
        <f aca="false">G21*H21</f>
        <v>4970</v>
      </c>
    </row>
    <row r="22" customFormat="false" ht="15" hidden="false" customHeight="true" outlineLevel="0" collapsed="false">
      <c r="A22" s="1" t="s">
        <v>783</v>
      </c>
      <c r="E22" s="1" t="n">
        <v>1</v>
      </c>
      <c r="F22" s="1" t="s">
        <v>132</v>
      </c>
      <c r="G22" s="76" t="n">
        <f aca="false">E22*$M$2</f>
        <v>100</v>
      </c>
      <c r="H22" s="30" t="n">
        <f aca="false">'APUS ARQUITECTURA'!J252</f>
        <v>206.77</v>
      </c>
      <c r="I22" s="1" t="n">
        <f aca="false">G22*H22</f>
        <v>20677</v>
      </c>
    </row>
    <row r="23" customFormat="false" ht="15" hidden="false" customHeight="false" outlineLevel="0" collapsed="false">
      <c r="A23" s="1" t="s">
        <v>785</v>
      </c>
      <c r="E23" s="1" t="n">
        <v>0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</row>
    <row r="24" customFormat="false" ht="15" hidden="false" customHeight="true" outlineLevel="0" collapsed="false">
      <c r="A24" s="1" t="s">
        <v>787</v>
      </c>
      <c r="E24" s="1" t="n">
        <v>0</v>
      </c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</row>
    <row r="25" customFormat="false" ht="15" hidden="false" customHeight="true" outlineLevel="0" collapsed="false">
      <c r="A25" s="1" t="s">
        <v>789</v>
      </c>
      <c r="E25" s="1" t="n">
        <v>0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</row>
    <row r="26" customFormat="false" ht="15" hidden="false" customHeight="true" outlineLevel="0" collapsed="false">
      <c r="A26" s="1" t="s">
        <v>1393</v>
      </c>
      <c r="E26" s="1" t="n">
        <v>0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</row>
    <row r="27" customFormat="false" ht="15" hidden="false" customHeight="true" outlineLevel="0" collapsed="false">
      <c r="A27" s="15" t="s">
        <v>792</v>
      </c>
      <c r="G27" s="76"/>
    </row>
    <row r="28" customFormat="false" ht="15" hidden="false" customHeight="true" outlineLevel="0" collapsed="false">
      <c r="A28" s="1" t="s">
        <v>794</v>
      </c>
      <c r="E28" s="1" t="n">
        <v>0.04</v>
      </c>
      <c r="F28" s="1" t="s">
        <v>143</v>
      </c>
      <c r="G28" s="76" t="n">
        <f aca="false">E28*$M$2</f>
        <v>4</v>
      </c>
      <c r="H28" s="30" t="n">
        <f aca="false">'APUS ARQUITECTURA'!J347</f>
        <v>20.57</v>
      </c>
      <c r="I28" s="1" t="n">
        <f aca="false">G28*H28</f>
        <v>82.28</v>
      </c>
    </row>
    <row r="29" customFormat="false" ht="15" hidden="false" customHeight="true" outlineLevel="0" collapsed="false">
      <c r="A29" s="1" t="s">
        <v>796</v>
      </c>
      <c r="E29" s="1" t="n">
        <v>0.41</v>
      </c>
      <c r="F29" s="1" t="s">
        <v>143</v>
      </c>
      <c r="G29" s="76" t="n">
        <f aca="false">E29*$M$2</f>
        <v>41</v>
      </c>
      <c r="H29" s="30" t="n">
        <f aca="false">'APUS ARQUITECTURA'!J364</f>
        <v>26.69</v>
      </c>
      <c r="I29" s="1" t="n">
        <f aca="false">G29*H29</f>
        <v>1094.29</v>
      </c>
    </row>
    <row r="30" customFormat="false" ht="15" hidden="false" customHeight="true" outlineLevel="0" collapsed="false">
      <c r="A30" s="1" t="s">
        <v>798</v>
      </c>
      <c r="E30" s="1" t="n">
        <v>0.39</v>
      </c>
      <c r="F30" s="1" t="s">
        <v>143</v>
      </c>
      <c r="G30" s="76" t="n">
        <f aca="false">E30*$M$2</f>
        <v>39</v>
      </c>
      <c r="H30" s="30" t="n">
        <f aca="false">'APUS ARQUITECTURA'!J383</f>
        <v>36.53</v>
      </c>
      <c r="I30" s="1" t="n">
        <f aca="false">G30*H30</f>
        <v>1424.67</v>
      </c>
    </row>
    <row r="31" customFormat="false" ht="15" hidden="false" customHeight="true" outlineLevel="0" collapsed="false">
      <c r="A31" s="1" t="s">
        <v>800</v>
      </c>
      <c r="E31" s="1" t="n">
        <v>0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</row>
    <row r="32" customFormat="false" ht="15" hidden="false" customHeight="true" outlineLevel="0" collapsed="false">
      <c r="A32" s="1" t="s">
        <v>802</v>
      </c>
      <c r="E32" s="1" t="n">
        <v>0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</row>
    <row r="33" customFormat="false" ht="15" hidden="false" customHeight="true" outlineLevel="0" collapsed="false">
      <c r="A33" s="1" t="s">
        <v>804</v>
      </c>
      <c r="E33" s="1" t="n">
        <v>0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</row>
    <row r="34" customFormat="false" ht="15" hidden="false" customHeight="true" outlineLevel="0" collapsed="false">
      <c r="A34" s="15" t="s">
        <v>805</v>
      </c>
      <c r="G34" s="76"/>
      <c r="H34" s="30"/>
    </row>
    <row r="35" customFormat="false" ht="15" hidden="false" customHeight="true" outlineLevel="0" collapsed="false">
      <c r="A35" s="1" t="s">
        <v>807</v>
      </c>
      <c r="E35" s="1" t="n">
        <v>0.05</v>
      </c>
      <c r="F35" s="1" t="s">
        <v>132</v>
      </c>
      <c r="G35" s="76" t="n">
        <f aca="false">E35*$M$2</f>
        <v>5</v>
      </c>
      <c r="H35" s="30" t="n">
        <f aca="false">'APUS ARQUITECTURA'!J449</f>
        <v>560.62</v>
      </c>
      <c r="I35" s="1" t="n">
        <f aca="false">G35*H35</f>
        <v>2803.1</v>
      </c>
    </row>
    <row r="36" customFormat="false" ht="15" hidden="false" customHeight="false" outlineLevel="0" collapsed="false">
      <c r="A36" s="1" t="s">
        <v>809</v>
      </c>
      <c r="E36" s="1" t="n">
        <v>0.11</v>
      </c>
      <c r="F36" s="1" t="s">
        <v>132</v>
      </c>
      <c r="G36" s="76" t="n">
        <f aca="false">E36*$M$2</f>
        <v>11</v>
      </c>
      <c r="H36" s="30" t="n">
        <f aca="false">'APUS ARQUITECTURA'!J456</f>
        <v>367.87</v>
      </c>
      <c r="I36" s="1" t="n">
        <f aca="false">G36*H36</f>
        <v>4046.57</v>
      </c>
    </row>
    <row r="37" customFormat="false" ht="15" hidden="false" customHeight="true" outlineLevel="0" collapsed="false">
      <c r="A37" s="1" t="s">
        <v>811</v>
      </c>
      <c r="E37" s="1" t="n">
        <v>0</v>
      </c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</row>
    <row r="38" customFormat="false" ht="15" hidden="false" customHeight="false" outlineLevel="0" collapsed="false">
      <c r="A38" s="1" t="s">
        <v>813</v>
      </c>
      <c r="E38" s="1" t="n">
        <v>0.13</v>
      </c>
      <c r="F38" s="1" t="s">
        <v>143</v>
      </c>
      <c r="G38" s="76" t="n">
        <f aca="false">E38*$M$2</f>
        <v>13</v>
      </c>
      <c r="H38" s="30" t="n">
        <f aca="false">'APUS ARQUITECTURA'!J470</f>
        <v>622.13</v>
      </c>
      <c r="I38" s="1" t="n">
        <f aca="false">G38*H38</f>
        <v>8087.69</v>
      </c>
      <c r="K38" s="85"/>
    </row>
    <row r="39" customFormat="false" ht="15" hidden="false" customHeight="true" outlineLevel="0" collapsed="false">
      <c r="A39" s="1" t="s">
        <v>815</v>
      </c>
      <c r="E39" s="1" t="n">
        <v>0</v>
      </c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</row>
    <row r="40" customFormat="false" ht="15" hidden="false" customHeight="false" outlineLevel="0" collapsed="false">
      <c r="A40" s="15" t="s">
        <v>816</v>
      </c>
      <c r="G40" s="76"/>
      <c r="K40" s="85"/>
    </row>
    <row r="41" customFormat="false" ht="15" hidden="false" customHeight="true" outlineLevel="0" collapsed="false">
      <c r="A41" s="1" t="s">
        <v>818</v>
      </c>
      <c r="E41" s="1" t="n">
        <v>1.48</v>
      </c>
      <c r="F41" s="1" t="s">
        <v>132</v>
      </c>
      <c r="G41" s="76" t="n">
        <f aca="false">E41*$M$2</f>
        <v>148</v>
      </c>
      <c r="H41" s="30" t="n">
        <f aca="false">'APUS ARQUITECTURA'!J484</f>
        <v>15.62</v>
      </c>
      <c r="I41" s="1" t="n">
        <f aca="false">G41*H41</f>
        <v>2311.76</v>
      </c>
      <c r="K41" s="85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1" t="n">
        <v>0.59</v>
      </c>
      <c r="F42" s="111" t="s">
        <v>132</v>
      </c>
      <c r="G42" s="76" t="n">
        <f aca="false">E42*$M$2</f>
        <v>59</v>
      </c>
      <c r="H42" s="30" t="n">
        <f aca="false">'APUS ARQUITECTURA'!J504</f>
        <v>15.96</v>
      </c>
      <c r="I42" s="1" t="n">
        <f aca="false">G42*H42</f>
        <v>941.64</v>
      </c>
    </row>
    <row r="43" customFormat="false" ht="15" hidden="false" customHeight="false" outlineLevel="0" collapsed="false">
      <c r="A43" s="15" t="s">
        <v>976</v>
      </c>
      <c r="G43" s="76"/>
      <c r="H43" s="30"/>
      <c r="L43" s="30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</row>
    <row r="47" customFormat="false" ht="15" hidden="false" customHeight="true" outlineLevel="0" collapsed="false">
      <c r="A47" s="1" t="s">
        <v>985</v>
      </c>
      <c r="F47" s="1" t="s">
        <v>148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</row>
    <row r="48" customFormat="false" ht="15" hidden="false" customHeight="false" outlineLevel="0" collapsed="false">
      <c r="A48" s="1" t="s">
        <v>1395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</row>
    <row r="49" customFormat="false" ht="15" hidden="false" customHeight="false" outlineLevel="0" collapsed="false">
      <c r="A49" s="1" t="s">
        <v>1396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</row>
    <row r="50" customFormat="false" ht="15" hidden="false" customHeight="false" outlineLevel="0" collapsed="false">
      <c r="A50" s="1" t="s">
        <v>993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</row>
    <row r="51" customFormat="false" ht="15" hidden="false" customHeight="false" outlineLevel="0" collapsed="false">
      <c r="A51" s="1" t="s">
        <v>994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</row>
    <row r="52" customFormat="false" ht="15" hidden="false" customHeight="false" outlineLevel="0" collapsed="false">
      <c r="A52" s="1" t="s">
        <v>998</v>
      </c>
      <c r="E52" s="1" t="n">
        <v>0.1</v>
      </c>
      <c r="F52" s="1" t="s">
        <v>213</v>
      </c>
      <c r="G52" s="76" t="n">
        <f aca="false">E52*$M$2</f>
        <v>10</v>
      </c>
      <c r="H52" s="30" t="n">
        <f aca="false">'APUS SANITARIAS'!J91</f>
        <v>158.16</v>
      </c>
      <c r="I52" s="1" t="n">
        <f aca="false">G52*H52</f>
        <v>1581.6</v>
      </c>
    </row>
    <row r="53" customFormat="false" ht="15" hidden="false" customHeight="false" outlineLevel="0" collapsed="false">
      <c r="A53" s="1" t="s">
        <v>1001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</row>
    <row r="54" customFormat="false" ht="15" hidden="false" customHeight="false" outlineLevel="0" collapsed="false">
      <c r="A54" s="1" t="s">
        <v>1003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</row>
    <row r="55" customFormat="false" ht="15" hidden="false" customHeight="false" outlineLevel="0" collapsed="false">
      <c r="A55" s="1" t="s">
        <v>1006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</row>
    <row r="56" customFormat="false" ht="15" hidden="false" customHeight="false" outlineLevel="0" collapsed="false">
      <c r="A56" s="1" t="s">
        <v>1009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</row>
    <row r="57" customFormat="false" ht="15" hidden="false" customHeight="false" outlineLevel="0" collapsed="false">
      <c r="A57" s="1" t="s">
        <v>1011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</row>
    <row r="58" customFormat="false" ht="15" hidden="false" customHeight="false" outlineLevel="0" collapsed="false">
      <c r="A58" s="15" t="s">
        <v>1047</v>
      </c>
    </row>
    <row r="59" customFormat="false" ht="15" hidden="false" customHeight="false" outlineLevel="0" collapsed="false">
      <c r="A59" s="1" t="s">
        <v>1050</v>
      </c>
      <c r="E59" s="1" t="n">
        <v>0.24</v>
      </c>
      <c r="F59" s="1" t="s">
        <v>213</v>
      </c>
      <c r="G59" s="76" t="n">
        <f aca="false">E59*$M$2</f>
        <v>24</v>
      </c>
      <c r="H59" s="30" t="n">
        <f aca="false">'APUS ELECTRICAS'!J5</f>
        <v>121.05</v>
      </c>
      <c r="I59" s="1" t="n">
        <f aca="false">G59*H59</f>
        <v>2905.2</v>
      </c>
    </row>
    <row r="60" customFormat="false" ht="15" hidden="false" customHeight="false" outlineLevel="0" collapsed="false">
      <c r="A60" s="1" t="s">
        <v>1052</v>
      </c>
      <c r="E60" s="1" t="n">
        <v>0.24</v>
      </c>
      <c r="F60" s="1" t="s">
        <v>213</v>
      </c>
      <c r="G60" s="76" t="n">
        <f aca="false">E60*$M$2</f>
        <v>24</v>
      </c>
      <c r="H60" s="30" t="n">
        <f aca="false">'APUS ELECTRICAS'!J26</f>
        <v>163.75</v>
      </c>
      <c r="I60" s="1" t="n">
        <f aca="false">G60*H60</f>
        <v>3930</v>
      </c>
    </row>
    <row r="61" customFormat="false" ht="15" hidden="false" customHeight="false" outlineLevel="0" collapsed="false">
      <c r="A61" s="1" t="s">
        <v>1054</v>
      </c>
      <c r="E61" s="1" t="n">
        <v>0.24</v>
      </c>
      <c r="F61" s="1" t="s">
        <v>213</v>
      </c>
      <c r="G61" s="76" t="n">
        <f aca="false">E61*$M$2</f>
        <v>24</v>
      </c>
      <c r="H61" s="30" t="n">
        <f aca="false">'APUS ELECTRICAS'!J48</f>
        <v>118.3</v>
      </c>
      <c r="I61" s="1" t="n">
        <f aca="false">G61*H61</f>
        <v>2839.2</v>
      </c>
    </row>
    <row r="62" customFormat="false" ht="15" hidden="false" customHeight="false" outlineLevel="0" collapsed="false">
      <c r="A62" s="1" t="s">
        <v>1056</v>
      </c>
      <c r="E62" s="1" t="n">
        <v>0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</row>
    <row r="63" customFormat="false" ht="15" hidden="false" customHeight="false" outlineLevel="0" collapsed="false">
      <c r="A63" s="15" t="s">
        <v>1057</v>
      </c>
    </row>
    <row r="64" customFormat="false" ht="15" hidden="false" customHeight="false" outlineLevel="0" collapsed="false">
      <c r="A64" s="1" t="s">
        <v>1059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</row>
    <row r="65" customFormat="false" ht="15" hidden="false" customHeight="false" outlineLevel="0" collapsed="false">
      <c r="A65" s="1" t="s">
        <v>1061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</row>
    <row r="66" customFormat="false" ht="15" hidden="false" customHeight="false" outlineLevel="0" collapsed="false">
      <c r="A66" s="1" t="s">
        <v>1063</v>
      </c>
      <c r="E66" s="1" t="n">
        <v>0.01</v>
      </c>
      <c r="F66" s="1" t="s">
        <v>148</v>
      </c>
      <c r="G66" s="76" t="n">
        <f aca="false">E66*$M$2</f>
        <v>1</v>
      </c>
      <c r="H66" s="30" t="n">
        <f aca="false">'APUS ELECTRICAS'!J106</f>
        <v>143.11</v>
      </c>
      <c r="I66" s="1" t="n">
        <f aca="false">G66*H66</f>
        <v>143.11</v>
      </c>
    </row>
    <row r="67" customFormat="false" ht="15" hidden="false" customHeight="true" outlineLevel="0" collapsed="false">
      <c r="A67" s="1" t="s">
        <v>1065</v>
      </c>
      <c r="E67" s="1" t="n">
        <v>0</v>
      </c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</row>
    <row r="68" customFormat="false" ht="15" hidden="false" customHeight="true" outlineLevel="0" collapsed="false">
      <c r="K68" s="30"/>
    </row>
    <row r="69" customFormat="false" ht="15" hidden="false" customHeight="true" outlineLevel="0" collapsed="false"/>
    <row r="70" customFormat="false" ht="15" hidden="false" customHeight="true" outlineLevel="0" collapsed="false">
      <c r="A70" s="15" t="s">
        <v>1097</v>
      </c>
      <c r="G70" s="76"/>
      <c r="H70" s="30"/>
    </row>
    <row r="71" customFormat="false" ht="15" hidden="false" customHeight="true" outlineLevel="0" collapsed="false">
      <c r="A71" s="109" t="s">
        <v>1098</v>
      </c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1.29692832764505</v>
      </c>
      <c r="H72" s="154" t="n">
        <f aca="false">'APUS COMUNICACIONES'!J5</f>
        <v>279.85</v>
      </c>
      <c r="I72" s="1" t="n">
        <f aca="false">G72*H72</f>
        <v>362.945392491468</v>
      </c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0.68259385665529</v>
      </c>
      <c r="H73" s="154" t="n">
        <f aca="false">'APUS COMUNICACIONES'!J23</f>
        <v>95.84</v>
      </c>
      <c r="I73" s="1" t="n">
        <f aca="false">G73*H73</f>
        <v>65.419795221843</v>
      </c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1.16040955631399</v>
      </c>
      <c r="H74" s="154" t="n">
        <f aca="false">'APUS COMUNICACIONES'!J41</f>
        <v>95.84</v>
      </c>
      <c r="I74" s="1" t="n">
        <f aca="false">G74*H74</f>
        <v>111.213651877133</v>
      </c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0.324914675767918</v>
      </c>
      <c r="H75" s="154" t="n">
        <f aca="false">'APUS COMUNICACIONES'!J59</f>
        <v>26.4</v>
      </c>
      <c r="I75" s="1" t="n">
        <f aca="false">G75*H75</f>
        <v>8.57774744027304</v>
      </c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6.77883959044369</v>
      </c>
      <c r="H76" s="154" t="n">
        <f aca="false">'APUS COMUNICACIONES'!J77</f>
        <v>25</v>
      </c>
      <c r="I76" s="1" t="n">
        <f aca="false">G76*H76</f>
        <v>169.470989761092</v>
      </c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27.4245733788396</v>
      </c>
      <c r="H77" s="154" t="n">
        <f aca="false">'APUS COMUNICACIONES'!J95</f>
        <v>19.23</v>
      </c>
      <c r="I77" s="1" t="n">
        <f aca="false">G77*H77</f>
        <v>527.374546075085</v>
      </c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0.161092150170648</v>
      </c>
      <c r="H78" s="154" t="n">
        <f aca="false">'APUS COMUNICACIONES'!J113</f>
        <v>16.37</v>
      </c>
      <c r="I78" s="1" t="n">
        <f aca="false">G78*H78</f>
        <v>2.63707849829352</v>
      </c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0.68259385665529</v>
      </c>
      <c r="H79" s="154" t="n">
        <f aca="false">'APUS COMUNICACIONES'!J131</f>
        <v>62.67</v>
      </c>
      <c r="I79" s="1" t="n">
        <f aca="false">G79*H79</f>
        <v>42.778156996587</v>
      </c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1.29692832764505</v>
      </c>
      <c r="H80" s="154" t="n">
        <f aca="false">'APUS COMUNICACIONES'!J146</f>
        <v>58.85</v>
      </c>
      <c r="I80" s="1" t="n">
        <f aca="false">G80*H80</f>
        <v>76.3242320819113</v>
      </c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0.204778156996587</v>
      </c>
      <c r="H81" s="154" t="n">
        <f aca="false">'APUS COMUNICACIONES'!J161</f>
        <v>57.88</v>
      </c>
      <c r="I81" s="1" t="n">
        <f aca="false">G81*H81</f>
        <v>11.8525597269625</v>
      </c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1.26279863481229</v>
      </c>
      <c r="H82" s="154" t="n">
        <f aca="false">'APUS COMUNICACIONES'!J176</f>
        <v>99.34</v>
      </c>
      <c r="I82" s="1" t="n">
        <f aca="false">G82*H82</f>
        <v>125.446416382253</v>
      </c>
    </row>
    <row r="83" customFormat="false" ht="15" hidden="false" customHeight="false" outlineLevel="0" collapsed="false">
      <c r="A83" s="255" t="s">
        <v>1121</v>
      </c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0.273037542662116</v>
      </c>
      <c r="H85" s="30" t="n">
        <f aca="false">'APUS COMUNICACIONES'!J422</f>
        <v>670.77</v>
      </c>
      <c r="I85" s="1" t="n">
        <f aca="false">G85*H85</f>
        <v>183.145392491468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0.273037542662116</v>
      </c>
      <c r="H86" s="30" t="n">
        <f aca="false">'APUS COMUNICACIONES'!J440</f>
        <v>557.91</v>
      </c>
      <c r="I86" s="1" t="n">
        <f aca="false">G86*H86</f>
        <v>152.330375426621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0.68259385665529</v>
      </c>
      <c r="H88" s="30" t="n">
        <f aca="false">'APUS COMUNICACIONES'!J469</f>
        <v>404.74</v>
      </c>
      <c r="I88" s="1" t="n">
        <f aca="false">G88*H88</f>
        <v>276.273037542662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0.273037542662116</v>
      </c>
      <c r="H90" s="30" t="n">
        <f aca="false">'APUS COMUNICACIONES'!J497</f>
        <v>106.38</v>
      </c>
      <c r="I90" s="1" t="n">
        <f aca="false">G90*H90</f>
        <v>29.0457337883959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0.273037542662116</v>
      </c>
      <c r="H91" s="30" t="n">
        <f aca="false">'APUS COMUNICACIONES'!J513</f>
        <v>64.33</v>
      </c>
      <c r="I91" s="1" t="n">
        <f aca="false">G91*H91</f>
        <v>17.5645051194539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T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5" min="5" style="1" width="9.3"/>
  </cols>
  <sheetData>
    <row r="2" customFormat="false" ht="15" hidden="false" customHeight="false" outlineLevel="0" collapsed="false">
      <c r="L2" s="159" t="s">
        <v>88</v>
      </c>
      <c r="M2" s="159" t="n">
        <f aca="false">'Datos iniciales '!D17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159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159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  <c r="O5" s="15"/>
    </row>
    <row r="6" customFormat="false" ht="16.4" hidden="false" customHeight="false" outlineLevel="0" collapsed="false">
      <c r="A6" s="1" t="s">
        <v>753</v>
      </c>
      <c r="E6" s="59" t="n">
        <v>0.52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</row>
    <row r="7" customFormat="false" ht="16.4" hidden="false" customHeight="false" outlineLevel="0" collapsed="false">
      <c r="A7" s="1" t="s">
        <v>755</v>
      </c>
      <c r="E7" s="59" t="n">
        <v>0.39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</row>
    <row r="8" customFormat="false" ht="16.4" hidden="false" customHeight="false" outlineLevel="0" collapsed="false">
      <c r="A8" s="1" t="s">
        <v>757</v>
      </c>
      <c r="E8" s="59"/>
      <c r="F8" s="231" t="s">
        <v>132</v>
      </c>
      <c r="G8" s="76" t="n">
        <f aca="false">E8*$M$2</f>
        <v>0</v>
      </c>
      <c r="H8" s="30" t="n">
        <f aca="false">'APUS ARQUITECTURA'!J50</f>
        <v>141.07</v>
      </c>
    </row>
    <row r="9" customFormat="false" ht="16.4" hidden="false" customHeight="false" outlineLevel="0" collapsed="false">
      <c r="A9" s="1" t="s">
        <v>759</v>
      </c>
      <c r="E9" s="59"/>
      <c r="F9" s="231" t="s">
        <v>132</v>
      </c>
      <c r="G9" s="76" t="n">
        <f aca="false">E9*$M$2</f>
        <v>0</v>
      </c>
      <c r="H9" s="30" t="n">
        <f aca="false">'APUS ARQUITECTURA'!J74</f>
        <v>204.42</v>
      </c>
    </row>
    <row r="10" customFormat="false" ht="16.4" hidden="false" customHeight="false" outlineLevel="0" collapsed="false">
      <c r="A10" s="1" t="s">
        <v>761</v>
      </c>
      <c r="E10" s="59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</row>
    <row r="11" customFormat="false" ht="15" hidden="false" customHeight="false" outlineLevel="0" collapsed="false">
      <c r="A11" s="109" t="s">
        <v>762</v>
      </c>
      <c r="E11" s="108"/>
      <c r="G11" s="76"/>
      <c r="H11" s="30"/>
      <c r="O11" s="109"/>
    </row>
    <row r="12" customFormat="false" ht="15" hidden="false" customHeight="false" outlineLevel="0" collapsed="false">
      <c r="A12" s="15" t="s">
        <v>764</v>
      </c>
      <c r="G12" s="76"/>
      <c r="H12" s="30"/>
      <c r="O12" s="15"/>
    </row>
    <row r="13" customFormat="false" ht="15" hidden="false" customHeight="true" outlineLevel="0" collapsed="false">
      <c r="A13" s="1" t="s">
        <v>766</v>
      </c>
      <c r="E13" s="30" t="n">
        <v>0.85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</row>
    <row r="14" customFormat="false" ht="15" hidden="false" customHeight="true" outlineLevel="0" collapsed="false">
      <c r="A14" s="1" t="s">
        <v>768</v>
      </c>
      <c r="E14" s="30" t="n">
        <v>0.88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</row>
    <row r="15" customFormat="false" ht="15" hidden="false" customHeight="true" outlineLevel="0" collapsed="false">
      <c r="A15" s="27" t="s">
        <v>770</v>
      </c>
      <c r="E15" s="30"/>
      <c r="G15" s="76"/>
      <c r="H15" s="30"/>
      <c r="O15" s="27"/>
    </row>
    <row r="16" customFormat="false" ht="15" hidden="false" customHeight="false" outlineLevel="0" collapsed="false">
      <c r="A16" s="1" t="s">
        <v>772</v>
      </c>
      <c r="E16" s="30" t="n">
        <v>0.41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</row>
    <row r="17" customFormat="false" ht="15" hidden="false" customHeight="false" outlineLevel="0" collapsed="false">
      <c r="A17" s="27" t="s">
        <v>774</v>
      </c>
      <c r="D17" s="59"/>
      <c r="F17" s="30"/>
      <c r="G17" s="76"/>
      <c r="I17" s="1" t="n">
        <f aca="false">G17*H17</f>
        <v>0</v>
      </c>
      <c r="O17" s="27"/>
      <c r="T17" s="30"/>
    </row>
    <row r="18" customFormat="false" ht="15" hidden="false" customHeight="true" outlineLevel="0" collapsed="false">
      <c r="A18" s="1" t="s">
        <v>776</v>
      </c>
      <c r="E18" s="59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</row>
    <row r="19" customFormat="false" ht="15" hidden="false" customHeight="true" outlineLevel="0" collapsed="false">
      <c r="A19" s="1" t="s">
        <v>778</v>
      </c>
      <c r="E19" s="59"/>
      <c r="F19" s="1" t="s">
        <v>202</v>
      </c>
      <c r="G19" s="76"/>
      <c r="H19" s="30" t="n">
        <f aca="false">'APUS ARQUITECTURA'!J212</f>
        <v>61.77</v>
      </c>
      <c r="I19" s="1" t="n">
        <f aca="false">G19*H19</f>
        <v>0</v>
      </c>
    </row>
    <row r="20" customFormat="false" ht="15" hidden="false" customHeight="false" outlineLevel="0" collapsed="false">
      <c r="A20" s="15" t="s">
        <v>779</v>
      </c>
      <c r="E20" s="59"/>
      <c r="G20" s="76"/>
      <c r="I20" s="1" t="n">
        <f aca="false">G20*H20</f>
        <v>0</v>
      </c>
      <c r="O20" s="15"/>
    </row>
    <row r="21" customFormat="false" ht="15" hidden="false" customHeight="true" outlineLevel="0" collapsed="false">
      <c r="A21" s="1" t="s">
        <v>781</v>
      </c>
      <c r="E21" s="1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</row>
    <row r="22" customFormat="false" ht="15" hidden="false" customHeight="true" outlineLevel="0" collapsed="false">
      <c r="A22" s="1" t="s">
        <v>783</v>
      </c>
      <c r="E22" s="1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</row>
    <row r="23" customFormat="false" ht="15" hidden="false" customHeight="true" outlineLevel="0" collapsed="false">
      <c r="A23" s="1" t="s">
        <v>785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</row>
    <row r="24" customFormat="false" ht="15" hidden="false" customHeight="true" outlineLevel="0" collapsed="false">
      <c r="A24" s="1" t="s">
        <v>787</v>
      </c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</row>
    <row r="25" customFormat="false" ht="15" hidden="false" customHeight="true" outlineLevel="0" collapsed="false">
      <c r="A25" s="1" t="s">
        <v>789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</row>
    <row r="26" customFormat="false" ht="15" hidden="false" customHeight="true" outlineLevel="0" collapsed="false">
      <c r="A26" s="1" t="s">
        <v>1393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</row>
    <row r="27" customFormat="false" ht="15" hidden="false" customHeight="true" outlineLevel="0" collapsed="false">
      <c r="A27" s="15" t="s">
        <v>792</v>
      </c>
      <c r="G27" s="76"/>
      <c r="I27" s="1" t="n">
        <f aca="false">G27*H27</f>
        <v>0</v>
      </c>
      <c r="O27" s="15"/>
    </row>
    <row r="28" customFormat="false" ht="15" hidden="false" customHeight="true" outlineLevel="0" collapsed="false">
      <c r="A28" s="1" t="s">
        <v>794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</row>
    <row r="29" customFormat="false" ht="15" hidden="false" customHeight="true" outlineLevel="0" collapsed="false">
      <c r="A29" s="1" t="s">
        <v>796</v>
      </c>
      <c r="E29" s="1" t="n">
        <v>0.41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</row>
    <row r="30" customFormat="false" ht="15" hidden="false" customHeight="true" outlineLevel="0" collapsed="false">
      <c r="A30" s="1" t="s">
        <v>798</v>
      </c>
      <c r="E30" s="1" t="n">
        <v>0.24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</row>
    <row r="31" customFormat="false" ht="15" hidden="false" customHeight="true" outlineLevel="0" collapsed="false">
      <c r="A31" s="1" t="s">
        <v>800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</row>
    <row r="32" customFormat="false" ht="15" hidden="false" customHeight="true" outlineLevel="0" collapsed="false">
      <c r="A32" s="1" t="s">
        <v>802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</row>
    <row r="33" customFormat="false" ht="15" hidden="false" customHeight="true" outlineLevel="0" collapsed="false">
      <c r="A33" s="1" t="s">
        <v>804</v>
      </c>
      <c r="E33" s="1" t="n">
        <v>0.4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</row>
    <row r="34" customFormat="false" ht="15" hidden="false" customHeight="false" outlineLevel="0" collapsed="false">
      <c r="A34" s="15" t="s">
        <v>805</v>
      </c>
      <c r="G34" s="76"/>
      <c r="H34" s="30"/>
      <c r="I34" s="1" t="n">
        <f aca="false">G34*H34</f>
        <v>0</v>
      </c>
      <c r="O34" s="15"/>
    </row>
    <row r="35" customFormat="false" ht="15" hidden="false" customHeight="true" outlineLevel="0" collapsed="false">
      <c r="A35" s="1" t="s">
        <v>807</v>
      </c>
      <c r="E35" s="1" t="n">
        <v>0.05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K35" s="85"/>
    </row>
    <row r="36" customFormat="false" ht="15" hidden="false" customHeight="false" outlineLevel="0" collapsed="false">
      <c r="A36" s="1" t="s">
        <v>809</v>
      </c>
      <c r="E36" s="1" t="n"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K36" s="85"/>
    </row>
    <row r="37" customFormat="false" ht="15" hidden="false" customHeight="false" outlineLevel="0" collapsed="false">
      <c r="A37" s="1" t="s">
        <v>811</v>
      </c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</row>
    <row r="38" customFormat="false" ht="15" hidden="false" customHeight="false" outlineLevel="0" collapsed="false">
      <c r="A38" s="1" t="s">
        <v>813</v>
      </c>
      <c r="E38" s="1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</row>
    <row r="39" customFormat="false" ht="15" hidden="false" customHeight="false" outlineLevel="0" collapsed="false">
      <c r="A39" s="1" t="s">
        <v>815</v>
      </c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</row>
    <row r="40" customFormat="false" ht="15" hidden="false" customHeight="false" outlineLevel="0" collapsed="false">
      <c r="A40" s="15" t="s">
        <v>816</v>
      </c>
      <c r="G40" s="76"/>
      <c r="I40" s="1" t="n">
        <f aca="false">G40*H40</f>
        <v>0</v>
      </c>
      <c r="O40" s="15"/>
    </row>
    <row r="41" customFormat="false" ht="15" hidden="false" customHeight="false" outlineLevel="0" collapsed="false">
      <c r="A41" s="1" t="s">
        <v>818</v>
      </c>
      <c r="E41" s="1" t="n">
        <v>1.85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L41" s="30"/>
    </row>
    <row r="42" customFormat="false" ht="15" hidden="false" customHeight="true" outlineLevel="0" collapsed="false">
      <c r="A42" s="1" t="s">
        <v>820</v>
      </c>
      <c r="B42" s="111"/>
      <c r="C42" s="111"/>
      <c r="D42" s="111"/>
      <c r="E42" s="1" t="n">
        <v>0.88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T42" s="111"/>
    </row>
    <row r="43" customFormat="false" ht="15" hidden="false" customHeight="true" outlineLevel="0" collapsed="false">
      <c r="A43" s="15" t="s">
        <v>976</v>
      </c>
      <c r="G43" s="76"/>
      <c r="H43" s="30"/>
      <c r="I43" s="1" t="n">
        <f aca="false">G43*H43</f>
        <v>0</v>
      </c>
      <c r="O43" s="15"/>
    </row>
    <row r="44" customFormat="false" ht="15" hidden="false" customHeight="false" outlineLevel="0" collapsed="false">
      <c r="A44" s="1" t="s">
        <v>979</v>
      </c>
      <c r="E44" s="1" t="n">
        <v>0.07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</row>
    <row r="45" customFormat="false" ht="15" hidden="false" customHeight="false" outlineLevel="0" collapsed="false">
      <c r="A45" s="1" t="s">
        <v>981</v>
      </c>
      <c r="E45" s="1" t="n">
        <v>0.07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</row>
    <row r="46" customFormat="false" ht="15" hidden="false" customHeight="false" outlineLevel="0" collapsed="false">
      <c r="A46" s="1" t="s">
        <v>1017</v>
      </c>
      <c r="E46" s="1" t="n">
        <v>0.07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</row>
    <row r="47" customFormat="false" ht="15" hidden="false" customHeight="false" outlineLevel="0" collapsed="false">
      <c r="A47" s="1" t="s">
        <v>985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</row>
    <row r="48" customFormat="false" ht="15" hidden="false" customHeight="false" outlineLevel="0" collapsed="false">
      <c r="A48" s="1" t="s">
        <v>1395</v>
      </c>
      <c r="E48" s="1" t="n">
        <v>0.07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</row>
    <row r="49" customFormat="false" ht="15" hidden="false" customHeight="false" outlineLevel="0" collapsed="false">
      <c r="A49" s="1" t="s">
        <v>1396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</row>
    <row r="50" customFormat="false" ht="15" hidden="false" customHeight="false" outlineLevel="0" collapsed="false">
      <c r="A50" s="1" t="s">
        <v>993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</row>
    <row r="51" customFormat="false" ht="15" hidden="false" customHeight="false" outlineLevel="0" collapsed="false">
      <c r="A51" s="1" t="s">
        <v>994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</row>
    <row r="52" customFormat="false" ht="15" hidden="false" customHeight="false" outlineLevel="0" collapsed="false">
      <c r="A52" s="1" t="s">
        <v>998</v>
      </c>
      <c r="E52" s="1" t="n">
        <v>0.1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</row>
    <row r="53" customFormat="false" ht="15" hidden="false" customHeight="false" outlineLevel="0" collapsed="false">
      <c r="A53" s="1" t="s">
        <v>1001</v>
      </c>
      <c r="E53" s="1" t="n">
        <v>0.07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</row>
    <row r="54" customFormat="false" ht="15" hidden="false" customHeight="false" outlineLevel="0" collapsed="false">
      <c r="A54" s="1" t="s">
        <v>1003</v>
      </c>
      <c r="E54" s="1" t="n">
        <v>0.07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</row>
    <row r="55" customFormat="false" ht="15" hidden="false" customHeight="false" outlineLevel="0" collapsed="false">
      <c r="A55" s="1" t="s">
        <v>1006</v>
      </c>
      <c r="E55" s="1" t="n">
        <v>0.07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</row>
    <row r="56" customFormat="false" ht="15" hidden="false" customHeight="false" outlineLevel="0" collapsed="false">
      <c r="A56" s="1" t="s">
        <v>1009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</row>
    <row r="57" customFormat="false" ht="15" hidden="false" customHeight="false" outlineLevel="0" collapsed="false">
      <c r="A57" s="1" t="s">
        <v>1011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</row>
    <row r="58" customFormat="false" ht="15" hidden="false" customHeight="false" outlineLevel="0" collapsed="false">
      <c r="A58" s="15" t="s">
        <v>1047</v>
      </c>
      <c r="I58" s="1" t="n">
        <f aca="false">G58*H58</f>
        <v>0</v>
      </c>
      <c r="O58" s="15"/>
    </row>
    <row r="59" customFormat="false" ht="15" hidden="false" customHeight="false" outlineLevel="0" collapsed="false">
      <c r="A59" s="1" t="s">
        <v>1050</v>
      </c>
      <c r="E59" s="1" t="n">
        <v>0.38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</row>
    <row r="60" customFormat="false" ht="15" hidden="false" customHeight="false" outlineLevel="0" collapsed="false">
      <c r="A60" s="1" t="s">
        <v>1052</v>
      </c>
      <c r="E60" s="1" t="n">
        <v>0.38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</row>
    <row r="61" customFormat="false" ht="15" hidden="false" customHeight="false" outlineLevel="0" collapsed="false">
      <c r="A61" s="1" t="s">
        <v>1054</v>
      </c>
      <c r="E61" s="1" t="n">
        <v>0.38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</row>
    <row r="62" customFormat="false" ht="15" hidden="false" customHeight="false" outlineLevel="0" collapsed="false">
      <c r="A62" s="1" t="s">
        <v>1056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</row>
    <row r="63" customFormat="false" ht="15" hidden="false" customHeight="false" outlineLevel="0" collapsed="false">
      <c r="A63" s="15" t="s">
        <v>1057</v>
      </c>
      <c r="I63" s="1" t="n">
        <f aca="false">G63*H63</f>
        <v>0</v>
      </c>
      <c r="O63" s="15"/>
    </row>
    <row r="64" customFormat="false" ht="15" hidden="false" customHeight="false" outlineLevel="0" collapsed="false">
      <c r="A64" s="1" t="s">
        <v>1059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</row>
    <row r="65" customFormat="false" ht="15" hidden="false" customHeight="true" outlineLevel="0" collapsed="false">
      <c r="A65" s="1" t="s">
        <v>1061</v>
      </c>
      <c r="E65" s="1" t="n"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K65" s="30"/>
    </row>
    <row r="66" customFormat="false" ht="15" hidden="false" customHeight="true" outlineLevel="0" collapsed="false">
      <c r="A66" s="1" t="s">
        <v>1063</v>
      </c>
      <c r="E66" s="1" t="n">
        <v>0.01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K66" s="30"/>
    </row>
    <row r="67" customFormat="false" ht="15" hidden="false" customHeight="true" outlineLevel="0" collapsed="false">
      <c r="A67" s="1" t="s">
        <v>1065</v>
      </c>
      <c r="E67" s="1" t="n">
        <v>0.02</v>
      </c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</row>
    <row r="68" customFormat="false" ht="15" hidden="false" customHeight="true" outlineLevel="0" collapsed="false">
      <c r="G68" s="76"/>
    </row>
    <row r="69" customFormat="false" ht="15" hidden="false" customHeight="true" outlineLevel="0" collapsed="false">
      <c r="G69" s="76"/>
    </row>
    <row r="70" customFormat="false" ht="15" hidden="false" customHeight="true" outlineLevel="0" collapsed="false">
      <c r="A70" s="15" t="s">
        <v>1097</v>
      </c>
      <c r="H70" s="30"/>
    </row>
    <row r="71" customFormat="false" ht="15" hidden="false" customHeight="true" outlineLevel="0" collapsed="false">
      <c r="A71" s="109" t="s">
        <v>1098</v>
      </c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</row>
    <row r="83" customFormat="false" ht="15" hidden="false" customHeight="false" outlineLevel="0" collapsed="false">
      <c r="A83" s="255" t="s">
        <v>1121</v>
      </c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'!D18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(((2*3.75)*3)-(0.75*2.1))/30</f>
        <v>0.6975</v>
      </c>
      <c r="F6" s="107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f aca="false">(((8/2)*2)*3)/30</f>
        <v>0.8</v>
      </c>
      <c r="F7" s="107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/>
      <c r="F8" s="107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107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107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F11" s="6"/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F12" s="6"/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((6.95*2*3)+(4.25*2*3)-(2.1*1))/30</f>
        <v>2.17</v>
      </c>
      <c r="F13" s="6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(((4.25+0.6)*3.3)+((1.4+0.6)*3))/30</f>
        <v>0.7335</v>
      </c>
      <c r="F14" s="6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F15" s="6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6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11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6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6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F20" s="6"/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6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6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6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 t="n">
        <v>1</v>
      </c>
      <c r="F24" s="6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6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791</v>
      </c>
      <c r="E26" s="257"/>
      <c r="F26" s="6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F27" s="6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6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6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6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6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6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6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F34" s="6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00" t="n">
        <f aca="false">2.1*1/30</f>
        <v>0.07</v>
      </c>
      <c r="F35" s="6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/>
      <c r="F36" s="6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6"/>
      <c r="F37" s="6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6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6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F40" s="6"/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E19+E13</f>
        <v>3.17</v>
      </c>
      <c r="F41" s="6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0.7335</v>
      </c>
      <c r="F42" s="112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F43" s="6"/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6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6" t="s">
        <v>1394</v>
      </c>
      <c r="G45" s="76" t="n">
        <f aca="false">E45*$M$2</f>
        <v>0</v>
      </c>
      <c r="H45" s="30" t="n">
        <f aca="false">'APUS SANITARIAS'!J12</f>
        <v>192.42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6" t="s">
        <v>1394</v>
      </c>
      <c r="G46" s="76" t="n">
        <f aca="false">E46*$M$2</f>
        <v>0</v>
      </c>
      <c r="H46" s="30" t="n">
        <f aca="false">'APUS SANITARIAS'!J19</f>
        <v>67.52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6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6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6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6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6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6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6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6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6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6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6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F58" s="6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6/30</f>
        <v>0.2</v>
      </c>
      <c r="F59" s="6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6/30</f>
        <v>0.2</v>
      </c>
      <c r="F60" s="6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6/30</f>
        <v>0.2</v>
      </c>
      <c r="F61" s="6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6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F63" s="6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(30/10)/30</f>
        <v>0.1</v>
      </c>
      <c r="F64" s="6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(30/10)/30</f>
        <v>0.1</v>
      </c>
      <c r="F65" s="6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6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6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F68" s="6"/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F69" s="6"/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F70" s="6"/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F71" s="6"/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6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6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6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6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6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6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6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6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6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6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6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F83" s="6"/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  <c r="F84" s="6"/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6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6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  <c r="F87" s="6"/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6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  <c r="F89" s="6"/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6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6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92" customFormat="false" ht="15" hidden="false" customHeight="false" outlineLevel="0" collapsed="false">
      <c r="F92" s="6"/>
    </row>
    <row r="93" customFormat="false" ht="15" hidden="false" customHeight="false" outlineLevel="0" collapsed="false">
      <c r="F93" s="6"/>
    </row>
    <row r="94" customFormat="false" ht="15" hidden="false" customHeight="false" outlineLevel="0" collapsed="false">
      <c r="F94" s="6"/>
    </row>
    <row r="95" customFormat="false" ht="15" hidden="false" customHeight="false" outlineLevel="0" collapsed="false">
      <c r="F95" s="6"/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'!D19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6.95*3/(2*150)</f>
        <v>0.0695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f aca="false">((6.95*3)/150)</f>
        <v>0.139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((2.8*10*3)-(6*1)-(3*2.8*1)-(4*2*2.1))/150</f>
        <v>0.352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((21.85*3)+(6.95*3)+(3*6.95/2)-(2.8*10*3)+(20*0.2*3))/150</f>
        <v>0.1655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6.95*3.3/150</f>
        <v>0.1529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f aca="false">1</f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f aca="false">1</f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((21.84*2)+(6.95*2)-(2*4))*2/150</f>
        <v>0.661066666666667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4*2*2.1/150</f>
        <v>0.112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((2*3)+(2.8*3))/150</f>
        <v>0.096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E18+E19+E13</f>
        <v>1.1655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0.1529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 t="n">
        <f aca="false">1/150</f>
        <v>0.00666666666666667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 t="n">
        <f aca="false">1/150</f>
        <v>0.00666666666666667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 t="n">
        <f aca="false">1/150</f>
        <v>0.00666666666666667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1/150</f>
        <v>0.00666666666666667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1/150</f>
        <v>0.00666666666666667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1/150</f>
        <v>0.00666666666666667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1/150</f>
        <v>0.00666666666666667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29/150</f>
        <v>0.193333333333333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29/150</f>
        <v>0.193333333333333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29/150</f>
        <v>0.193333333333333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v>0.1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 t="n">
        <f aca="false">1/150</f>
        <v>0.00666666666666667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'!D20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  <c r="N4" s="1" t="n">
        <v>1221.589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(7.55+1.75+1.3+1.3+(7.55/2))*3/33.5</f>
        <v>1.40373134328358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v>0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0.4*3*2/33.5</f>
        <v>0.0716417910447761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((7.3*1.5)+3+4.7+0.45+0.2)*3/33.5</f>
        <v>1.72835820895522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(4.9+3+0.6+0.6)*3.3/33.5</f>
        <v>0.896417910447761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((7.3*1.5)+4.7+3+0.45+0.2+0.8)/33.5</f>
        <v>0.6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1*2.1/33.5</f>
        <v>0.0626865671641791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v>0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2.72835820895522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0.896417910447761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15/33.5</f>
        <v>0.447761194029851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15/33.5</f>
        <v>0.447761194029851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15/33.5</f>
        <v>0.447761194029851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4/33.5</f>
        <v>0.119402985074627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4/33.5</f>
        <v>0.119402985074627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'!D21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((3*3.5)-(1.2*1.2))/10.5</f>
        <v>0.862857142857143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(2*(3/2)*3)/10.5</f>
        <v>0.857142857142857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v>3.1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((3.3*3.5)-(1.2*1.2))/10.5</f>
        <v>0.962857142857143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f aca="false">1</f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f aca="false">1</f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(3.5+(3*2))/10.5</f>
        <v>0.904761904761905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v>0.14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v>0.19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 t="n">
        <f aca="false">(2.85+2.9+1*2+1.4+3.2)*2.85/(14.6+14.5)</f>
        <v>1.20953608247423</v>
      </c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v>3.27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0.962857142857143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9/10.5</f>
        <v>0.857142857142857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9/10.5</f>
        <v>0.857142857142857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9/10.5</f>
        <v>0.857142857142857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1/10.5</f>
        <v>0.0952380952380952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1/10.5</f>
        <v>0.0952380952380952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'!D22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((3*3.5)-(1.2*1.2))/10.5</f>
        <v>0.862857142857143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(2*(3/2)*3)/10.5</f>
        <v>0.857142857142857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v>3.1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((3.3*3.5)-(1.2*1.2))/10.5</f>
        <v>0.962857142857143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f aca="false">1</f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f aca="false">1</f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(3.5+(3*2))/10.5</f>
        <v>0.904761904761905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v>0.14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v>0.19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 t="n">
        <f aca="false">(2.85+2.9+1*2+1.4+3.2)*2.85/(14.6+14.5)</f>
        <v>1.20953608247423</v>
      </c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v>3.27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0.962857142857143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9/10.5</f>
        <v>0.857142857142857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9/10.5</f>
        <v>0.857142857142857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9/10.5</f>
        <v>0.857142857142857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1/10.5</f>
        <v>0.0952380952380952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1/10.5</f>
        <v>0.0952380952380952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'!D23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(((3.15+4.45+4.2)*3)+(2.8*2))/17.5</f>
        <v>2.34285714285714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(((3.15+4.45+4.2+0.8+0.75)*3)+(2.8*2))/17.5</f>
        <v>2.60857142857143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2.8*2.3/17.5</f>
        <v>0.368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(5+(2*3))/17.5</f>
        <v>0.628571428571429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1*2.1/17.5</f>
        <v>0.12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(2.8*1)/17.5</f>
        <v>0.16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E13+1</f>
        <v>3.60857142857143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0.368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9/17.5</f>
        <v>0.514285714285714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9/17.5</f>
        <v>0.514285714285714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9/17.5</f>
        <v>0.514285714285714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2/17.5</f>
        <v>0.114285714285714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2/17.5</f>
        <v>0.114285714285714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 t="n">
        <f aca="false">1/17.5</f>
        <v>0.0571428571428571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'!D24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v>0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(3.25+1.6+1.1+3.3)*3/16.6</f>
        <v>1.67168674698795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(1.6+0.4)*3/16.6</f>
        <v>0.36144578313253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(2.2*3.3)/16.6</f>
        <v>0.437349397590361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(3.25+1.6+0.4+1.6+0.4+0.7+3.3)/16.6</f>
        <v>0.677710843373494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1*2.1/16.6</f>
        <v>0.126506024096386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(3*1.2*1.2)/16.6</f>
        <v>0.260240963855422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E13+E14+E19</f>
        <v>1.89879518072289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0.437349397590361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9/16.6</f>
        <v>0.542168674698795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9/16.6</f>
        <v>0.542168674698795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9/16.6</f>
        <v>0.542168674698795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2/16.6</f>
        <v>0.120481927710843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2/16.6</f>
        <v>0.120481927710843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 t="n">
        <f aca="false">1/16.6</f>
        <v>0.0602409638554217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'!D25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v>0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(3.25+1.6+1.1+3.3)*3/16.6</f>
        <v>1.67168674698795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(1.6+0.4)*3/16.6</f>
        <v>0.36144578313253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(2.2*3.3)/16.6</f>
        <v>0.437349397590361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(3.25+1.6+0.4+1.6+0.4+0.7+3.3)/16.6</f>
        <v>0.677710843373494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1*2.1/16.6</f>
        <v>0.126506024096386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(3*1.2*1.2)/16.6</f>
        <v>0.260240963855422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E13+E14+E19</f>
        <v>1.89879518072289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0.437349397590361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9/16.6</f>
        <v>0.542168674698795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9/16.6</f>
        <v>0.542168674698795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9/16.6</f>
        <v>0.542168674698795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2/16.6</f>
        <v>0.120481927710843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2/16.6</f>
        <v>0.120481927710843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 t="n">
        <f aca="false">1/16.6</f>
        <v>0.0602409638554217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'!D26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8" t="n">
        <f aca="false">2.8*2/37</f>
        <v>0.151351351351351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8" t="n">
        <f aca="false">3.45*3/37</f>
        <v>0.27972972972973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6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6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8" t="n">
        <f aca="false">((1.15+0.65+0.9+1.6+0.65+0.6)*3+(2.8*2))/37</f>
        <v>0.601351351351351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8" t="n">
        <f aca="false">((2.8*2)+((0.65+1.6+0.9)*3))/37</f>
        <v>0.406756756756757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8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8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8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8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8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8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8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8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8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8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8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8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8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8" t="n">
        <f aca="false">(4.65+3.15+0.15+1.75+0.65+0.2+2.8+0.2+1.6+0.2+0.65+3.3)/37</f>
        <v>0.521621621621622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8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8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8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/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2.8/37</f>
        <v>0.0756756756756757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E13+E8+E18</f>
        <v>0.881081081081081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0.406756756756757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9/37</f>
        <v>0.243243243243243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9/37</f>
        <v>0.243243243243243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9/37</f>
        <v>0.243243243243243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1/37</f>
        <v>0.027027027027027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1/37</f>
        <v>0.027027027027027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44" activeCellId="0" sqref="A44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'!D27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(1.75+1.3+3.3+0.6)*3/6.5</f>
        <v>3.20769230769231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v>0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2.8*3/6.5</f>
        <v>1.29230769230769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(1.75+1.25+3.3+0.6)*3/6.5</f>
        <v>3.18461538461538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1.3*3.3/6.5</f>
        <v>0.66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 t="n">
        <f aca="false">(1.75+1.25+3.3+0.6+4.7)*2/6.5</f>
        <v>3.56923076923077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0.9*2.1/6.5</f>
        <v>0.290769230769231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E13+E8+E19</f>
        <v>5.47692307692308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0.66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4/6.5</f>
        <v>0.615384615384615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4/6.5</f>
        <v>0.615384615384615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4/6.5</f>
        <v>0.615384615384615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1/6.5</f>
        <v>0.153846153846154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1/6.5</f>
        <v>0.153846153846154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'!D28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((6.95+12.2+12.2)*3)*0.71/93</f>
        <v>0.718016129032258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f aca="false">((6.95)*3)/93</f>
        <v>0.224193548387097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2" t="n">
        <f aca="false">(((2*(12.2+6.95))*3)*0.71)/93</f>
        <v>0.877193548387097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(((12.2*2*3.3)*0.71))/93</f>
        <v>0.614722580645161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2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2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2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2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2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2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2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2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2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2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(2*(12.2+6.95))/93</f>
        <v>0.411827956989247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2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2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2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2*2.1/93</f>
        <v>0.0451612903225807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2" t="n"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2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2" t="n">
        <f aca="false">((((2*(6.95+12.2))*3)-(93*0.29))+93)/93</f>
        <v>1.94548387096774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2" t="n">
        <f aca="false">((((12.2*2)+6.95)*3.3)-(93*0.29))/93</f>
        <v>0.82241935483871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2" t="n">
        <f aca="false">2/93</f>
        <v>0.021505376344086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2" t="n">
        <f aca="false">2/93</f>
        <v>0.021505376344086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2" t="n">
        <f aca="false">2/93</f>
        <v>0.021505376344086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2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2" t="n">
        <f aca="false">5/92</f>
        <v>0.0543478260869565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3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3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3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2" t="n">
        <f aca="false">6/92</f>
        <v>0.0652173913043478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2" t="n">
        <f aca="false">6/92</f>
        <v>0.0652173913043478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2" t="n">
        <f aca="false">6/92</f>
        <v>0.0652173913043478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2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2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2" t="n">
        <f aca="false">20/92</f>
        <v>0.217391304347826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2" t="n">
        <f aca="false">20/92</f>
        <v>0.217391304347826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2" t="n">
        <f aca="false">20/92</f>
        <v>0.217391304347826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2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2" t="n">
        <f aca="false">(92/10)/92</f>
        <v>0.1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2" t="n">
        <f aca="false">(92/10)/92</f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2" t="n">
        <f aca="false">1/92</f>
        <v>0.0108695652173913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2" t="n">
        <f aca="false">2/92</f>
        <v>0.0217391304347826</v>
      </c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'!D29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((6.95+12.2+12.2)*3)*0.71/93</f>
        <v>0.718016129032258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f aca="false">((6.95)*3)/93</f>
        <v>0.224193548387097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2" t="n">
        <f aca="false">(((2*(12.2+6.95))*3)*0.71)/93</f>
        <v>0.877193548387097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(((12.2*2*3.3)*0.71))/93</f>
        <v>0.614722580645161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2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2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2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2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2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2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2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2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2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2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(2*(12.2+6.95))/93</f>
        <v>0.411827956989247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2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2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2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2*2.1/93</f>
        <v>0.0451612903225807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2" t="n"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2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2" t="n">
        <f aca="false">((((2*(6.95+12.2))*3)-(93*0.29))+93)/93</f>
        <v>1.94548387096774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2" t="n">
        <f aca="false">((((12.2*2)+6.95)*3.3)-(93*0.29))/93</f>
        <v>0.82241935483871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2" t="n">
        <f aca="false">2/93</f>
        <v>0.021505376344086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2" t="n">
        <f aca="false">2/93</f>
        <v>0.021505376344086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2" t="n">
        <f aca="false">2/93</f>
        <v>0.021505376344086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2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2" t="n">
        <f aca="false">5/92</f>
        <v>0.0543478260869565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3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3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3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2" t="n">
        <f aca="false">6/92</f>
        <v>0.0652173913043478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2" t="n">
        <f aca="false">6/92</f>
        <v>0.0652173913043478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2" t="n">
        <f aca="false">6/92</f>
        <v>0.0652173913043478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2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2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2" t="n">
        <f aca="false">20/92</f>
        <v>0.217391304347826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2" t="n">
        <f aca="false">20/92</f>
        <v>0.217391304347826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2" t="n">
        <f aca="false">20/92</f>
        <v>0.217391304347826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2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2" t="n">
        <f aca="false">(92/10)/92</f>
        <v>0.1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2" t="n">
        <f aca="false">(92/10)/92</f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2" t="n">
        <f aca="false">1/92</f>
        <v>0.0108695652173913</v>
      </c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2" t="n">
        <f aca="false">2/92</f>
        <v>0.0217391304347826</v>
      </c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'!D30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2*3/6</f>
        <v>1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((2*3*3)+(2*3)-(0.75*2.1))/6</f>
        <v>3.7375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(2*3)/6</f>
        <v>1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(2*3.3)/6</f>
        <v>1.1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 t="n">
        <f aca="false">((2*3)+(2*2)-(0.75))/6</f>
        <v>1.54166666666667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1/6</f>
        <v>0.166666666666667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E13+E8+E19</f>
        <v>5.7375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1.1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4/6</f>
        <v>0.666666666666667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4/6</f>
        <v>0.666666666666667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4/6</f>
        <v>0.666666666666667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1/6</f>
        <v>0.166666666666667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1/6</f>
        <v>0.166666666666667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M57" activeCellId="0" sqref="M57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'!D31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((6.65*3)-(4*1.2*1.2))/20</f>
        <v>0.7095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f aca="false">(2*(3/2)*3)/20</f>
        <v>0.45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(6.65*3)/20</f>
        <v>0.9975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((6.65*3.3)-(4*1.2*1.2))/20</f>
        <v>0.80925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((2*3)+6.66)/20</f>
        <v>0.633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v>0.14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(4*1.2*1.2)/20</f>
        <v>0.288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E13+E8+E18</f>
        <v>1.4475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0.80925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13/20</f>
        <v>0.65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13/20</f>
        <v>0.65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13/20</f>
        <v>0.65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2/20</f>
        <v>0.1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2/20</f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88" activeCellId="0" sqref="S8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'!D32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(2.8+2.2+1.45+0.25)*3/12.3</f>
        <v>1.63414634146341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f aca="false">2.6*3/12.3</f>
        <v>0.634146341463415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 t="n">
        <v>0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E6+E7</f>
        <v>2.26829268292683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(2.6+2.8)*3.3/12.3</f>
        <v>1.44878048780488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 t="n">
        <f aca="false">E13</f>
        <v>2.26829268292683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 t="n">
        <f aca="false">(2.6+4.4+1.45+0.25)*0.1/12.3</f>
        <v>0.0707317073170732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0.9*2.1/12.3</f>
        <v>0.153658536585366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v>0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E16+(1.7*3/12.3)</f>
        <v>2.68292682926829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1.44878048780488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 t="n">
        <f aca="false">1/12.3</f>
        <v>0.0813008130081301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 t="n">
        <f aca="false">1/12.3</f>
        <v>0.0813008130081301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 t="n">
        <f aca="false">1/12.3</f>
        <v>0.0813008130081301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1/12.3</f>
        <v>0.0813008130081301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1/12.3</f>
        <v>0.0813008130081301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1/12.3</f>
        <v>0.0813008130081301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1/12.3</f>
        <v>0.0813008130081301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10/12.3</f>
        <v>0.813008130081301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10/12.3</f>
        <v>0.813008130081301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10/12.3</f>
        <v>0.813008130081301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2/12.3</f>
        <v>0.16260162601626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2/12.3</f>
        <v>0.16260162601626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'!D33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((((2.8*4)+(6.95))*3)-(0.2*60.3)-(1*2.1))/60.3</f>
        <v>0.668159203980099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57"/>
      <c r="P6" s="257"/>
      <c r="Q6" s="257"/>
      <c r="R6" s="257"/>
      <c r="S6" s="257"/>
      <c r="T6" s="257"/>
      <c r="U6" s="258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8"/>
      <c r="AI6" s="258"/>
      <c r="AJ6" s="258"/>
      <c r="AK6" s="258"/>
      <c r="AL6" s="259"/>
      <c r="AM6" s="258"/>
      <c r="AN6" s="258"/>
      <c r="AO6" s="257"/>
      <c r="AP6" s="257"/>
      <c r="AR6" s="257"/>
      <c r="AS6" s="257"/>
      <c r="AT6" s="257"/>
      <c r="AU6" s="257"/>
      <c r="AV6" s="257"/>
      <c r="AW6" s="257"/>
      <c r="AX6" s="257"/>
      <c r="AY6" s="257"/>
    </row>
    <row r="7" customFormat="false" ht="16.4" hidden="false" customHeight="false" outlineLevel="0" collapsed="false">
      <c r="A7" s="1" t="s">
        <v>755</v>
      </c>
      <c r="E7" s="257" t="n">
        <v>0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8"/>
      <c r="AI7" s="258"/>
      <c r="AJ7" s="258"/>
      <c r="AK7" s="258"/>
      <c r="AL7" s="259"/>
      <c r="AM7" s="258"/>
      <c r="AN7" s="258"/>
      <c r="AO7" s="257"/>
      <c r="AP7" s="257"/>
      <c r="AR7" s="257"/>
      <c r="AS7" s="257"/>
      <c r="AT7" s="257"/>
      <c r="AU7" s="257"/>
      <c r="AV7" s="257"/>
      <c r="AW7" s="257"/>
      <c r="AX7" s="257"/>
      <c r="AY7" s="257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57"/>
      <c r="P8" s="257"/>
      <c r="Q8" s="257"/>
      <c r="R8" s="257"/>
      <c r="S8" s="257"/>
      <c r="T8" s="257"/>
      <c r="U8" s="258"/>
      <c r="V8" s="257"/>
      <c r="W8" s="257"/>
      <c r="X8" s="257"/>
      <c r="Y8" s="257"/>
      <c r="Z8" s="257"/>
      <c r="AA8" s="257"/>
      <c r="AB8" s="257"/>
      <c r="AC8" s="257"/>
      <c r="AD8" s="258"/>
      <c r="AE8" s="258"/>
      <c r="AF8" s="257"/>
      <c r="AG8" s="257"/>
      <c r="AH8" s="258"/>
      <c r="AI8" s="258"/>
      <c r="AJ8" s="258"/>
      <c r="AK8" s="258"/>
      <c r="AL8" s="259"/>
      <c r="AM8" s="258"/>
      <c r="AN8" s="258"/>
      <c r="AO8" s="257"/>
      <c r="AP8" s="257"/>
      <c r="AR8" s="257"/>
      <c r="AS8" s="257"/>
      <c r="AT8" s="257"/>
      <c r="AU8" s="257"/>
      <c r="AV8" s="257"/>
      <c r="AW8" s="257"/>
      <c r="AX8" s="257"/>
      <c r="AY8" s="257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00"/>
      <c r="P9" s="200"/>
      <c r="Q9" s="200"/>
      <c r="R9" s="200"/>
      <c r="S9" s="200"/>
      <c r="T9" s="200"/>
      <c r="U9" s="260"/>
      <c r="V9" s="200"/>
      <c r="W9" s="200"/>
      <c r="X9" s="200"/>
      <c r="Y9" s="200"/>
      <c r="Z9" s="200"/>
      <c r="AA9" s="200"/>
      <c r="AB9" s="200"/>
      <c r="AC9" s="200"/>
      <c r="AD9" s="260"/>
      <c r="AE9" s="260"/>
      <c r="AF9" s="200"/>
      <c r="AG9" s="200"/>
      <c r="AH9" s="260"/>
      <c r="AI9" s="260"/>
      <c r="AJ9" s="260"/>
      <c r="AK9" s="260"/>
      <c r="AL9" s="261"/>
      <c r="AM9" s="260"/>
      <c r="AN9" s="260"/>
      <c r="AO9" s="200"/>
      <c r="AP9" s="200"/>
      <c r="AR9" s="200"/>
      <c r="AS9" s="200"/>
      <c r="AT9" s="200"/>
      <c r="AU9" s="200"/>
      <c r="AV9" s="200"/>
      <c r="AW9" s="200"/>
      <c r="AX9" s="200"/>
      <c r="AY9" s="200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00"/>
      <c r="P10" s="200"/>
      <c r="Q10" s="200"/>
      <c r="R10" s="20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1"/>
      <c r="AM10" s="260"/>
      <c r="AN10" s="260"/>
      <c r="AO10" s="260"/>
      <c r="AP10" s="260"/>
      <c r="AQ10" s="213"/>
      <c r="AR10" s="260"/>
      <c r="AS10" s="260"/>
      <c r="AT10" s="260"/>
      <c r="AU10" s="260"/>
      <c r="AV10" s="260"/>
      <c r="AW10" s="260"/>
      <c r="AX10" s="260"/>
      <c r="AY10" s="260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E6+E8+((0.85*4+1.8*2)*3/60.3)</f>
        <v>1.01641791044776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57"/>
      <c r="P13" s="257"/>
      <c r="Q13" s="257"/>
      <c r="R13" s="257"/>
      <c r="S13" s="258"/>
      <c r="T13" s="258"/>
      <c r="U13" s="258"/>
      <c r="V13" s="258"/>
      <c r="W13" s="259"/>
      <c r="X13" s="258"/>
      <c r="Y13" s="258"/>
      <c r="Z13" s="258"/>
      <c r="AA13" s="258"/>
      <c r="AB13" s="258"/>
      <c r="AC13" s="258"/>
      <c r="AD13" s="258"/>
      <c r="AE13" s="258"/>
      <c r="AF13" s="258"/>
      <c r="AG13" s="258"/>
      <c r="AH13" s="258"/>
      <c r="AI13" s="262"/>
      <c r="AJ13" s="262"/>
      <c r="AK13" s="258"/>
      <c r="AL13" s="259"/>
      <c r="AM13" s="258"/>
      <c r="AN13" s="258"/>
      <c r="AO13" s="258"/>
      <c r="AP13" s="258"/>
      <c r="AQ13" s="213"/>
      <c r="AR13" s="258"/>
      <c r="AS13" s="258"/>
      <c r="AT13" s="258"/>
      <c r="AU13" s="258"/>
      <c r="AV13" s="262"/>
      <c r="AW13" s="258"/>
      <c r="AX13" s="258"/>
      <c r="AY13" s="258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((2.8*4*3.3)+(2.2*4*3.3)-(2.8*2*1)-(2.1*1))/60.3</f>
        <v>0.966832504145937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57"/>
      <c r="P14" s="257"/>
      <c r="Q14" s="257"/>
      <c r="R14" s="257"/>
      <c r="S14" s="258"/>
      <c r="T14" s="258"/>
      <c r="U14" s="258"/>
      <c r="V14" s="258"/>
      <c r="W14" s="258"/>
      <c r="X14" s="258"/>
      <c r="Y14" s="258"/>
      <c r="Z14" s="258"/>
      <c r="AA14" s="258"/>
      <c r="AB14" s="258"/>
      <c r="AC14" s="258"/>
      <c r="AD14" s="258"/>
      <c r="AE14" s="258"/>
      <c r="AF14" s="258"/>
      <c r="AG14" s="258"/>
      <c r="AH14" s="258"/>
      <c r="AI14" s="258"/>
      <c r="AJ14" s="258"/>
      <c r="AK14" s="258"/>
      <c r="AL14" s="259"/>
      <c r="AM14" s="258"/>
      <c r="AN14" s="258"/>
      <c r="AO14" s="258"/>
      <c r="AP14" s="258"/>
      <c r="AQ14" s="213"/>
      <c r="AR14" s="258"/>
      <c r="AS14" s="258"/>
      <c r="AT14" s="258"/>
      <c r="AU14" s="258"/>
      <c r="AV14" s="258"/>
      <c r="AW14" s="258"/>
      <c r="AX14" s="258"/>
      <c r="AY14" s="258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57"/>
      <c r="P15" s="257"/>
      <c r="Q15" s="257"/>
      <c r="R15" s="257"/>
      <c r="S15" s="258"/>
      <c r="T15" s="258"/>
      <c r="U15" s="258"/>
      <c r="V15" s="258"/>
      <c r="W15" s="258"/>
      <c r="X15" s="258"/>
      <c r="Y15" s="258"/>
      <c r="Z15" s="258"/>
      <c r="AA15" s="258"/>
      <c r="AB15" s="258"/>
      <c r="AC15" s="258"/>
      <c r="AD15" s="258"/>
      <c r="AE15" s="258"/>
      <c r="AF15" s="258"/>
      <c r="AG15" s="258"/>
      <c r="AH15" s="258"/>
      <c r="AI15" s="258"/>
      <c r="AJ15" s="258"/>
      <c r="AK15" s="258"/>
      <c r="AL15" s="259"/>
      <c r="AM15" s="258"/>
      <c r="AN15" s="258"/>
      <c r="AO15" s="258"/>
      <c r="AP15" s="258"/>
      <c r="AQ15" s="213"/>
      <c r="AR15" s="258"/>
      <c r="AS15" s="258"/>
      <c r="AT15" s="258"/>
      <c r="AU15" s="258"/>
      <c r="AV15" s="258"/>
      <c r="AW15" s="258"/>
      <c r="AX15" s="258"/>
      <c r="AY15" s="258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57"/>
      <c r="P16" s="257"/>
      <c r="Q16" s="257"/>
      <c r="R16" s="257"/>
      <c r="S16" s="258"/>
      <c r="T16" s="258"/>
      <c r="U16" s="258"/>
      <c r="V16" s="258"/>
      <c r="W16" s="259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9"/>
      <c r="AM16" s="258"/>
      <c r="AN16" s="258"/>
      <c r="AO16" s="258"/>
      <c r="AP16" s="258"/>
      <c r="AQ16" s="213"/>
      <c r="AR16" s="258"/>
      <c r="AS16" s="258"/>
      <c r="AT16" s="258"/>
      <c r="AU16" s="258"/>
      <c r="AV16" s="258"/>
      <c r="AW16" s="258"/>
      <c r="AX16" s="258"/>
      <c r="AY16" s="258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57"/>
      <c r="P18" s="257"/>
      <c r="Q18" s="257"/>
      <c r="R18" s="257"/>
      <c r="S18" s="258"/>
      <c r="T18" s="258"/>
      <c r="U18" s="258"/>
      <c r="V18" s="258"/>
      <c r="W18" s="259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9"/>
      <c r="AM18" s="258"/>
      <c r="AN18" s="258"/>
      <c r="AO18" s="258"/>
      <c r="AP18" s="258"/>
      <c r="AQ18" s="213"/>
      <c r="AR18" s="258"/>
      <c r="AS18" s="258"/>
      <c r="AT18" s="258"/>
      <c r="AU18" s="258"/>
      <c r="AV18" s="258"/>
      <c r="AW18" s="258"/>
      <c r="AX18" s="258"/>
      <c r="AY18" s="258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57"/>
      <c r="P19" s="257"/>
      <c r="Q19" s="257"/>
      <c r="R19" s="257"/>
      <c r="S19" s="258"/>
      <c r="T19" s="258"/>
      <c r="U19" s="258"/>
      <c r="V19" s="258"/>
      <c r="W19" s="259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9"/>
      <c r="AM19" s="258"/>
      <c r="AN19" s="258"/>
      <c r="AO19" s="258"/>
      <c r="AP19" s="258"/>
      <c r="AQ19" s="213"/>
      <c r="AR19" s="258"/>
      <c r="AS19" s="258"/>
      <c r="AT19" s="258"/>
      <c r="AU19" s="258"/>
      <c r="AV19" s="258"/>
      <c r="AW19" s="258"/>
      <c r="AX19" s="258"/>
      <c r="AY19" s="258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57"/>
      <c r="P21" s="257"/>
      <c r="Q21" s="257"/>
      <c r="R21" s="257"/>
      <c r="S21" s="258"/>
      <c r="T21" s="258"/>
      <c r="U21" s="258"/>
      <c r="V21" s="258"/>
      <c r="W21" s="259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9"/>
      <c r="AM21" s="258"/>
      <c r="AN21" s="258"/>
      <c r="AO21" s="258"/>
      <c r="AP21" s="258"/>
      <c r="AQ21" s="213"/>
      <c r="AR21" s="258"/>
      <c r="AS21" s="258"/>
      <c r="AT21" s="258"/>
      <c r="AU21" s="258"/>
      <c r="AV21" s="258"/>
      <c r="AW21" s="258"/>
      <c r="AX21" s="258"/>
      <c r="AY21" s="258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57"/>
      <c r="P22" s="257"/>
      <c r="Q22" s="257"/>
      <c r="R22" s="257"/>
      <c r="S22" s="258"/>
      <c r="T22" s="258"/>
      <c r="U22" s="258"/>
      <c r="V22" s="258"/>
      <c r="W22" s="259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9"/>
      <c r="AM22" s="258"/>
      <c r="AN22" s="258"/>
      <c r="AO22" s="258"/>
      <c r="AP22" s="258"/>
      <c r="AQ22" s="213"/>
      <c r="AR22" s="258"/>
      <c r="AS22" s="258"/>
      <c r="AT22" s="258"/>
      <c r="AU22" s="258"/>
      <c r="AV22" s="258"/>
      <c r="AW22" s="258"/>
      <c r="AX22" s="258"/>
      <c r="AY22" s="258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57"/>
      <c r="P23" s="257"/>
      <c r="Q23" s="257"/>
      <c r="R23" s="257"/>
      <c r="S23" s="258"/>
      <c r="T23" s="258"/>
      <c r="U23" s="258"/>
      <c r="V23" s="258"/>
      <c r="W23" s="259"/>
      <c r="X23" s="258"/>
      <c r="Y23" s="258"/>
      <c r="Z23" s="258"/>
      <c r="AA23" s="258"/>
      <c r="AB23" s="258"/>
      <c r="AC23" s="258"/>
      <c r="AD23" s="258"/>
      <c r="AE23" s="258"/>
      <c r="AF23" s="258"/>
      <c r="AG23" s="258"/>
      <c r="AH23" s="258"/>
      <c r="AI23" s="258"/>
      <c r="AJ23" s="258"/>
      <c r="AK23" s="258"/>
      <c r="AL23" s="259"/>
      <c r="AM23" s="258"/>
      <c r="AN23" s="258"/>
      <c r="AO23" s="258"/>
      <c r="AP23" s="258"/>
      <c r="AQ23" s="213"/>
      <c r="AR23" s="258"/>
      <c r="AS23" s="258"/>
      <c r="AT23" s="258"/>
      <c r="AU23" s="258"/>
      <c r="AV23" s="258"/>
      <c r="AW23" s="258"/>
      <c r="AX23" s="258"/>
      <c r="AY23" s="258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57"/>
      <c r="P24" s="257"/>
      <c r="Q24" s="257"/>
      <c r="R24" s="257"/>
      <c r="S24" s="258"/>
      <c r="T24" s="258"/>
      <c r="U24" s="258"/>
      <c r="V24" s="258"/>
      <c r="W24" s="259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9"/>
      <c r="AM24" s="258"/>
      <c r="AN24" s="258"/>
      <c r="AO24" s="258"/>
      <c r="AP24" s="258"/>
      <c r="AQ24" s="213"/>
      <c r="AR24" s="258"/>
      <c r="AS24" s="258"/>
      <c r="AT24" s="258"/>
      <c r="AU24" s="258"/>
      <c r="AV24" s="258"/>
      <c r="AW24" s="258"/>
      <c r="AX24" s="258"/>
      <c r="AY24" s="258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57"/>
      <c r="P25" s="257"/>
      <c r="Q25" s="257"/>
      <c r="R25" s="257"/>
      <c r="S25" s="258"/>
      <c r="T25" s="258"/>
      <c r="U25" s="258"/>
      <c r="V25" s="258"/>
      <c r="W25" s="259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9"/>
      <c r="AM25" s="258"/>
      <c r="AN25" s="258"/>
      <c r="AO25" s="258"/>
      <c r="AP25" s="258"/>
      <c r="AQ25" s="213"/>
      <c r="AR25" s="258"/>
      <c r="AS25" s="258"/>
      <c r="AT25" s="258"/>
      <c r="AU25" s="258"/>
      <c r="AV25" s="258"/>
      <c r="AW25" s="258"/>
      <c r="AX25" s="258"/>
      <c r="AY25" s="258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57"/>
      <c r="P26" s="257"/>
      <c r="Q26" s="257"/>
      <c r="R26" s="257"/>
      <c r="S26" s="258"/>
      <c r="T26" s="258"/>
      <c r="U26" s="258"/>
      <c r="V26" s="258"/>
      <c r="W26" s="259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9"/>
      <c r="AM26" s="258"/>
      <c r="AN26" s="258"/>
      <c r="AO26" s="258"/>
      <c r="AP26" s="258"/>
      <c r="AQ26" s="213"/>
      <c r="AR26" s="258"/>
      <c r="AS26" s="258"/>
      <c r="AT26" s="258"/>
      <c r="AU26" s="258"/>
      <c r="AV26" s="258"/>
      <c r="AW26" s="258"/>
      <c r="AX26" s="258"/>
      <c r="AY26" s="258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57"/>
      <c r="P27" s="257"/>
      <c r="Q27" s="257"/>
      <c r="R27" s="257"/>
      <c r="S27" s="258"/>
      <c r="T27" s="258"/>
      <c r="U27" s="258"/>
      <c r="V27" s="258"/>
      <c r="W27" s="259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9"/>
      <c r="AM27" s="258"/>
      <c r="AN27" s="258"/>
      <c r="AO27" s="258"/>
      <c r="AP27" s="258"/>
      <c r="AQ27" s="213"/>
      <c r="AR27" s="258"/>
      <c r="AS27" s="258"/>
      <c r="AT27" s="258"/>
      <c r="AU27" s="258"/>
      <c r="AV27" s="258"/>
      <c r="AW27" s="258"/>
      <c r="AX27" s="258"/>
      <c r="AY27" s="258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57"/>
      <c r="P28" s="257"/>
      <c r="Q28" s="257"/>
      <c r="R28" s="257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9"/>
      <c r="AM28" s="258"/>
      <c r="AN28" s="258"/>
      <c r="AO28" s="258"/>
      <c r="AP28" s="258"/>
      <c r="AQ28" s="213"/>
      <c r="AR28" s="258"/>
      <c r="AS28" s="258"/>
      <c r="AT28" s="258"/>
      <c r="AU28" s="258"/>
      <c r="AV28" s="258"/>
      <c r="AW28" s="258"/>
      <c r="AX28" s="258"/>
      <c r="AY28" s="258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57"/>
      <c r="P29" s="257"/>
      <c r="Q29" s="257"/>
      <c r="R29" s="257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9"/>
      <c r="AM29" s="258"/>
      <c r="AN29" s="258"/>
      <c r="AO29" s="258"/>
      <c r="AP29" s="258"/>
      <c r="AQ29" s="213"/>
      <c r="AR29" s="258"/>
      <c r="AS29" s="258"/>
      <c r="AT29" s="258"/>
      <c r="AU29" s="258"/>
      <c r="AV29" s="258"/>
      <c r="AW29" s="258"/>
      <c r="AX29" s="258"/>
      <c r="AY29" s="258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((((2*(8.65+0.4)+(2*6.95)))-(1))/60.3)</f>
        <v>0.514096185737977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57"/>
      <c r="P30" s="257"/>
      <c r="Q30" s="257"/>
      <c r="R30" s="257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9"/>
      <c r="AM30" s="258"/>
      <c r="AN30" s="258"/>
      <c r="AO30" s="258"/>
      <c r="AP30" s="258"/>
      <c r="AQ30" s="213"/>
      <c r="AR30" s="258"/>
      <c r="AS30" s="258"/>
      <c r="AT30" s="258"/>
      <c r="AU30" s="258"/>
      <c r="AV30" s="258"/>
      <c r="AW30" s="258"/>
      <c r="AX30" s="258"/>
      <c r="AY30" s="258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57"/>
      <c r="P31" s="257"/>
      <c r="Q31" s="257"/>
      <c r="R31" s="257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9"/>
      <c r="AM31" s="258"/>
      <c r="AN31" s="258"/>
      <c r="AO31" s="258"/>
      <c r="AP31" s="258"/>
      <c r="AQ31" s="213"/>
      <c r="AR31" s="258"/>
      <c r="AS31" s="258"/>
      <c r="AT31" s="258"/>
      <c r="AU31" s="258"/>
      <c r="AV31" s="258"/>
      <c r="AW31" s="258"/>
      <c r="AX31" s="258"/>
      <c r="AY31" s="258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57"/>
      <c r="P32" s="257"/>
      <c r="Q32" s="257"/>
      <c r="R32" s="257"/>
      <c r="S32" s="258"/>
      <c r="T32" s="258"/>
      <c r="U32" s="258"/>
      <c r="V32" s="258"/>
      <c r="W32" s="259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9"/>
      <c r="AM32" s="258"/>
      <c r="AN32" s="258"/>
      <c r="AO32" s="258"/>
      <c r="AP32" s="258"/>
      <c r="AQ32" s="213"/>
      <c r="AR32" s="258"/>
      <c r="AS32" s="258"/>
      <c r="AT32" s="258"/>
      <c r="AU32" s="258"/>
      <c r="AV32" s="258"/>
      <c r="AW32" s="258"/>
      <c r="AX32" s="258"/>
      <c r="AY32" s="258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57"/>
      <c r="P33" s="257"/>
      <c r="Q33" s="257"/>
      <c r="R33" s="257"/>
      <c r="S33" s="258"/>
      <c r="T33" s="258"/>
      <c r="U33" s="258"/>
      <c r="V33" s="258"/>
      <c r="W33" s="259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9"/>
      <c r="AM33" s="258"/>
      <c r="AN33" s="258"/>
      <c r="AO33" s="258"/>
      <c r="AP33" s="258"/>
      <c r="AQ33" s="213"/>
      <c r="AR33" s="258"/>
      <c r="AS33" s="258"/>
      <c r="AT33" s="258"/>
      <c r="AU33" s="258"/>
      <c r="AV33" s="258"/>
      <c r="AW33" s="258"/>
      <c r="AX33" s="258"/>
      <c r="AY33" s="258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57"/>
      <c r="P34" s="257"/>
      <c r="Q34" s="257"/>
      <c r="R34" s="257"/>
      <c r="S34" s="258"/>
      <c r="T34" s="258"/>
      <c r="U34" s="258"/>
      <c r="V34" s="258"/>
      <c r="W34" s="259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9"/>
      <c r="AM34" s="258"/>
      <c r="AN34" s="258"/>
      <c r="AO34" s="258"/>
      <c r="AP34" s="258"/>
      <c r="AQ34" s="213"/>
      <c r="AR34" s="258"/>
      <c r="AS34" s="258"/>
      <c r="AT34" s="258"/>
      <c r="AU34" s="258"/>
      <c r="AV34" s="258"/>
      <c r="AW34" s="258"/>
      <c r="AX34" s="258"/>
      <c r="AY34" s="258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1*2.1/60.3</f>
        <v>0.0348258706467662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00"/>
      <c r="P35" s="263"/>
      <c r="Q35" s="263"/>
      <c r="R35" s="263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  <c r="AC35" s="264"/>
      <c r="AD35" s="265"/>
      <c r="AE35" s="264"/>
      <c r="AF35" s="264"/>
      <c r="AG35" s="264"/>
      <c r="AH35" s="264"/>
      <c r="AI35" s="264"/>
      <c r="AJ35" s="264"/>
      <c r="AK35" s="264"/>
      <c r="AL35" s="261"/>
      <c r="AM35" s="264"/>
      <c r="AN35" s="264"/>
      <c r="AO35" s="264"/>
      <c r="AP35" s="264"/>
      <c r="AQ35" s="213"/>
      <c r="AR35" s="264"/>
      <c r="AS35" s="264"/>
      <c r="AT35" s="264"/>
      <c r="AU35" s="264"/>
      <c r="AV35" s="264"/>
      <c r="AW35" s="264"/>
      <c r="AX35" s="264"/>
      <c r="AY35" s="264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((3*2.8*1)+1)/60.3</f>
        <v>0.155887230514096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57"/>
      <c r="P36" s="257"/>
      <c r="Q36" s="257"/>
      <c r="R36" s="257"/>
      <c r="S36" s="258"/>
      <c r="T36" s="258"/>
      <c r="U36" s="258"/>
      <c r="V36" s="258"/>
      <c r="W36" s="259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9"/>
      <c r="AM36" s="258"/>
      <c r="AN36" s="258"/>
      <c r="AO36" s="258"/>
      <c r="AP36" s="258"/>
      <c r="AQ36" s="213"/>
      <c r="AR36" s="258"/>
      <c r="AS36" s="258"/>
      <c r="AT36" s="258"/>
      <c r="AU36" s="258"/>
      <c r="AV36" s="258"/>
      <c r="AW36" s="258"/>
      <c r="AX36" s="258"/>
      <c r="AY36" s="258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66"/>
      <c r="P37" s="267"/>
      <c r="Q37" s="267"/>
      <c r="R37" s="267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13"/>
      <c r="AR37" s="268"/>
      <c r="AS37" s="268"/>
      <c r="AT37" s="268"/>
      <c r="AU37" s="268"/>
      <c r="AV37" s="268"/>
      <c r="AW37" s="268"/>
      <c r="AX37" s="268"/>
      <c r="AY37" s="268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00"/>
      <c r="P38" s="200"/>
      <c r="Q38" s="200"/>
      <c r="R38" s="20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13"/>
      <c r="AR38" s="260"/>
      <c r="AS38" s="260"/>
      <c r="AT38" s="260"/>
      <c r="AU38" s="260"/>
      <c r="AV38" s="260"/>
      <c r="AW38" s="260"/>
      <c r="AX38" s="260"/>
      <c r="AY38" s="260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57"/>
      <c r="P39" s="257"/>
      <c r="Q39" s="257"/>
      <c r="R39" s="257"/>
      <c r="S39" s="258"/>
      <c r="T39" s="258"/>
      <c r="U39" s="258"/>
      <c r="V39" s="258"/>
      <c r="W39" s="259"/>
      <c r="X39" s="258"/>
      <c r="Y39" s="258"/>
      <c r="Z39" s="258"/>
      <c r="AA39" s="258"/>
      <c r="AB39" s="258"/>
      <c r="AC39" s="258"/>
      <c r="AD39" s="258"/>
      <c r="AE39" s="258"/>
      <c r="AF39" s="258"/>
      <c r="AG39" s="258"/>
      <c r="AH39" s="258"/>
      <c r="AI39" s="258"/>
      <c r="AJ39" s="258"/>
      <c r="AK39" s="258"/>
      <c r="AL39" s="259"/>
      <c r="AM39" s="258"/>
      <c r="AN39" s="258"/>
      <c r="AO39" s="258"/>
      <c r="AP39" s="258"/>
      <c r="AQ39" s="213"/>
      <c r="AR39" s="258"/>
      <c r="AS39" s="258"/>
      <c r="AT39" s="258"/>
      <c r="AU39" s="258"/>
      <c r="AV39" s="258"/>
      <c r="AW39" s="258"/>
      <c r="AX39" s="258"/>
      <c r="AY39" s="258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E19+E13</f>
        <v>2.01641791044776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57"/>
      <c r="P41" s="257"/>
      <c r="Q41" s="257"/>
      <c r="R41" s="257"/>
      <c r="S41" s="258"/>
      <c r="T41" s="258"/>
      <c r="U41" s="258"/>
      <c r="V41" s="258"/>
      <c r="W41" s="259"/>
      <c r="X41" s="258"/>
      <c r="Y41" s="258"/>
      <c r="Z41" s="258"/>
      <c r="AA41" s="258"/>
      <c r="AB41" s="258"/>
      <c r="AC41" s="258"/>
      <c r="AD41" s="258"/>
      <c r="AE41" s="258"/>
      <c r="AF41" s="258"/>
      <c r="AG41" s="258"/>
      <c r="AH41" s="258"/>
      <c r="AI41" s="258"/>
      <c r="AJ41" s="258"/>
      <c r="AK41" s="258"/>
      <c r="AL41" s="259"/>
      <c r="AM41" s="258"/>
      <c r="AN41" s="258"/>
      <c r="AO41" s="258"/>
      <c r="AP41" s="258"/>
      <c r="AQ41" s="213"/>
      <c r="AR41" s="258"/>
      <c r="AS41" s="258"/>
      <c r="AT41" s="258"/>
      <c r="AU41" s="258"/>
      <c r="AV41" s="258"/>
      <c r="AW41" s="258"/>
      <c r="AX41" s="258"/>
      <c r="AY41" s="258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((((2.8+2.8+(2*6.95/2))*3.3))/60.3)-E35-E36</f>
        <v>0.496102819237148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57"/>
      <c r="P42" s="257"/>
      <c r="Q42" s="257"/>
      <c r="R42" s="257"/>
      <c r="S42" s="258"/>
      <c r="T42" s="258"/>
      <c r="U42" s="258"/>
      <c r="V42" s="258"/>
      <c r="W42" s="259"/>
      <c r="X42" s="258"/>
      <c r="Y42" s="258"/>
      <c r="Z42" s="258"/>
      <c r="AA42" s="258"/>
      <c r="AB42" s="258"/>
      <c r="AC42" s="258"/>
      <c r="AD42" s="258"/>
      <c r="AE42" s="258"/>
      <c r="AF42" s="258"/>
      <c r="AG42" s="258"/>
      <c r="AH42" s="258"/>
      <c r="AI42" s="258"/>
      <c r="AJ42" s="258"/>
      <c r="AK42" s="258"/>
      <c r="AL42" s="259"/>
      <c r="AM42" s="258"/>
      <c r="AN42" s="258"/>
      <c r="AO42" s="258"/>
      <c r="AP42" s="258"/>
      <c r="AQ42" s="213"/>
      <c r="AR42" s="258"/>
      <c r="AS42" s="258"/>
      <c r="AT42" s="258"/>
      <c r="AU42" s="258"/>
      <c r="AV42" s="258"/>
      <c r="AW42" s="258"/>
      <c r="AX42" s="258"/>
      <c r="AY42" s="258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57"/>
      <c r="P44" s="257"/>
      <c r="Q44" s="257"/>
      <c r="R44" s="257"/>
      <c r="S44" s="258"/>
      <c r="T44" s="258"/>
      <c r="U44" s="258"/>
      <c r="V44" s="258"/>
      <c r="W44" s="259"/>
      <c r="X44" s="258"/>
      <c r="Y44" s="258"/>
      <c r="Z44" s="258"/>
      <c r="AA44" s="258"/>
      <c r="AB44" s="258"/>
      <c r="AC44" s="258"/>
      <c r="AD44" s="258"/>
      <c r="AE44" s="258"/>
      <c r="AF44" s="258"/>
      <c r="AG44" s="258"/>
      <c r="AH44" s="258"/>
      <c r="AI44" s="258"/>
      <c r="AJ44" s="258"/>
      <c r="AK44" s="258"/>
      <c r="AL44" s="259"/>
      <c r="AM44" s="258"/>
      <c r="AN44" s="258"/>
      <c r="AO44" s="258"/>
      <c r="AP44" s="258"/>
      <c r="AQ44" s="213"/>
      <c r="AR44" s="258"/>
      <c r="AS44" s="258"/>
      <c r="AT44" s="258"/>
      <c r="AU44" s="258"/>
      <c r="AV44" s="258"/>
      <c r="AW44" s="258"/>
      <c r="AX44" s="258"/>
      <c r="AY44" s="258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57"/>
      <c r="P45" s="257"/>
      <c r="Q45" s="257"/>
      <c r="R45" s="257"/>
      <c r="S45" s="258"/>
      <c r="T45" s="258"/>
      <c r="U45" s="258"/>
      <c r="V45" s="258"/>
      <c r="W45" s="259"/>
      <c r="X45" s="258"/>
      <c r="Y45" s="258"/>
      <c r="Z45" s="258"/>
      <c r="AA45" s="258"/>
      <c r="AB45" s="258"/>
      <c r="AC45" s="258"/>
      <c r="AD45" s="258"/>
      <c r="AE45" s="258"/>
      <c r="AF45" s="258"/>
      <c r="AG45" s="258"/>
      <c r="AH45" s="258"/>
      <c r="AI45" s="258"/>
      <c r="AJ45" s="258"/>
      <c r="AK45" s="258"/>
      <c r="AL45" s="259"/>
      <c r="AM45" s="258"/>
      <c r="AN45" s="258"/>
      <c r="AO45" s="258"/>
      <c r="AP45" s="258"/>
      <c r="AQ45" s="213"/>
      <c r="AR45" s="258"/>
      <c r="AS45" s="258"/>
      <c r="AT45" s="258"/>
      <c r="AU45" s="258"/>
      <c r="AV45" s="258"/>
      <c r="AW45" s="258"/>
      <c r="AX45" s="258"/>
      <c r="AY45" s="258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57"/>
      <c r="P46" s="257"/>
      <c r="Q46" s="257"/>
      <c r="R46" s="257"/>
      <c r="S46" s="258"/>
      <c r="T46" s="258"/>
      <c r="U46" s="258"/>
      <c r="V46" s="258"/>
      <c r="W46" s="259"/>
      <c r="X46" s="258"/>
      <c r="Y46" s="258"/>
      <c r="Z46" s="258"/>
      <c r="AA46" s="258"/>
      <c r="AB46" s="258"/>
      <c r="AC46" s="258"/>
      <c r="AD46" s="258"/>
      <c r="AE46" s="258"/>
      <c r="AF46" s="258"/>
      <c r="AG46" s="258"/>
      <c r="AH46" s="258"/>
      <c r="AI46" s="258"/>
      <c r="AJ46" s="258"/>
      <c r="AK46" s="258"/>
      <c r="AL46" s="259"/>
      <c r="AM46" s="258"/>
      <c r="AN46" s="258"/>
      <c r="AO46" s="258"/>
      <c r="AP46" s="258"/>
      <c r="AQ46" s="213"/>
      <c r="AR46" s="258"/>
      <c r="AS46" s="258"/>
      <c r="AT46" s="258"/>
      <c r="AU46" s="258"/>
      <c r="AV46" s="258"/>
      <c r="AW46" s="258"/>
      <c r="AX46" s="258"/>
      <c r="AY46" s="258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57"/>
      <c r="P47" s="257"/>
      <c r="Q47" s="257"/>
      <c r="R47" s="257"/>
      <c r="S47" s="258"/>
      <c r="T47" s="258"/>
      <c r="U47" s="258"/>
      <c r="V47" s="258"/>
      <c r="W47" s="259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9"/>
      <c r="AM47" s="258"/>
      <c r="AN47" s="258"/>
      <c r="AO47" s="258"/>
      <c r="AP47" s="258"/>
      <c r="AQ47" s="213"/>
      <c r="AR47" s="258"/>
      <c r="AS47" s="258"/>
      <c r="AT47" s="258"/>
      <c r="AU47" s="258"/>
      <c r="AV47" s="258"/>
      <c r="AW47" s="258"/>
      <c r="AX47" s="258"/>
      <c r="AY47" s="258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57"/>
      <c r="P48" s="257"/>
      <c r="Q48" s="257"/>
      <c r="R48" s="257"/>
      <c r="S48" s="258"/>
      <c r="T48" s="258"/>
      <c r="U48" s="258"/>
      <c r="V48" s="258"/>
      <c r="W48" s="259"/>
      <c r="X48" s="258"/>
      <c r="Y48" s="258"/>
      <c r="Z48" s="258"/>
      <c r="AA48" s="258"/>
      <c r="AB48" s="258"/>
      <c r="AC48" s="258"/>
      <c r="AD48" s="258"/>
      <c r="AE48" s="258"/>
      <c r="AF48" s="258"/>
      <c r="AG48" s="258"/>
      <c r="AH48" s="258"/>
      <c r="AI48" s="258"/>
      <c r="AJ48" s="258"/>
      <c r="AK48" s="258"/>
      <c r="AL48" s="259"/>
      <c r="AM48" s="258"/>
      <c r="AN48" s="258"/>
      <c r="AO48" s="258"/>
      <c r="AP48" s="258"/>
      <c r="AQ48" s="213"/>
      <c r="AR48" s="258"/>
      <c r="AS48" s="258"/>
      <c r="AT48" s="258"/>
      <c r="AU48" s="258"/>
      <c r="AV48" s="258"/>
      <c r="AW48" s="258"/>
      <c r="AX48" s="258"/>
      <c r="AY48" s="258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57"/>
      <c r="P49" s="257"/>
      <c r="Q49" s="257"/>
      <c r="R49" s="257"/>
      <c r="S49" s="258"/>
      <c r="T49" s="258"/>
      <c r="U49" s="258"/>
      <c r="V49" s="258"/>
      <c r="W49" s="269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9"/>
      <c r="AM49" s="258"/>
      <c r="AN49" s="258"/>
      <c r="AO49" s="258"/>
      <c r="AP49" s="258"/>
      <c r="AQ49" s="213"/>
      <c r="AR49" s="258"/>
      <c r="AS49" s="258"/>
      <c r="AT49" s="258"/>
      <c r="AU49" s="258"/>
      <c r="AV49" s="258"/>
      <c r="AW49" s="258"/>
      <c r="AX49" s="258"/>
      <c r="AY49" s="258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57"/>
      <c r="P50" s="257"/>
      <c r="Q50" s="257"/>
      <c r="R50" s="257"/>
      <c r="S50" s="258"/>
      <c r="T50" s="258"/>
      <c r="U50" s="258"/>
      <c r="V50" s="258"/>
      <c r="W50" s="269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9"/>
      <c r="AM50" s="258"/>
      <c r="AN50" s="258"/>
      <c r="AO50" s="258"/>
      <c r="AP50" s="258"/>
      <c r="AQ50" s="213"/>
      <c r="AR50" s="258"/>
      <c r="AS50" s="258"/>
      <c r="AT50" s="258"/>
      <c r="AU50" s="258"/>
      <c r="AV50" s="258"/>
      <c r="AW50" s="258"/>
      <c r="AX50" s="258"/>
      <c r="AY50" s="258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57"/>
      <c r="P51" s="257"/>
      <c r="Q51" s="257"/>
      <c r="R51" s="257"/>
      <c r="S51" s="258"/>
      <c r="T51" s="258"/>
      <c r="U51" s="258"/>
      <c r="V51" s="258"/>
      <c r="W51" s="269"/>
      <c r="X51" s="258"/>
      <c r="Y51" s="258"/>
      <c r="Z51" s="258"/>
      <c r="AA51" s="258"/>
      <c r="AB51" s="258"/>
      <c r="AC51" s="258"/>
      <c r="AD51" s="258"/>
      <c r="AE51" s="258"/>
      <c r="AF51" s="258"/>
      <c r="AG51" s="258"/>
      <c r="AH51" s="258"/>
      <c r="AI51" s="258"/>
      <c r="AJ51" s="258"/>
      <c r="AK51" s="258"/>
      <c r="AL51" s="259"/>
      <c r="AM51" s="258"/>
      <c r="AN51" s="258"/>
      <c r="AO51" s="258"/>
      <c r="AP51" s="258"/>
      <c r="AQ51" s="213"/>
      <c r="AR51" s="258"/>
      <c r="AS51" s="258"/>
      <c r="AT51" s="258"/>
      <c r="AU51" s="258"/>
      <c r="AV51" s="258"/>
      <c r="AW51" s="258"/>
      <c r="AX51" s="258"/>
      <c r="AY51" s="258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57"/>
      <c r="P52" s="257"/>
      <c r="Q52" s="257"/>
      <c r="R52" s="257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13"/>
      <c r="AR52" s="258"/>
      <c r="AS52" s="258"/>
      <c r="AT52" s="258"/>
      <c r="AU52" s="258"/>
      <c r="AV52" s="258"/>
      <c r="AW52" s="258"/>
      <c r="AX52" s="258"/>
      <c r="AY52" s="258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57"/>
      <c r="P53" s="257"/>
      <c r="Q53" s="257"/>
      <c r="R53" s="257"/>
      <c r="S53" s="258"/>
      <c r="T53" s="258"/>
      <c r="U53" s="258"/>
      <c r="V53" s="258"/>
      <c r="W53" s="259"/>
      <c r="X53" s="258"/>
      <c r="Y53" s="258"/>
      <c r="Z53" s="258"/>
      <c r="AA53" s="258"/>
      <c r="AB53" s="258"/>
      <c r="AC53" s="258"/>
      <c r="AD53" s="258"/>
      <c r="AE53" s="258"/>
      <c r="AF53" s="258"/>
      <c r="AG53" s="258"/>
      <c r="AH53" s="258"/>
      <c r="AI53" s="258"/>
      <c r="AJ53" s="258"/>
      <c r="AK53" s="258"/>
      <c r="AL53" s="259"/>
      <c r="AM53" s="258"/>
      <c r="AN53" s="258"/>
      <c r="AO53" s="258"/>
      <c r="AP53" s="258"/>
      <c r="AQ53" s="213"/>
      <c r="AR53" s="258"/>
      <c r="AS53" s="258"/>
      <c r="AT53" s="258"/>
      <c r="AU53" s="258"/>
      <c r="AV53" s="258"/>
      <c r="AW53" s="258"/>
      <c r="AX53" s="258"/>
      <c r="AY53" s="258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57"/>
      <c r="P54" s="257"/>
      <c r="Q54" s="257"/>
      <c r="R54" s="257"/>
      <c r="S54" s="258"/>
      <c r="T54" s="258"/>
      <c r="U54" s="258"/>
      <c r="V54" s="258"/>
      <c r="W54" s="259"/>
      <c r="X54" s="258"/>
      <c r="Y54" s="258"/>
      <c r="Z54" s="258"/>
      <c r="AA54" s="258"/>
      <c r="AB54" s="258"/>
      <c r="AC54" s="258"/>
      <c r="AD54" s="258"/>
      <c r="AE54" s="258"/>
      <c r="AF54" s="258"/>
      <c r="AG54" s="258"/>
      <c r="AH54" s="258"/>
      <c r="AI54" s="258"/>
      <c r="AJ54" s="258"/>
      <c r="AK54" s="258"/>
      <c r="AL54" s="259"/>
      <c r="AM54" s="258"/>
      <c r="AN54" s="258"/>
      <c r="AO54" s="258"/>
      <c r="AP54" s="258"/>
      <c r="AQ54" s="213"/>
      <c r="AR54" s="258"/>
      <c r="AS54" s="258"/>
      <c r="AT54" s="258"/>
      <c r="AU54" s="258"/>
      <c r="AV54" s="258"/>
      <c r="AW54" s="258"/>
      <c r="AX54" s="258"/>
      <c r="AY54" s="258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57"/>
      <c r="P55" s="257"/>
      <c r="Q55" s="257"/>
      <c r="R55" s="257"/>
      <c r="S55" s="258"/>
      <c r="T55" s="258"/>
      <c r="U55" s="258"/>
      <c r="V55" s="258"/>
      <c r="W55" s="259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9"/>
      <c r="AM55" s="258"/>
      <c r="AN55" s="258"/>
      <c r="AO55" s="258"/>
      <c r="AP55" s="258"/>
      <c r="AQ55" s="213"/>
      <c r="AR55" s="258"/>
      <c r="AS55" s="258"/>
      <c r="AT55" s="258"/>
      <c r="AU55" s="258"/>
      <c r="AV55" s="258"/>
      <c r="AW55" s="258"/>
      <c r="AX55" s="258"/>
      <c r="AY55" s="258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57"/>
      <c r="P56" s="257"/>
      <c r="Q56" s="257"/>
      <c r="R56" s="257"/>
      <c r="S56" s="258"/>
      <c r="T56" s="258"/>
      <c r="U56" s="258"/>
      <c r="V56" s="258"/>
      <c r="W56" s="259"/>
      <c r="X56" s="258"/>
      <c r="Y56" s="258"/>
      <c r="Z56" s="258"/>
      <c r="AA56" s="258"/>
      <c r="AB56" s="258"/>
      <c r="AC56" s="258"/>
      <c r="AD56" s="258"/>
      <c r="AE56" s="258"/>
      <c r="AF56" s="258"/>
      <c r="AG56" s="258"/>
      <c r="AH56" s="258"/>
      <c r="AI56" s="258"/>
      <c r="AJ56" s="258"/>
      <c r="AK56" s="258"/>
      <c r="AL56" s="259"/>
      <c r="AM56" s="258"/>
      <c r="AN56" s="258"/>
      <c r="AO56" s="258"/>
      <c r="AP56" s="258"/>
      <c r="AQ56" s="213"/>
      <c r="AR56" s="258"/>
      <c r="AS56" s="258"/>
      <c r="AT56" s="258"/>
      <c r="AU56" s="258"/>
      <c r="AV56" s="258"/>
      <c r="AW56" s="258"/>
      <c r="AX56" s="258"/>
      <c r="AY56" s="258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57"/>
      <c r="P57" s="257"/>
      <c r="Q57" s="257"/>
      <c r="R57" s="257"/>
      <c r="S57" s="258"/>
      <c r="T57" s="258"/>
      <c r="U57" s="258"/>
      <c r="V57" s="258"/>
      <c r="W57" s="259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9"/>
      <c r="AM57" s="258"/>
      <c r="AN57" s="258"/>
      <c r="AO57" s="258"/>
      <c r="AP57" s="258"/>
      <c r="AQ57" s="213"/>
      <c r="AR57" s="258"/>
      <c r="AS57" s="258"/>
      <c r="AT57" s="258"/>
      <c r="AU57" s="258"/>
      <c r="AV57" s="258"/>
      <c r="AW57" s="258"/>
      <c r="AX57" s="258"/>
      <c r="AY57" s="258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23/60.3</f>
        <v>0.381426202321725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57"/>
      <c r="P59" s="257"/>
      <c r="Q59" s="257"/>
      <c r="R59" s="257"/>
      <c r="S59" s="258"/>
      <c r="T59" s="258"/>
      <c r="U59" s="258"/>
      <c r="V59" s="258"/>
      <c r="W59" s="259"/>
      <c r="X59" s="258"/>
      <c r="Y59" s="258"/>
      <c r="Z59" s="258"/>
      <c r="AA59" s="258"/>
      <c r="AB59" s="258"/>
      <c r="AC59" s="258"/>
      <c r="AD59" s="258"/>
      <c r="AE59" s="258"/>
      <c r="AF59" s="258"/>
      <c r="AG59" s="258"/>
      <c r="AH59" s="258"/>
      <c r="AI59" s="258"/>
      <c r="AJ59" s="258"/>
      <c r="AK59" s="258"/>
      <c r="AL59" s="259"/>
      <c r="AM59" s="258"/>
      <c r="AN59" s="258"/>
      <c r="AO59" s="258"/>
      <c r="AP59" s="258"/>
      <c r="AQ59" s="213"/>
      <c r="AR59" s="258"/>
      <c r="AS59" s="258"/>
      <c r="AT59" s="258"/>
      <c r="AU59" s="258"/>
      <c r="AV59" s="258"/>
      <c r="AW59" s="258"/>
      <c r="AX59" s="258"/>
      <c r="AY59" s="258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23/60.3</f>
        <v>0.381426202321725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57"/>
      <c r="P60" s="257"/>
      <c r="Q60" s="257"/>
      <c r="R60" s="257"/>
      <c r="S60" s="258"/>
      <c r="T60" s="258"/>
      <c r="U60" s="258"/>
      <c r="V60" s="258"/>
      <c r="W60" s="259"/>
      <c r="X60" s="258"/>
      <c r="Y60" s="258"/>
      <c r="Z60" s="258"/>
      <c r="AA60" s="258"/>
      <c r="AB60" s="258"/>
      <c r="AC60" s="258"/>
      <c r="AD60" s="258"/>
      <c r="AE60" s="258"/>
      <c r="AF60" s="258"/>
      <c r="AG60" s="258"/>
      <c r="AH60" s="258"/>
      <c r="AI60" s="258"/>
      <c r="AJ60" s="258"/>
      <c r="AK60" s="258"/>
      <c r="AL60" s="259"/>
      <c r="AM60" s="258"/>
      <c r="AN60" s="258"/>
      <c r="AO60" s="258"/>
      <c r="AP60" s="258"/>
      <c r="AQ60" s="213"/>
      <c r="AR60" s="258"/>
      <c r="AS60" s="258"/>
      <c r="AT60" s="258"/>
      <c r="AU60" s="258"/>
      <c r="AV60" s="258"/>
      <c r="AW60" s="258"/>
      <c r="AX60" s="258"/>
      <c r="AY60" s="258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23/60.3</f>
        <v>0.381426202321725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57"/>
      <c r="P61" s="257"/>
      <c r="Q61" s="257"/>
      <c r="R61" s="257"/>
      <c r="S61" s="258"/>
      <c r="T61" s="258"/>
      <c r="U61" s="258"/>
      <c r="V61" s="258"/>
      <c r="W61" s="259"/>
      <c r="X61" s="258"/>
      <c r="Y61" s="258"/>
      <c r="Z61" s="258"/>
      <c r="AA61" s="258"/>
      <c r="AB61" s="258"/>
      <c r="AC61" s="258"/>
      <c r="AD61" s="258"/>
      <c r="AE61" s="258"/>
      <c r="AF61" s="258"/>
      <c r="AG61" s="258"/>
      <c r="AH61" s="258"/>
      <c r="AI61" s="258"/>
      <c r="AJ61" s="258"/>
      <c r="AK61" s="258"/>
      <c r="AL61" s="259"/>
      <c r="AM61" s="258"/>
      <c r="AN61" s="258"/>
      <c r="AO61" s="258"/>
      <c r="AP61" s="258"/>
      <c r="AQ61" s="213"/>
      <c r="AR61" s="258"/>
      <c r="AS61" s="258"/>
      <c r="AT61" s="258"/>
      <c r="AU61" s="258"/>
      <c r="AV61" s="258"/>
      <c r="AW61" s="258"/>
      <c r="AX61" s="258"/>
      <c r="AY61" s="258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57"/>
      <c r="P62" s="257"/>
      <c r="Q62" s="257"/>
      <c r="R62" s="257"/>
      <c r="S62" s="258"/>
      <c r="T62" s="258"/>
      <c r="U62" s="258"/>
      <c r="V62" s="258"/>
      <c r="W62" s="259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9"/>
      <c r="AM62" s="258"/>
      <c r="AN62" s="258"/>
      <c r="AO62" s="258"/>
      <c r="AP62" s="258"/>
      <c r="AQ62" s="213"/>
      <c r="AR62" s="258"/>
      <c r="AS62" s="258"/>
      <c r="AT62" s="258"/>
      <c r="AU62" s="258"/>
      <c r="AV62" s="258"/>
      <c r="AW62" s="258"/>
      <c r="AX62" s="258"/>
      <c r="AY62" s="258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6/62.5</f>
        <v>0.096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57"/>
      <c r="P64" s="257"/>
      <c r="Q64" s="257"/>
      <c r="R64" s="257"/>
      <c r="S64" s="258"/>
      <c r="T64" s="258"/>
      <c r="U64" s="258"/>
      <c r="V64" s="258"/>
      <c r="W64" s="259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9"/>
      <c r="AM64" s="258"/>
      <c r="AN64" s="258"/>
      <c r="AO64" s="258"/>
      <c r="AP64" s="258"/>
      <c r="AQ64" s="213"/>
      <c r="AR64" s="258"/>
      <c r="AS64" s="258"/>
      <c r="AT64" s="258"/>
      <c r="AU64" s="258"/>
      <c r="AV64" s="258"/>
      <c r="AW64" s="258"/>
      <c r="AX64" s="258"/>
      <c r="AY64" s="258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6/62.5</f>
        <v>0.096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57"/>
      <c r="P65" s="257"/>
      <c r="Q65" s="257"/>
      <c r="R65" s="257"/>
      <c r="S65" s="258"/>
      <c r="T65" s="258"/>
      <c r="U65" s="258"/>
      <c r="V65" s="258"/>
      <c r="W65" s="259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9"/>
      <c r="AM65" s="258"/>
      <c r="AN65" s="258"/>
      <c r="AO65" s="258"/>
      <c r="AP65" s="258"/>
      <c r="AQ65" s="213"/>
      <c r="AR65" s="258"/>
      <c r="AS65" s="258"/>
      <c r="AT65" s="258"/>
      <c r="AU65" s="258"/>
      <c r="AV65" s="258"/>
      <c r="AW65" s="258"/>
      <c r="AX65" s="258"/>
      <c r="AY65" s="258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57"/>
      <c r="P66" s="257"/>
      <c r="Q66" s="257"/>
      <c r="R66" s="257"/>
      <c r="S66" s="258"/>
      <c r="T66" s="258"/>
      <c r="U66" s="258"/>
      <c r="V66" s="258"/>
      <c r="W66" s="259"/>
      <c r="X66" s="258"/>
      <c r="Y66" s="258"/>
      <c r="Z66" s="258"/>
      <c r="AA66" s="258"/>
      <c r="AB66" s="258"/>
      <c r="AC66" s="258"/>
      <c r="AD66" s="258"/>
      <c r="AE66" s="258"/>
      <c r="AF66" s="258"/>
      <c r="AG66" s="258"/>
      <c r="AH66" s="258"/>
      <c r="AI66" s="258"/>
      <c r="AJ66" s="258"/>
      <c r="AK66" s="258"/>
      <c r="AL66" s="259"/>
      <c r="AM66" s="258"/>
      <c r="AN66" s="258"/>
      <c r="AO66" s="258"/>
      <c r="AP66" s="258"/>
      <c r="AQ66" s="213"/>
      <c r="AR66" s="258"/>
      <c r="AS66" s="258"/>
      <c r="AT66" s="258"/>
      <c r="AU66" s="258"/>
      <c r="AV66" s="258"/>
      <c r="AW66" s="258"/>
      <c r="AX66" s="258"/>
      <c r="AY66" s="258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57"/>
      <c r="P67" s="257"/>
      <c r="Q67" s="257"/>
      <c r="R67" s="257"/>
      <c r="S67" s="258"/>
      <c r="T67" s="258"/>
      <c r="U67" s="258"/>
      <c r="V67" s="258"/>
      <c r="W67" s="259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9"/>
      <c r="AM67" s="258"/>
      <c r="AN67" s="258"/>
      <c r="AO67" s="258"/>
      <c r="AP67" s="258"/>
      <c r="AQ67" s="213"/>
      <c r="AR67" s="258"/>
      <c r="AS67" s="258"/>
      <c r="AT67" s="258"/>
      <c r="AU67" s="258"/>
      <c r="AV67" s="258"/>
      <c r="AW67" s="258"/>
      <c r="AX67" s="258"/>
      <c r="AY67" s="258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57"/>
      <c r="P68" s="257"/>
      <c r="Q68" s="257"/>
      <c r="R68" s="257"/>
      <c r="S68" s="258"/>
      <c r="T68" s="258"/>
      <c r="U68" s="258"/>
      <c r="V68" s="258"/>
      <c r="W68" s="258"/>
      <c r="X68" s="258"/>
      <c r="Y68" s="258"/>
      <c r="Z68" s="258"/>
      <c r="AA68" s="258"/>
      <c r="AB68" s="258"/>
      <c r="AC68" s="258"/>
      <c r="AD68" s="258"/>
      <c r="AE68" s="258"/>
      <c r="AF68" s="258"/>
      <c r="AG68" s="258"/>
      <c r="AH68" s="258"/>
      <c r="AI68" s="258"/>
      <c r="AJ68" s="258"/>
      <c r="AK68" s="258"/>
      <c r="AL68" s="258"/>
      <c r="AM68" s="258"/>
      <c r="AN68" s="258"/>
      <c r="AO68" s="258"/>
      <c r="AP68" s="258"/>
      <c r="AQ68" s="213"/>
      <c r="AR68" s="258"/>
      <c r="AS68" s="258"/>
      <c r="AT68" s="258"/>
      <c r="AU68" s="258"/>
      <c r="AV68" s="258"/>
      <c r="AW68" s="258"/>
      <c r="AX68" s="258"/>
      <c r="AY68" s="258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57"/>
      <c r="P69" s="257"/>
      <c r="Q69" s="257"/>
      <c r="R69" s="257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8"/>
      <c r="AD69" s="258"/>
      <c r="AE69" s="258"/>
      <c r="AF69" s="258"/>
      <c r="AG69" s="258"/>
      <c r="AH69" s="258"/>
      <c r="AI69" s="258"/>
      <c r="AJ69" s="258"/>
      <c r="AK69" s="258"/>
      <c r="AL69" s="258"/>
      <c r="AM69" s="258"/>
      <c r="AN69" s="258"/>
      <c r="AO69" s="258"/>
      <c r="AP69" s="258"/>
      <c r="AQ69" s="213"/>
      <c r="AR69" s="258"/>
      <c r="AS69" s="258"/>
      <c r="AT69" s="258"/>
      <c r="AU69" s="258"/>
      <c r="AV69" s="258"/>
      <c r="AW69" s="258"/>
      <c r="AX69" s="258"/>
      <c r="AY69" s="258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57"/>
      <c r="P70" s="257"/>
      <c r="Q70" s="257"/>
      <c r="R70" s="257"/>
      <c r="S70" s="258"/>
      <c r="T70" s="258"/>
      <c r="U70" s="258"/>
      <c r="V70" s="258"/>
      <c r="W70" s="258"/>
      <c r="X70" s="258"/>
      <c r="Y70" s="258"/>
      <c r="Z70" s="258"/>
      <c r="AA70" s="258"/>
      <c r="AB70" s="258"/>
      <c r="AC70" s="258"/>
      <c r="AD70" s="258"/>
      <c r="AE70" s="258"/>
      <c r="AF70" s="258"/>
      <c r="AG70" s="258"/>
      <c r="AH70" s="258"/>
      <c r="AI70" s="258"/>
      <c r="AJ70" s="258"/>
      <c r="AK70" s="258"/>
      <c r="AL70" s="258"/>
      <c r="AM70" s="258"/>
      <c r="AN70" s="258"/>
      <c r="AO70" s="258"/>
      <c r="AP70" s="258"/>
      <c r="AQ70" s="213"/>
      <c r="AR70" s="258"/>
      <c r="AS70" s="258"/>
      <c r="AT70" s="258"/>
      <c r="AU70" s="258"/>
      <c r="AV70" s="258"/>
      <c r="AW70" s="258"/>
      <c r="AX70" s="258"/>
      <c r="AY70" s="258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57"/>
      <c r="P71" s="257"/>
      <c r="Q71" s="257"/>
      <c r="R71" s="257"/>
      <c r="S71" s="258"/>
      <c r="T71" s="258"/>
      <c r="U71" s="258"/>
      <c r="V71" s="258"/>
      <c r="W71" s="258"/>
      <c r="X71" s="258"/>
      <c r="Y71" s="258"/>
      <c r="Z71" s="258"/>
      <c r="AA71" s="258"/>
      <c r="AB71" s="258"/>
      <c r="AC71" s="258"/>
      <c r="AD71" s="258"/>
      <c r="AE71" s="258"/>
      <c r="AF71" s="258"/>
      <c r="AG71" s="258"/>
      <c r="AH71" s="258"/>
      <c r="AI71" s="258"/>
      <c r="AJ71" s="258"/>
      <c r="AK71" s="258"/>
      <c r="AL71" s="258"/>
      <c r="AM71" s="258"/>
      <c r="AN71" s="258"/>
      <c r="AO71" s="258"/>
      <c r="AP71" s="258"/>
      <c r="AQ71" s="213"/>
      <c r="AR71" s="258"/>
      <c r="AS71" s="258"/>
      <c r="AT71" s="258"/>
      <c r="AU71" s="258"/>
      <c r="AV71" s="258"/>
      <c r="AW71" s="258"/>
      <c r="AX71" s="258"/>
      <c r="AY71" s="258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57"/>
      <c r="P72" s="257"/>
      <c r="Q72" s="257"/>
      <c r="R72" s="257"/>
      <c r="S72" s="258"/>
      <c r="T72" s="258"/>
      <c r="U72" s="258"/>
      <c r="V72" s="258"/>
      <c r="W72" s="258"/>
      <c r="X72" s="258"/>
      <c r="Y72" s="258"/>
      <c r="Z72" s="258"/>
      <c r="AA72" s="258"/>
      <c r="AB72" s="258"/>
      <c r="AC72" s="258"/>
      <c r="AD72" s="258"/>
      <c r="AE72" s="258"/>
      <c r="AF72" s="213"/>
      <c r="AG72" s="258"/>
      <c r="AH72" s="258"/>
      <c r="AI72" s="258"/>
      <c r="AJ72" s="258"/>
      <c r="AK72" s="258"/>
      <c r="AL72" s="213"/>
      <c r="AM72" s="258"/>
      <c r="AN72" s="258"/>
      <c r="AO72" s="258"/>
      <c r="AP72" s="258"/>
      <c r="AQ72" s="213"/>
      <c r="AR72" s="258"/>
      <c r="AS72" s="258"/>
      <c r="AT72" s="258"/>
      <c r="AU72" s="258"/>
      <c r="AV72" s="258"/>
      <c r="AW72" s="258"/>
      <c r="AX72" s="258"/>
      <c r="AY72" s="258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57"/>
      <c r="P73" s="257"/>
      <c r="Q73" s="257"/>
      <c r="R73" s="257"/>
      <c r="S73" s="258"/>
      <c r="T73" s="258"/>
      <c r="U73" s="258"/>
      <c r="V73" s="258"/>
      <c r="W73" s="258"/>
      <c r="X73" s="258"/>
      <c r="Y73" s="258"/>
      <c r="Z73" s="258"/>
      <c r="AA73" s="258"/>
      <c r="AB73" s="258"/>
      <c r="AC73" s="213"/>
      <c r="AD73" s="258"/>
      <c r="AE73" s="213"/>
      <c r="AF73" s="213"/>
      <c r="AG73" s="258"/>
      <c r="AH73" s="258"/>
      <c r="AI73" s="258"/>
      <c r="AJ73" s="258"/>
      <c r="AK73" s="258"/>
      <c r="AL73" s="213"/>
      <c r="AM73" s="258"/>
      <c r="AN73" s="213"/>
      <c r="AO73" s="258"/>
      <c r="AP73" s="258"/>
      <c r="AQ73" s="213"/>
      <c r="AR73" s="258"/>
      <c r="AS73" s="258"/>
      <c r="AT73" s="258"/>
      <c r="AU73" s="258"/>
      <c r="AV73" s="213"/>
      <c r="AW73" s="258"/>
      <c r="AX73" s="213"/>
      <c r="AY73" s="258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70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71"/>
      <c r="AS74" s="271"/>
      <c r="AT74" s="213"/>
      <c r="AU74" s="213"/>
      <c r="AV74" s="213"/>
      <c r="AW74" s="213"/>
      <c r="AX74" s="213"/>
      <c r="AY74" s="270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58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59"/>
      <c r="AT75" s="213"/>
      <c r="AU75" s="213"/>
      <c r="AV75" s="213"/>
      <c r="AW75" s="213"/>
      <c r="AX75" s="213"/>
      <c r="AY75" s="258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58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59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58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59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58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59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58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59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58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59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58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59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58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59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58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59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'!D34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((4.4/2+1.05)*3+(2.8*1))/8.8</f>
        <v>1.42613636363636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1.95*3/8.8</f>
        <v>0.664772727272727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E7+((1.05*3)/8.8)</f>
        <v>1.02272727272727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((1.05+1.8+2.2)*3+(2.8*1))/8.8</f>
        <v>2.03977272727273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0.9*2.1/8.8</f>
        <v>0.214772727272727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 t="n">
        <f aca="false">((4+3)*3)/12</f>
        <v>1.75</v>
      </c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6.09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1.02272727272727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1/8.8</f>
        <v>0.113636363636364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f aca="false">1/8.8</f>
        <v>0.113636363636364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1/8.8</f>
        <v>0.113636363636364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1/8.8</f>
        <v>0.113636363636364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1/8.8</f>
        <v>0.113636363636364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1/8.8</f>
        <v>0.113636363636364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1/8.8</f>
        <v>0.113636363636364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8/8.8</f>
        <v>0.909090909090909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8/8.8</f>
        <v>0.909090909090909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8/8.8</f>
        <v>0.909090909090909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f aca="false">1/8.8</f>
        <v>0.113636363636364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f aca="false">1/8.8</f>
        <v>0.113636363636364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'!D35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((((6.95/2)+2.8+2.8+1.4+4.4)+3)-(0.75*2.1))/45</f>
        <v>0.362222222222222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((6.95/2)*3)/45</f>
        <v>0.231666666666667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 t="n">
        <f aca="false">((2*6.95*3)+(2*(2.8)*3))/45</f>
        <v>1.3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((((2.8*2)+6.95)*3.3)-(0.75*2.1))/45</f>
        <v>0.885333333333333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 t="n">
        <v>1</v>
      </c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2*2.1/45</f>
        <v>0.0933333333333333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E19+E13</f>
        <v>2.3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0.885333333333333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/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/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6/45</f>
        <v>0.133333333333333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6/45</f>
        <v>0.133333333333333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6/45</f>
        <v>0.133333333333333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f aca="false">(30/10)/45</f>
        <v>0.0666666666666667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f aca="false">(30/10)/45</f>
        <v>0.0666666666666667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'!D36</f>
        <v>10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30096.9955915179</v>
      </c>
      <c r="L4" s="159" t="s">
        <v>1373</v>
      </c>
      <c r="M4" s="256" t="n">
        <f aca="false">J4/M2</f>
        <v>3009.69955915179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(((4.8+2.05+2.8)*3)-2.8)/20.7</f>
        <v>1.26328502415459</v>
      </c>
      <c r="F6" s="231" t="s">
        <v>132</v>
      </c>
      <c r="G6" s="76" t="n">
        <f aca="false">E6*$M$2</f>
        <v>12.6328502415459</v>
      </c>
      <c r="H6" s="30" t="n">
        <f aca="false">'APUS ARQUITECTURA'!J5</f>
        <v>140.28</v>
      </c>
      <c r="I6" s="1" t="n">
        <f aca="false">G6*H6</f>
        <v>1772.13623188406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((6.95+2.4)*3)/20.7</f>
        <v>1.35507246376812</v>
      </c>
      <c r="F7" s="231" t="s">
        <v>132</v>
      </c>
      <c r="G7" s="76" t="n">
        <f aca="false">E7*$M$2</f>
        <v>13.5507246376812</v>
      </c>
      <c r="H7" s="30" t="n">
        <f aca="false">'APUS ARQUITECTURA'!J32</f>
        <v>166.45</v>
      </c>
      <c r="I7" s="1" t="n">
        <f aca="false">G7*H7</f>
        <v>2255.51811594203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((2.14+0.25+0.6)*1.9)/20.7</f>
        <v>0.274444444444444</v>
      </c>
      <c r="F9" s="231" t="s">
        <v>132</v>
      </c>
      <c r="G9" s="76" t="n">
        <f aca="false">E9*$M$2</f>
        <v>2.74444444444444</v>
      </c>
      <c r="H9" s="30" t="n">
        <f aca="false">'APUS ARQUITECTURA'!J74</f>
        <v>204.42</v>
      </c>
      <c r="I9" s="1" t="n">
        <f aca="false">G9*H9</f>
        <v>561.019333333333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(2*1.5*0.6)/20.7</f>
        <v>0.0869565217391304</v>
      </c>
      <c r="F10" s="231" t="s">
        <v>132</v>
      </c>
      <c r="G10" s="76" t="n">
        <f aca="false">E10*$M$2</f>
        <v>0.869565217391304</v>
      </c>
      <c r="H10" s="30" t="n">
        <f aca="false">'APUS ARQUITECTURA'!J92</f>
        <v>470.89</v>
      </c>
      <c r="I10" s="1" t="n">
        <f aca="false">G10*H10</f>
        <v>409.469565217391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((2.8*3.3)-2.8)/20.7</f>
        <v>0.311111111111111</v>
      </c>
      <c r="F14" s="1" t="s">
        <v>132</v>
      </c>
      <c r="G14" s="76" t="n">
        <f aca="false">E14*$M$2</f>
        <v>3.11111111111111</v>
      </c>
      <c r="H14" s="30" t="n">
        <f aca="false">'APUS ARQUITECTURA'!J148</f>
        <v>36.09</v>
      </c>
      <c r="I14" s="1" t="n">
        <f aca="false">G14*H14</f>
        <v>112.28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E7+E6</f>
        <v>2.61835748792271</v>
      </c>
      <c r="F16" s="1" t="s">
        <v>132</v>
      </c>
      <c r="G16" s="76" t="n">
        <f aca="false">E16*$M$2</f>
        <v>26.1835748792271</v>
      </c>
      <c r="H16" s="30" t="n">
        <f aca="false">'APUS ARQUITECTURA'!J168</f>
        <v>90.83</v>
      </c>
      <c r="I16" s="1" t="n">
        <f aca="false">G16*H16</f>
        <v>2378.25410628019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10</v>
      </c>
      <c r="H19" s="30" t="n">
        <f aca="false">'APUS ARQUITECTURA'!J212</f>
        <v>61.77</v>
      </c>
      <c r="I19" s="1" t="n">
        <f aca="false">G19*H19</f>
        <v>617.7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10</v>
      </c>
      <c r="H21" s="30" t="n">
        <f aca="false">'APUS ARQUITECTURA'!J232</f>
        <v>49.7</v>
      </c>
      <c r="I21" s="1" t="n">
        <f aca="false">G21*H21</f>
        <v>497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10</v>
      </c>
      <c r="H23" s="30" t="n">
        <f aca="false">'APUS ARQUITECTURA'!J272</f>
        <v>102.66</v>
      </c>
      <c r="I23" s="1" t="n">
        <f aca="false">G23*H23</f>
        <v>1026.6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4.09677419354839</v>
      </c>
      <c r="H29" s="30" t="n">
        <f aca="false">'APUS ARQUITECTURA'!J364</f>
        <v>26.69</v>
      </c>
      <c r="I29" s="1" t="n">
        <f aca="false">G29*H29</f>
        <v>109.342903225806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3.95</v>
      </c>
      <c r="H33" s="30" t="n">
        <f aca="false">'APUS ARQUITECTURA'!J430</f>
        <v>84.43</v>
      </c>
      <c r="I33" s="1" t="n">
        <f aca="false">G33*H33</f>
        <v>333.4985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91" t="n">
        <f aca="false">((0.9+0.6)*1.9+(1*2.1))/20.7</f>
        <v>0.239130434782609</v>
      </c>
      <c r="F35" s="1" t="s">
        <v>132</v>
      </c>
      <c r="G35" s="76" t="n">
        <f aca="false">E35*$M$2</f>
        <v>2.39130434782609</v>
      </c>
      <c r="H35" s="30" t="n">
        <f aca="false">'APUS ARQUITECTURA'!J449</f>
        <v>560.62</v>
      </c>
      <c r="I35" s="1" t="n">
        <f aca="false">G35*H35</f>
        <v>1340.61304347826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(2.8*1)/12.5</f>
        <v>0.224</v>
      </c>
      <c r="F36" s="1" t="s">
        <v>132</v>
      </c>
      <c r="G36" s="76" t="n">
        <f aca="false">E36*$M$2</f>
        <v>2.24</v>
      </c>
      <c r="H36" s="30" t="n">
        <f aca="false">'APUS ARQUITECTURA'!J456</f>
        <v>367.87</v>
      </c>
      <c r="I36" s="1" t="n">
        <f aca="false">G36*H36</f>
        <v>824.0288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1.3</v>
      </c>
      <c r="H38" s="30" t="n">
        <f aca="false">'APUS ARQUITECTURA'!J470</f>
        <v>622.13</v>
      </c>
      <c r="I38" s="1" t="n">
        <f aca="false">G38*H38</f>
        <v>808.769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E19+E13</f>
        <v>1</v>
      </c>
      <c r="F41" s="1" t="s">
        <v>132</v>
      </c>
      <c r="G41" s="76" t="n">
        <f aca="false">E41*$M$2</f>
        <v>10</v>
      </c>
      <c r="H41" s="30" t="n">
        <f aca="false">'APUS ARQUITECTURA'!J484</f>
        <v>15.62</v>
      </c>
      <c r="I41" s="1" t="n">
        <f aca="false">G41*H41</f>
        <v>156.2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0.311111111111111</v>
      </c>
      <c r="F42" s="111" t="s">
        <v>132</v>
      </c>
      <c r="G42" s="76" t="n">
        <f aca="false">E42*$M$2</f>
        <v>3.11111111111111</v>
      </c>
      <c r="H42" s="30" t="n">
        <f aca="false">'APUS ARQUITECTURA'!J504</f>
        <v>15.96</v>
      </c>
      <c r="I42" s="1" t="n">
        <f aca="false">G42*H42</f>
        <v>49.6533333333333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30/42.5</f>
        <v>0.705882352941177</v>
      </c>
      <c r="F44" s="1" t="s">
        <v>1394</v>
      </c>
      <c r="G44" s="76" t="n">
        <f aca="false">E44*$M$2</f>
        <v>7.05882352941177</v>
      </c>
      <c r="H44" s="30" t="n">
        <f aca="false">'APUS SANITARIAS'!J5</f>
        <v>193.33</v>
      </c>
      <c r="I44" s="1" t="n">
        <f aca="false">G44*H44</f>
        <v>1364.68235294118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f aca="false">30/42.5</f>
        <v>0.705882352941177</v>
      </c>
      <c r="F45" s="1" t="s">
        <v>1394</v>
      </c>
      <c r="G45" s="76" t="n">
        <f aca="false">E45*$M$2</f>
        <v>7.05882352941177</v>
      </c>
      <c r="H45" s="30" t="n">
        <f aca="false">'APUS SANITARIAS'!J12</f>
        <v>192.42</v>
      </c>
      <c r="I45" s="1" t="n">
        <f aca="false">G45*H45</f>
        <v>1358.25882352941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7.05882352941177</v>
      </c>
      <c r="H46" s="30" t="n">
        <f aca="false">'APUS SANITARIAS'!J19</f>
        <v>67.52</v>
      </c>
      <c r="I46" s="1" t="n">
        <f aca="false">G46*H46</f>
        <v>476.611764705882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1.5</v>
      </c>
      <c r="H47" s="30" t="n">
        <f aca="false">'APUS SANITARIAS'!J26</f>
        <v>750</v>
      </c>
      <c r="I47" s="1" t="n">
        <f aca="false">G47*H47</f>
        <v>1125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8.23529411764706</v>
      </c>
      <c r="H48" s="30" t="n">
        <f aca="false">'APUS SANITARIAS'!J32</f>
        <v>131.73</v>
      </c>
      <c r="I48" s="1" t="n">
        <f aca="false">G48*H48</f>
        <v>1084.83529411765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8/42.5</f>
        <v>0.188235294117647</v>
      </c>
      <c r="F49" s="1" t="s">
        <v>213</v>
      </c>
      <c r="G49" s="76" t="n">
        <f aca="false">E49*$M$2</f>
        <v>1.88235294117647</v>
      </c>
      <c r="H49" s="30" t="n">
        <f aca="false">'APUS SANITARIAS'!J50</f>
        <v>210.6</v>
      </c>
      <c r="I49" s="1" t="n">
        <f aca="false">G49*H49</f>
        <v>396.423529411765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12</v>
      </c>
      <c r="H50" s="30" t="n">
        <f aca="false">'APUS SANITARIAS'!J69</f>
        <v>200</v>
      </c>
      <c r="I50" s="1" t="n">
        <f aca="false">G50*H50</f>
        <v>2400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0.8</v>
      </c>
      <c r="H51" s="30" t="n">
        <f aca="false">'APUS SANITARIAS'!J76</f>
        <v>537.22</v>
      </c>
      <c r="I51" s="1" t="n">
        <f aca="false">G51*H51</f>
        <v>429.776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0.96</v>
      </c>
      <c r="H52" s="30" t="n">
        <f aca="false">'APUS SANITARIAS'!J91</f>
        <v>158.16</v>
      </c>
      <c r="I52" s="1" t="n">
        <f aca="false">G52*H52</f>
        <v>151.8336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8.23529411764706</v>
      </c>
      <c r="H53" s="30" t="n">
        <f aca="false">'APUS SANITARIAS'!J108</f>
        <v>138.65</v>
      </c>
      <c r="I53" s="1" t="n">
        <f aca="false">G53*H53</f>
        <v>1141.82352941176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8.23529411764706</v>
      </c>
      <c r="H54" s="30" t="n">
        <f aca="false">'APUS SANITARIAS'!J127</f>
        <v>145.94</v>
      </c>
      <c r="I54" s="1" t="n">
        <f aca="false">G54*H54</f>
        <v>1201.85882352941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8.23529411764706</v>
      </c>
      <c r="H55" s="30" t="n">
        <f aca="false">'APUS SANITARIAS'!J145</f>
        <v>141.08</v>
      </c>
      <c r="I55" s="1" t="n">
        <f aca="false">G55*H55</f>
        <v>1161.83529411765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7/42.5</f>
        <v>0.164705882352941</v>
      </c>
      <c r="F56" s="1" t="s">
        <v>148</v>
      </c>
      <c r="G56" s="76" t="n">
        <f aca="false">E56*$M$2</f>
        <v>1.64705882352941</v>
      </c>
      <c r="H56" s="30" t="n">
        <f aca="false">'APUS SANITARIAS'!J163</f>
        <v>214.33</v>
      </c>
      <c r="I56" s="1" t="n">
        <f aca="false">G56*H56</f>
        <v>353.014117647059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7/42.5</f>
        <v>0.164705882352941</v>
      </c>
      <c r="F57" s="1" t="s">
        <v>148</v>
      </c>
      <c r="G57" s="76" t="n">
        <f aca="false">E57*$M$2</f>
        <v>1.64705882352941</v>
      </c>
      <c r="H57" s="30" t="n">
        <f aca="false">'APUS SANITARIAS'!J178</f>
        <v>103.69</v>
      </c>
      <c r="I57" s="1" t="n">
        <f aca="false">G57*H57</f>
        <v>170.783529411765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10/12.5</f>
        <v>0.8</v>
      </c>
      <c r="F59" s="1" t="s">
        <v>213</v>
      </c>
      <c r="G59" s="76" t="n">
        <f aca="false">E59*$M$2</f>
        <v>8</v>
      </c>
      <c r="H59" s="30" t="n">
        <f aca="false">'APUS ELECTRICAS'!J5</f>
        <v>121.05</v>
      </c>
      <c r="I59" s="1" t="n">
        <f aca="false">G59*H59</f>
        <v>968.4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10/12.5</f>
        <v>0.8</v>
      </c>
      <c r="F60" s="1" t="s">
        <v>213</v>
      </c>
      <c r="G60" s="76" t="n">
        <f aca="false">E60*$M$2</f>
        <v>8</v>
      </c>
      <c r="H60" s="30" t="n">
        <f aca="false">'APUS ELECTRICAS'!J26</f>
        <v>163.75</v>
      </c>
      <c r="I60" s="1" t="n">
        <f aca="false">G60*H60</f>
        <v>1310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10/12.5</f>
        <v>0.8</v>
      </c>
      <c r="F61" s="1" t="s">
        <v>213</v>
      </c>
      <c r="G61" s="76" t="n">
        <f aca="false">E61*$M$2</f>
        <v>8</v>
      </c>
      <c r="H61" s="30" t="n">
        <f aca="false">'APUS ELECTRICAS'!J48</f>
        <v>118.3</v>
      </c>
      <c r="I61" s="1" t="n">
        <f aca="false">G61*H61</f>
        <v>946.4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f aca="false">2/12.5</f>
        <v>0.16</v>
      </c>
      <c r="F64" s="1" t="s">
        <v>148</v>
      </c>
      <c r="G64" s="76" t="n">
        <f aca="false">E64*$M$2</f>
        <v>1.6</v>
      </c>
      <c r="H64" s="30" t="n">
        <f aca="false">'APUS ELECTRICAS'!J74</f>
        <v>396.14</v>
      </c>
      <c r="I64" s="1" t="n">
        <f aca="false">G64*H64</f>
        <v>633.824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f aca="false">2/12.5</f>
        <v>0.16</v>
      </c>
      <c r="F65" s="1" t="s">
        <v>148</v>
      </c>
      <c r="G65" s="76" t="n">
        <f aca="false">E65*$M$2</f>
        <v>1.6</v>
      </c>
      <c r="H65" s="30" t="n">
        <f aca="false">'APUS ELECTRICAS'!J88</f>
        <v>105.97</v>
      </c>
      <c r="I65" s="1" t="n">
        <f aca="false">G65*H65</f>
        <v>169.552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'!D37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(((4.8+2.05+2.8)*3)-2.8)/20.7</f>
        <v>1.26328502415459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((6.95+2.4)*3)/20.7</f>
        <v>1.35507246376812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((2.14+0.25+0.6)*1.9)/20.7</f>
        <v>0.274444444444444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(2*1.5*0.6)/20.7</f>
        <v>0.0869565217391304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((2.8*3.3)-2.8)/20.7</f>
        <v>0.311111111111111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E7+E6</f>
        <v>2.61835748792271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91" t="n">
        <f aca="false">((0.9+0.6)*1.9+(1*2.1))/20.7</f>
        <v>0.239130434782609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(2.8*1)/12.5</f>
        <v>0.224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E19+E13</f>
        <v>1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0.311111111111111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1016</v>
      </c>
      <c r="E45" s="274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8/42.5</f>
        <v>0.188235294117647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7/42.5</f>
        <v>0.164705882352941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7/42.5</f>
        <v>0.164705882352941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10/12.5</f>
        <v>0.8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10/12.5</f>
        <v>0.8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10/12.5</f>
        <v>0.8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f aca="false">2/12.5</f>
        <v>0.16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f aca="false">2/12.5</f>
        <v>0.16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'!D38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((((2*6.95/2)+2.8+1.8+2.05+1.8+0.45)*3)-2.8*1)/30</f>
        <v>1.49166666666667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((1*6.95)*3)/30</f>
        <v>0.695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(((3*1.4)+(4*0.9)+1.95+1.45+2+2)*1.9)/30</f>
        <v>0.962666666666667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(2*1.5*0.5)/30</f>
        <v>0.05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((6.95*3.3)+(2.8*2.3))/30</f>
        <v>0.979166666666667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(((6.95+5.2+2.1+2.05+0.45+1.45+1.95+1.15+(0.75*4)+0.3)*3)+(2.8*2))/30</f>
        <v>2.64666666666667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((0.9+0.6)*1.9+(1*2.1))/30</f>
        <v>0.165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2.8/30</f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1.13+E19</f>
        <v>2.13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0.979166666666667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f aca="false">30/42.5</f>
        <v>0.705882352941177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8/30</f>
        <v>0.266666666666667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7/30</f>
        <v>0.233333333333333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7/30</f>
        <v>0.233333333333333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14/30</f>
        <v>0.466666666666667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14/30</f>
        <v>0.466666666666667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14/30</f>
        <v>0.466666666666667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5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5" t="n">
        <f aca="false">4/30</f>
        <v>0.133333333333333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5" t="n">
        <f aca="false">4/30</f>
        <v>0.133333333333333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5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5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'!D39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((((2*6.95/2)+2.8+1.8+2.05+1.8+0.45)*3)-2.8*1)/30</f>
        <v>1.49166666666667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((1*6.95)*3)/30</f>
        <v>0.695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(((3*1.4)+(4*0.9)+1.95+1.45+2+2)*1.9)/30</f>
        <v>0.962666666666667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(2*1.5*0.5)/30</f>
        <v>0.05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((6.95*3.3)+(2.8*2.3))/30</f>
        <v>0.979166666666667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(((6.95+5.2+2.1+2.05+0.45+1.45+1.95+1.15+(0.75*4)+0.3)*3)+(2.8*2))/30</f>
        <v>2.64666666666667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((0.9+0.6)*1.9+(1*2.1))/30</f>
        <v>0.165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2.8/30</f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1.13+E19</f>
        <v>2.13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0.979166666666667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318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1016</v>
      </c>
      <c r="E45" s="274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8/30</f>
        <v>0.266666666666667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7/30</f>
        <v>0.233333333333333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7/30</f>
        <v>0.233333333333333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14/30</f>
        <v>0.466666666666667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14/30</f>
        <v>0.466666666666667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14/30</f>
        <v>0.466666666666667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5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5" t="n">
        <f aca="false">4/30</f>
        <v>0.133333333333333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5" t="n">
        <f aca="false">4/30</f>
        <v>0.133333333333333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5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5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'!D40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((((2*6.95/2)+2.8+1.8+2.05+1.8+0.45)*3)-2.8*1)/30</f>
        <v>1.49166666666667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((1*6.95)*3)/30</f>
        <v>0.695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(((3*1.4)+(4*0.9)+1.95+1.45+2+2)*1.9)/30</f>
        <v>0.962666666666667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(2*1.5*0.5)/30</f>
        <v>0.05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((6.95*3.3)+(2.8*2.3))/30</f>
        <v>0.979166666666667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(((6.95+5.2+2.1+2.05+0.45+1.45+1.95+1.15+(0.75*4)+0.3)*3)+(2.8*2))/30</f>
        <v>2.64666666666667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((0.9+0.6)*1.9+(1*2.1))/30</f>
        <v>0.165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2.8/30</f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1.13+E19</f>
        <v>2.13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0.979166666666667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f aca="false">30/42.5</f>
        <v>0.705882352941177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8/30</f>
        <v>0.266666666666667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7/30</f>
        <v>0.233333333333333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7/30</f>
        <v>0.233333333333333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14/30</f>
        <v>0.466666666666667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14/30</f>
        <v>0.466666666666667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14/30</f>
        <v>0.466666666666667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5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5" t="n">
        <f aca="false">4/30</f>
        <v>0.133333333333333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5" t="n">
        <f aca="false">4/30</f>
        <v>0.133333333333333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5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5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'!D41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((((2*6.95/2)+2.8+1.8+2.05+1.8+0.45)*3)-2.8*1)/30</f>
        <v>1.49166666666667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((1*6.95)*3)/30</f>
        <v>0.695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(((3*1.4)+(4*0.9)+1.95+1.45+2+2)*1.9)/30</f>
        <v>0.962666666666667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(2*1.5*0.5)/30</f>
        <v>0.05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((6.95*3.3)+(2.8*2.3))/30</f>
        <v>0.979166666666667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(((6.95+5.2+2.1+2.05+0.45+1.45+1.95+1.15+(0.75*4)+0.3)*3)+(2.8*2))/30</f>
        <v>2.64666666666667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((0.9+0.6)*1.9+(1*2.1))/30</f>
        <v>0.165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2.8/30</f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1.13+E19</f>
        <v>2.13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0.979166666666667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318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1016</v>
      </c>
      <c r="E45" s="274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8/30</f>
        <v>0.266666666666667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7/30</f>
        <v>0.233333333333333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7/30</f>
        <v>0.233333333333333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14/30</f>
        <v>0.466666666666667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14/30</f>
        <v>0.466666666666667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14/30</f>
        <v>0.466666666666667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5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5" t="n">
        <f aca="false">4/30</f>
        <v>0.133333333333333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5" t="n">
        <f aca="false">4/30</f>
        <v>0.133333333333333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5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5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'!D42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((((2*6.95/2)+2.8+1.8+2.05+1.8+0.45)*3)-2.8*1)/30</f>
        <v>1.49166666666667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((1*6.95)*3)/30</f>
        <v>0.695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(((3*1.4)+(4*0.9)+1.95+1.45+2+2)*1.9)/30</f>
        <v>0.962666666666667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(2*1.5*0.5)/30</f>
        <v>0.05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((6.95*3.3)+(2.8*2.3))/30</f>
        <v>0.979166666666667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(((6.95+5.2+2.1+2.05+0.45+1.45+1.95+1.15+(0.75*4)+0.3)*3)+(2.8*2))/30</f>
        <v>2.64666666666667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((0.9+0.6)*1.9+(1*2.1))/30</f>
        <v>0.165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2.8/30</f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1.13+E19</f>
        <v>2.13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0.979166666666667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f aca="false">30/42.5</f>
        <v>0.705882352941177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8/30</f>
        <v>0.266666666666667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7/30</f>
        <v>0.233333333333333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7/30</f>
        <v>0.233333333333333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14/30</f>
        <v>0.466666666666667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14/30</f>
        <v>0.466666666666667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14/30</f>
        <v>0.466666666666667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5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5" t="n">
        <f aca="false">4/30</f>
        <v>0.133333333333333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5" t="n">
        <f aca="false">4/30</f>
        <v>0.133333333333333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5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5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'!D43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f aca="false">((((2*6.95/2)+2.8+1.8+2.05+1.8+0.45)*3)-2.8*1)/30</f>
        <v>1.49166666666667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f aca="false">((1*6.95)*3)/30</f>
        <v>0.695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f aca="false">(((3*1.4)+(4*0.9)+1.95+1.45+2+2)*1.9)/30</f>
        <v>0.962666666666667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f aca="false">(2*1.5*0.5)/30</f>
        <v>0.05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f aca="false">((6.95*3.3)+(2.8*2.3))/30</f>
        <v>0.979166666666667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f aca="false">(((6.95+5.2+2.1+2.05+0.45+1.45+1.95+1.15+(0.75*4)+0.3)*3)+(2.8*2))/30</f>
        <v>2.64666666666667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f aca="false">((0.9+0.6)*1.9+(1*2.1))/30</f>
        <v>0.165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f aca="false">2.8/30</f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f aca="false">1.13+E19</f>
        <v>2.13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f aca="false">E14</f>
        <v>0.979166666666667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30/42.5</f>
        <v>0.705882352941177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1016</v>
      </c>
      <c r="E45" s="274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983</v>
      </c>
      <c r="E46" s="274" t="n">
        <f aca="false">30/42.5</f>
        <v>0.705882352941177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 t="n">
        <v>0.15</v>
      </c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f aca="false">35/42.5</f>
        <v>0.823529411764706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f aca="false">8/30</f>
        <v>0.266666666666667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 t="n">
        <v>1.2</v>
      </c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 t="n">
        <v>0.08</v>
      </c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f aca="false">35/42.5</f>
        <v>0.823529411764706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f aca="false">35/42.5</f>
        <v>0.823529411764706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f aca="false">35/42.5</f>
        <v>0.823529411764706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f aca="false">7/30</f>
        <v>0.233333333333333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f aca="false">7/30</f>
        <v>0.233333333333333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f aca="false">14/30</f>
        <v>0.466666666666667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f aca="false">14/30</f>
        <v>0.466666666666667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f aca="false">14/30</f>
        <v>0.466666666666667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5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5" t="n">
        <f aca="false">4/30</f>
        <v>0.133333333333333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5" t="n">
        <f aca="false">4/30</f>
        <v>0.133333333333333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5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5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'!D44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v>1.55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v>0.752941176470588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v>0.0705882352941177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v>0.621176470588235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v>1.68402941176471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v>0.265098039215686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1.06458333333333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v>0.621176470588235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v>0.352941176470588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v>0.352941176470588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v>0.352941176470588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v>0.627450980392157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v>0.156862745098039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v>0.549019607843137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v>0.549019607843137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v>0.549019607843137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v>0.117647058823529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v>0.117647058823529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0.705882352941177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0.705882352941177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0.705882352941177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0.313725490196078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0.313725490196078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'!D45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v>1.55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 t="n">
        <v>0.752941176470588</v>
      </c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 t="n">
        <v>0.0705882352941177</v>
      </c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v>0.621176470588235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 t="n">
        <v>1.68402941176471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v>0.265098039215686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1.06458333333333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v>0.621176470588235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v>0.352941176470588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1016</v>
      </c>
      <c r="E45" s="274"/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v>0.352941176470588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v>0.627450980392157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 t="n">
        <v>0.156862745098039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v>0.549019607843137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v>0.549019607843137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v>0.549019607843137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 t="n">
        <v>0.117647058823529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 t="n">
        <v>0.117647058823529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0.705882352941177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0.705882352941177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0.705882352941177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0.313725490196078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0.313725490196078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'!D46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((2*2.25*3)-(1*2)-(0.75*2.1))/9</f>
        <v>1.10277777777778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(2*(4/2)*3)/9</f>
        <v>1.33333333333333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v>2.84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((2*2.25*3.3)-(2*1)-(0.75*1))/9</f>
        <v>1.34444444444444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 t="n">
        <f aca="false">(2*(2.25+4)*3)/9</f>
        <v>4.16666666666667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v>0.16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(1*2)/9</f>
        <v>0.222222222222222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v>2.84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1.34444444444444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fals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L44" s="30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3"/>
      <c r="AM44" s="213"/>
      <c r="AN44" s="213"/>
      <c r="AO44" s="213"/>
      <c r="AP44" s="213"/>
      <c r="AQ44" s="213"/>
      <c r="AR44" s="213"/>
      <c r="AS44" s="213"/>
      <c r="AT44" s="213"/>
      <c r="AU44" s="213"/>
      <c r="AV44" s="213"/>
      <c r="AW44" s="213"/>
      <c r="AX44" s="213"/>
      <c r="AY44" s="213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fals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L45" s="30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13"/>
      <c r="AQ45" s="213"/>
      <c r="AR45" s="213"/>
      <c r="AS45" s="213"/>
      <c r="AT45" s="213"/>
      <c r="AU45" s="213"/>
      <c r="AV45" s="213"/>
      <c r="AW45" s="213"/>
      <c r="AX45" s="213"/>
      <c r="AY45" s="213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 t="n">
        <f aca="false">1/9</f>
        <v>0.111111111111111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1/9</f>
        <v>0.111111111111111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 t="n">
        <f aca="false">1/9</f>
        <v>0.111111111111111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2/9</f>
        <v>0.222222222222222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2/9</f>
        <v>0.222222222222222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2/9</f>
        <v>0.222222222222222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 t="n">
        <f aca="false">1/9</f>
        <v>0.111111111111111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 t="n">
        <f aca="false">1/9</f>
        <v>0.111111111111111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6/9</f>
        <v>0.666666666666667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6/9</f>
        <v>0.666666666666667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6/9</f>
        <v>0.666666666666667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1/9</f>
        <v>0.111111111111111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1/9</f>
        <v>0.111111111111111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'!D47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((2*2.25*3)-(1*2)-(0.75*2.1))/9</f>
        <v>1.10277777777778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(2*(4/2)*3)/9</f>
        <v>1.33333333333333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v>2.84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((2*2.25*3.3)-(2*1)-(0.75*1))/9</f>
        <v>1.34444444444444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 t="n">
        <f aca="false">(2*(2.25+4)*3)/9</f>
        <v>4.16666666666667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v>0.16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(1*2)/9</f>
        <v>0.222222222222222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v>2.84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1.34444444444444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fals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L44" s="30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3"/>
      <c r="AM44" s="213"/>
      <c r="AN44" s="213"/>
      <c r="AO44" s="213"/>
      <c r="AP44" s="213"/>
      <c r="AQ44" s="213"/>
      <c r="AR44" s="213"/>
      <c r="AS44" s="213"/>
      <c r="AT44" s="213"/>
      <c r="AU44" s="213"/>
      <c r="AV44" s="213"/>
      <c r="AW44" s="213"/>
      <c r="AX44" s="213"/>
      <c r="AY44" s="213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fals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L45" s="30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3"/>
      <c r="AM45" s="213"/>
      <c r="AN45" s="213"/>
      <c r="AO45" s="213"/>
      <c r="AP45" s="213"/>
      <c r="AQ45" s="213"/>
      <c r="AR45" s="213"/>
      <c r="AS45" s="213"/>
      <c r="AT45" s="213"/>
      <c r="AU45" s="213"/>
      <c r="AV45" s="213"/>
      <c r="AW45" s="213"/>
      <c r="AX45" s="213"/>
      <c r="AY45" s="213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983</v>
      </c>
      <c r="E46" s="257" t="n">
        <f aca="false">1/9</f>
        <v>0.111111111111111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1/9</f>
        <v>0.111111111111111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 t="n">
        <f aca="false">1/9</f>
        <v>0.111111111111111</v>
      </c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2/9</f>
        <v>0.222222222222222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2/9</f>
        <v>0.222222222222222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2/9</f>
        <v>0.222222222222222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 t="n">
        <f aca="false">1/9</f>
        <v>0.111111111111111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 t="n">
        <f aca="false">1/9</f>
        <v>0.111111111111111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6/9</f>
        <v>0.666666666666667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6/9</f>
        <v>0.666666666666667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6/9</f>
        <v>0.666666666666667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1/9</f>
        <v>0.111111111111111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1/9</f>
        <v>0.111111111111111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'!D48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(2.8*2)/9.2</f>
        <v>0.608695652173913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 t="n">
        <f aca="false">(1.5+3+3.1-0.9)*3/9.2</f>
        <v>2.18478260869565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((2.8*2)+(3*0.4))/9.2</f>
        <v>0.739130434782609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/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 t="n">
        <f aca="false">(3.1+2.9+0.4+1.8+2.95)*0.1/9.2</f>
        <v>0.121195652173913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/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 t="n">
        <f aca="false">2.9*2.85/9.2</f>
        <v>0.898369565217391</v>
      </c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E13*2</f>
        <v>1.47826086956522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/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v>0.5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v>0.5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v>0.5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3/9.2</f>
        <v>0.326086956521739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v>0.13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v>0.13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'!D49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(2.2+1.4+0.1)*3/10.3</f>
        <v>1.07766990291262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2.4*3/10.3</f>
        <v>0.699029126213592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92" t="n">
        <f aca="false">(2.4+4.4+4.4+1.4+0.1)*3/10.3</f>
        <v>3.69902912621359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2.4*3.3/10.3</f>
        <v>0.768932038834951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 t="n">
        <f aca="false">(2.4+4.4+4.4+1.5)*0.1/10.3</f>
        <v>0.123300970873786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2.1*0.9/10.3</f>
        <v>0.183495145631068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0.65*1.5/10.3</f>
        <v>0.0946601941747573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1+(E13)</f>
        <v>4.69902912621359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/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 t="n">
        <f aca="false">1/10.3</f>
        <v>0.0970873786407767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J44" s="257"/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 t="n">
        <f aca="false">1/10.3</f>
        <v>0.0970873786407767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 t="n">
        <f aca="false">1/10.3</f>
        <v>0.0970873786407767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1/10.3</f>
        <v>0.0970873786407767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1/10.3</f>
        <v>0.0970873786407767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1/10.3</f>
        <v>0.0970873786407767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1/10.3</f>
        <v>0.0970873786407767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 t="n">
        <f aca="false">1/10.3</f>
        <v>0.0970873786407767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 t="n">
        <f aca="false">1/10.3</f>
        <v>0.0970873786407767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3/10.3</f>
        <v>0.29126213592233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3/10.3</f>
        <v>0.29126213592233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3/10.3</f>
        <v>0.29126213592233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1/10.3</f>
        <v>0.0970873786407767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1/10.3</f>
        <v>0.0970873786407767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'!D50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6.95*3/28</f>
        <v>0.744642857142857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2.8*3/28</f>
        <v>0.3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 t="n">
        <f aca="false">0.8*3/28</f>
        <v>0.0857142857142857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92" t="n">
        <f aca="false">+E6+E6+E7+(1.15*3/28)</f>
        <v>1.9125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/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 t="n">
        <v>1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 t="n">
        <f aca="false">((3.9*2)+(6.95*2)-2)/28</f>
        <v>0.703571428571429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2*2.1/28</f>
        <v>0.15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(3.9+6.95+6.95+3.9+0.2-2)*3/28</f>
        <v>2.13214285714286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/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1/10</f>
        <v>0.1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1/10</f>
        <v>0.1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1/10</f>
        <v>0.1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5/28</f>
        <v>0.178571428571429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1/10</f>
        <v>0.1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1/10</f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J4" activeCellId="0" sqref="J4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'!D51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(((2*6.95/2)+2.8)*3-(30*0.2)-(0.9*2.1))/(30)</f>
        <v>0.712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(((2*6.95)+(2*2.8))*3)/(30)</f>
        <v>1.95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((2.8*3.3)-(30*0.2)-(0.9*2.1))/(30)</f>
        <v>0.0449999999999999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f aca="false">1</f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 t="n">
        <f aca="false">(((2*6.95)+(2*2.8))- 0.9*2.1)/(30)</f>
        <v>0.587</v>
      </c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0.9*2.1/30</f>
        <v>0.063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v>0.09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(((2*6.95)+(2*2.8))*3+30-30*0.2-0.9*2.1)/(30)</f>
        <v>2.687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(2.8*3.3-30*0.2-0.9*2.1)/(30)</f>
        <v>0.0449999999999999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2/30</f>
        <v>0.0666666666666667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2/30</f>
        <v>0.0666666666666667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2/30</f>
        <v>0.0666666666666667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/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/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 t="n">
        <f aca="false">'APUS COMUNICACIONES'!J5</f>
        <v>279.85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 t="n">
        <f aca="false">'APUS COMUNICACIONES'!J23</f>
        <v>95.84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 t="n">
        <f aca="false">'APUS COMUNICACIONES'!J41</f>
        <v>95.84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 t="n">
        <f aca="false">'APUS COMUNICACIONES'!J59</f>
        <v>26.4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 t="n">
        <f aca="false">'APUS COMUNICACIONES'!J77</f>
        <v>25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 t="n">
        <f aca="false">'APUS COMUNICACIONES'!J95</f>
        <v>19.23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 t="n">
        <f aca="false">'APUS COMUNICACIONES'!J113</f>
        <v>16.37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 t="n">
        <f aca="false">'APUS COMUNICACIONES'!J131</f>
        <v>62.67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 t="n">
        <f aca="false">'APUS COMUNICACIONES'!J146</f>
        <v>58.85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 t="n">
        <f aca="false">'APUS COMUNICACIONES'!J161</f>
        <v>57.88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 t="n">
        <f aca="false">'APUS COMUNICACIONES'!J176</f>
        <v>99.34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 t="n">
        <f aca="false">'APUS COMUNICACIONES'!J422</f>
        <v>670.77</v>
      </c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 t="n">
        <f aca="false">'APUS COMUNICACIONES'!J440</f>
        <v>557.91</v>
      </c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 t="n">
        <f aca="false">'APUS COMUNICACIONES'!J469</f>
        <v>404.74</v>
      </c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 t="n">
        <f aca="false">'APUS COMUNICACIONES'!J497</f>
        <v>106.38</v>
      </c>
    </row>
    <row r="91" customFormat="false" ht="15" hidden="false" customHeight="false" outlineLevel="0" collapsed="false">
      <c r="H91" s="30" t="n">
        <f aca="false">'APUS COMUNICACIONES'!J513</f>
        <v>64.33</v>
      </c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29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'!D52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2" t="n">
        <v>1.26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2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2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184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184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2" t="n">
        <f aca="false">+E6+E6+E7+(1.15*3/28)</f>
        <v>2.64321428571429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2"/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2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2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2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2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2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2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2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2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2" t="n">
        <v>1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2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2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2" t="n">
        <v>0.4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2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2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2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2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2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2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184" t="n">
        <f aca="false">0.9*2.1/30</f>
        <v>0.063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2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2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2" t="n">
        <f aca="false">(((2*6.95)+(2*2.8))*3+30-30*0.2-0.9*2.1)/(30)</f>
        <v>2.687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2"/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2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2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2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2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2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2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2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2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2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2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2"/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2"/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2"/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2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2"/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2"/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2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2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 t="n">
        <f aca="false">'APUS COMUNICACIONES'!J5</f>
        <v>279.85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 t="n">
        <f aca="false">'APUS COMUNICACIONES'!J23</f>
        <v>95.84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 t="n">
        <f aca="false">'APUS COMUNICACIONES'!J41</f>
        <v>95.84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 t="n">
        <f aca="false">'APUS COMUNICACIONES'!J59</f>
        <v>26.4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 t="n">
        <f aca="false">'APUS COMUNICACIONES'!J77</f>
        <v>25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 t="n">
        <f aca="false">'APUS COMUNICACIONES'!J95</f>
        <v>19.23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 t="n">
        <f aca="false">'APUS COMUNICACIONES'!J113</f>
        <v>16.37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 t="n">
        <f aca="false">'APUS COMUNICACIONES'!J131</f>
        <v>62.67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 t="n">
        <f aca="false">'APUS COMUNICACIONES'!J146</f>
        <v>58.85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 t="n">
        <f aca="false">'APUS COMUNICACIONES'!J161</f>
        <v>57.88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 t="n">
        <f aca="false">'APUS COMUNICACIONES'!J176</f>
        <v>99.34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 t="n">
        <f aca="false">'APUS COMUNICACIONES'!J422</f>
        <v>670.77</v>
      </c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 t="n">
        <f aca="false">'APUS COMUNICACIONES'!J440</f>
        <v>557.91</v>
      </c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 t="n">
        <f aca="false">'APUS COMUNICACIONES'!J469</f>
        <v>404.74</v>
      </c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 t="n">
        <f aca="false">'APUS COMUNICACIONES'!J497</f>
        <v>106.38</v>
      </c>
    </row>
    <row r="91" customFormat="false" ht="15" hidden="false" customHeight="false" outlineLevel="0" collapsed="false">
      <c r="H91" s="30" t="n">
        <f aca="false">'APUS COMUNICACIONES'!J513</f>
        <v>64.33</v>
      </c>
    </row>
    <row r="99" customFormat="false" ht="15" hidden="false" customHeight="false" outlineLevel="0" collapsed="false">
      <c r="A99" s="255"/>
    </row>
    <row r="101" customFormat="false" ht="15" hidden="false" customHeight="false" outlineLevel="0" collapsed="false">
      <c r="G101" s="76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H39" activeCellId="0" sqref="H39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'!D53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(4.15+2.35+2.45+1.85+0.5+0.45)*3/7.3</f>
        <v>4.82876712328767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v>0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(4+2.35+2.3+1.85+1.15+0.9)*3/7.3</f>
        <v>5.15753424657534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(1.8+1.85)*3.3/7.3</f>
        <v>1.65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 t="n">
        <f aca="false">(1.75+1.15+1.85+0.45)*3/7.3</f>
        <v>2.13698630136986</v>
      </c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 t="n">
        <v>1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 t="n">
        <f aca="false">(2.15+2.35+2.3+0.45)*0.15/7.3</f>
        <v>0.148972602739726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(0.75+1)*2.1/7.3</f>
        <v>0.503424657534247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1*1/7.3</f>
        <v>0.136986301369863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+E13</f>
        <v>5.15753424657534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/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57" t="n">
        <f aca="false">2/7.3</f>
        <v>0.273972602739726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57" t="n">
        <f aca="false">2/7.3</f>
        <v>0.273972602739726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57" t="n">
        <f aca="false">2/7.3</f>
        <v>0.273972602739726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1/7.3</f>
        <v>0.136986301369863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1/7.3</f>
        <v>0.136986301369863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1/7.3</f>
        <v>0.136986301369863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1/7.3</f>
        <v>0.136986301369863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 t="n">
        <f aca="false">1/7.3</f>
        <v>0.136986301369863</v>
      </c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 t="n">
        <f aca="false">1/7.3</f>
        <v>0.136986301369863</v>
      </c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3/10.84</f>
        <v>0.276752767527675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3/10.84</f>
        <v>0.276752767527675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3/10.84</f>
        <v>0.276752767527675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1/10.84</f>
        <v>0.0922509225092251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1/10.84</f>
        <v>0.0922509225092251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 t="n">
        <f aca="false">'APUS COMUNICACIONES'!J5</f>
        <v>279.85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 t="n">
        <f aca="false">'APUS COMUNICACIONES'!J23</f>
        <v>95.84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 t="n">
        <f aca="false">'APUS COMUNICACIONES'!J41</f>
        <v>95.84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 t="n">
        <f aca="false">'APUS COMUNICACIONES'!J59</f>
        <v>26.4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 t="n">
        <f aca="false">'APUS COMUNICACIONES'!J77</f>
        <v>25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 t="n">
        <f aca="false">'APUS COMUNICACIONES'!J95</f>
        <v>19.23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 t="n">
        <f aca="false">'APUS COMUNICACIONES'!J113</f>
        <v>16.37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 t="n">
        <f aca="false">'APUS COMUNICACIONES'!J131</f>
        <v>62.67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 t="n">
        <f aca="false">'APUS COMUNICACIONES'!J146</f>
        <v>58.85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 t="n">
        <f aca="false">'APUS COMUNICACIONES'!J161</f>
        <v>57.88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 t="n">
        <f aca="false">'APUS COMUNICACIONES'!J176</f>
        <v>99.34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 t="n">
        <f aca="false">'APUS COMUNICACIONES'!J422</f>
        <v>670.77</v>
      </c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 t="n">
        <f aca="false">'APUS COMUNICACIONES'!J440</f>
        <v>557.91</v>
      </c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 t="n">
        <f aca="false">'APUS COMUNICACIONES'!J469</f>
        <v>404.74</v>
      </c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 t="n">
        <f aca="false">'APUS COMUNICACIONES'!J497</f>
        <v>106.38</v>
      </c>
    </row>
    <row r="91" customFormat="false" ht="15" hidden="false" customHeight="false" outlineLevel="0" collapsed="false">
      <c r="H91" s="30" t="n">
        <f aca="false">'APUS COMUNICACIONES'!J513</f>
        <v>64.33</v>
      </c>
    </row>
    <row r="99" customFormat="false" ht="15" hidden="false" customHeight="false" outlineLevel="0" collapsed="false">
      <c r="A99" s="255"/>
    </row>
    <row r="101" customFormat="false" ht="15" hidden="false" customHeight="false" outlineLevel="0" collapsed="false">
      <c r="G101" s="76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H16" activeCellId="0" sqref="H1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'!D54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v>1.26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+E6+E6+E7+(1.15*3/28)</f>
        <v>2.64321428571429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/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 t="n">
        <v>1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 t="n">
        <v>0.4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 t="n">
        <f aca="false">(((17.65*2)+6.95*2-(2*0.9))/(120))</f>
        <v>0.395</v>
      </c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(0.75+1)*2.1/7.3</f>
        <v>0.503424657534247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+E13</f>
        <v>2.64321428571429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/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E44" s="274" t="n">
        <f aca="false">2/9.33</f>
        <v>0.214362272240086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E45" s="274" t="n">
        <f aca="false">2/9.33</f>
        <v>0.214362272240086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E46" s="274" t="n">
        <f aca="false">2/9.33</f>
        <v>0.214362272240086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 t="n">
        <f aca="false">2/9.33</f>
        <v>0.214362272240086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f aca="false">2/9.33</f>
        <v>0.214362272240086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f aca="false">2/9.33</f>
        <v>0.214362272240086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f aca="false">2/9.33</f>
        <v>0.214362272240086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1/9.33</f>
        <v>0.107181136120043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1/9.33</f>
        <v>0.107181136120043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1/9.33</f>
        <v>0.107181136120043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1/9.33</f>
        <v>0.107181136120043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1/9.33</f>
        <v>0.107181136120043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1/9.33</f>
        <v>0.107181136120043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 t="n">
        <f aca="false">'APUS COMUNICACIONES'!J5</f>
        <v>279.85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 t="n">
        <f aca="false">'APUS COMUNICACIONES'!J23</f>
        <v>95.84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 t="n">
        <f aca="false">'APUS COMUNICACIONES'!J41</f>
        <v>95.84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 t="n">
        <f aca="false">'APUS COMUNICACIONES'!J59</f>
        <v>26.4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 t="n">
        <f aca="false">'APUS COMUNICACIONES'!J77</f>
        <v>25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 t="n">
        <f aca="false">'APUS COMUNICACIONES'!J95</f>
        <v>19.23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 t="n">
        <f aca="false">'APUS COMUNICACIONES'!J113</f>
        <v>16.37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 t="n">
        <f aca="false">'APUS COMUNICACIONES'!J131</f>
        <v>62.67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 t="n">
        <f aca="false">'APUS COMUNICACIONES'!J146</f>
        <v>58.85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 t="n">
        <f aca="false">'APUS COMUNICACIONES'!J161</f>
        <v>57.88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 t="n">
        <f aca="false">'APUS COMUNICACIONES'!J176</f>
        <v>99.34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 t="n">
        <f aca="false">'APUS COMUNICACIONES'!J422</f>
        <v>670.77</v>
      </c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 t="n">
        <f aca="false">'APUS COMUNICACIONES'!J440</f>
        <v>557.91</v>
      </c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 t="n">
        <f aca="false">'APUS COMUNICACIONES'!J469</f>
        <v>404.74</v>
      </c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 t="n">
        <f aca="false">'APUS COMUNICACIONES'!J497</f>
        <v>106.38</v>
      </c>
    </row>
    <row r="91" customFormat="false" ht="15" hidden="false" customHeight="false" outlineLevel="0" collapsed="false">
      <c r="H91" s="30" t="n">
        <f aca="false">'APUS COMUNICACIONES'!J513</f>
        <v>64.33</v>
      </c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'!D55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'!D56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'!D57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'!D58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'!D59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SUM(I5:I93)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'!D60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'!D61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57" t="n">
        <f aca="false">(((2.8*4+6.95)*3)-(0.2*60))/60</f>
        <v>0.7075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57" t="n">
        <f aca="false">6.95*3/60</f>
        <v>0.3475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57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00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00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57" t="n">
        <f aca="false">((4*8.65)*3)/60</f>
        <v>1.73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57" t="n">
        <f aca="false">((2*8.65*3.3)+((8.65/2)*3.3)-(60*0.2)-(2*0.75*2.1))/60</f>
        <v>0.936875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57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57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57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57" t="n">
        <v>1.1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57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57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57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57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57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57" t="n">
        <v>1</v>
      </c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57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57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57" t="n">
        <f aca="false">((2*8+2*6.95)-(4.5))/62</f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57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57" t="n">
        <f aca="false">((6.95+8.65)*2-(2*1))/64</f>
        <v>0.45625</v>
      </c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57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57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57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63" t="n">
        <f aca="false">2*2.1/60</f>
        <v>0.07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57" t="n">
        <f aca="false">(64*0.25)/64</f>
        <v>0.25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67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00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57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57" t="n">
        <f aca="false">E18+E13</f>
        <v>1.73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57" t="n">
        <f aca="false">E14</f>
        <v>0.936875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57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57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57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57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57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57" t="n">
        <f aca="false">12/125</f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57" t="n">
        <v>0.02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57" t="n">
        <v>0.02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57" t="n">
        <v>0.02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57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57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57" t="n">
        <f aca="false">30/120</f>
        <v>0.25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57" t="n">
        <f aca="false">30/120</f>
        <v>0.25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57" t="n">
        <f aca="false">30/120</f>
        <v>0.25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57" t="n">
        <f aca="false">3/120</f>
        <v>0.025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57" t="n">
        <f aca="false">(64/10)/60</f>
        <v>0.106666666666667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57" t="n">
        <f aca="false">(64/10)/60</f>
        <v>0.106666666666667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57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57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'!D62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SUM(I5:I91)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v>0.217777777777778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v>0.476666666666667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 t="n">
        <v>0.69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 t="n">
        <v>1.33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v>0.724333333333333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 t="n">
        <v>1</v>
      </c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/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 t="n">
        <v>1</v>
      </c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 t="n">
        <v>0.582222222222222</v>
      </c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91" t="n">
        <v>0.0466666666666667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v>0.0933333333333333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 t="n">
        <v>0.13</v>
      </c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2.33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v>0.724333333333333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v>0.0444444444444444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v>0.0444444444444444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v>0.0444444444444444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0.666666666666667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0.666666666666667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0.666666666666667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 t="n">
        <v>0.444444444444444</v>
      </c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0.266666666666667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0.266666666666667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 t="s">
        <v>1097</v>
      </c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 t="s">
        <v>1098</v>
      </c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A72" s="1" t="s">
        <v>1100</v>
      </c>
      <c r="E72" s="1" t="n">
        <v>0.0129692832764505</v>
      </c>
      <c r="F72" s="1" t="s">
        <v>148</v>
      </c>
      <c r="G72" s="76" t="n">
        <f aca="false">E72*$M$2</f>
        <v>0</v>
      </c>
      <c r="H72" s="154" t="n">
        <f aca="false">'APUS COMUNICACIONES'!J5</f>
        <v>279.85</v>
      </c>
      <c r="I72" s="1" t="n">
        <f aca="false">G72*H72</f>
        <v>0</v>
      </c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A73" s="1" t="s">
        <v>1102</v>
      </c>
      <c r="E73" s="1" t="n">
        <v>0.0068259385665529</v>
      </c>
      <c r="F73" s="1" t="s">
        <v>148</v>
      </c>
      <c r="G73" s="76" t="n">
        <f aca="false">E73*$M$2</f>
        <v>0</v>
      </c>
      <c r="H73" s="154" t="n">
        <f aca="false">'APUS COMUNICACIONES'!J23</f>
        <v>95.84</v>
      </c>
      <c r="I73" s="1" t="n">
        <f aca="false">G73*H73</f>
        <v>0</v>
      </c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A74" s="1" t="s">
        <v>1104</v>
      </c>
      <c r="E74" s="1" t="n">
        <v>0.0116040955631399</v>
      </c>
      <c r="F74" s="1" t="s">
        <v>148</v>
      </c>
      <c r="G74" s="76" t="n">
        <f aca="false">E74*$M$2</f>
        <v>0</v>
      </c>
      <c r="H74" s="154" t="n">
        <f aca="false">'APUS COMUNICACIONES'!J41</f>
        <v>95.84</v>
      </c>
      <c r="I74" s="1" t="n">
        <f aca="false">G74*H74</f>
        <v>0</v>
      </c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A75" s="1" t="s">
        <v>1106</v>
      </c>
      <c r="E75" s="1" t="n">
        <v>0.00324914675767918</v>
      </c>
      <c r="F75" s="1" t="s">
        <v>143</v>
      </c>
      <c r="G75" s="76" t="n">
        <f aca="false">E75*$M$2</f>
        <v>0</v>
      </c>
      <c r="H75" s="154" t="n">
        <f aca="false">'APUS COMUNICACIONES'!J59</f>
        <v>26.4</v>
      </c>
      <c r="I75" s="1" t="n">
        <f aca="false">G75*H75</f>
        <v>0</v>
      </c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A76" s="1" t="s">
        <v>1108</v>
      </c>
      <c r="E76" s="1" t="n">
        <v>0.0677883959044369</v>
      </c>
      <c r="F76" s="1" t="s">
        <v>143</v>
      </c>
      <c r="G76" s="76" t="n">
        <f aca="false">E76*$M$2</f>
        <v>0</v>
      </c>
      <c r="H76" s="154" t="n">
        <f aca="false">'APUS COMUNICACIONES'!J77</f>
        <v>25</v>
      </c>
      <c r="I76" s="1" t="n">
        <f aca="false">G76*H76</f>
        <v>0</v>
      </c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A77" s="1" t="s">
        <v>1110</v>
      </c>
      <c r="E77" s="1" t="n">
        <v>0.274245733788396</v>
      </c>
      <c r="F77" s="1" t="s">
        <v>143</v>
      </c>
      <c r="G77" s="76" t="n">
        <f aca="false">E77*$M$2</f>
        <v>0</v>
      </c>
      <c r="H77" s="154" t="n">
        <f aca="false">'APUS COMUNICACIONES'!J95</f>
        <v>19.23</v>
      </c>
      <c r="I77" s="1" t="n">
        <f aca="false">G77*H77</f>
        <v>0</v>
      </c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A78" s="1" t="s">
        <v>1112</v>
      </c>
      <c r="E78" s="1" t="n">
        <v>0.00161092150170648</v>
      </c>
      <c r="F78" s="1" t="s">
        <v>143</v>
      </c>
      <c r="G78" s="76" t="n">
        <f aca="false">E78*$M$2</f>
        <v>0</v>
      </c>
      <c r="H78" s="154" t="n">
        <f aca="false">'APUS COMUNICACIONES'!J113</f>
        <v>16.37</v>
      </c>
      <c r="I78" s="1" t="n">
        <f aca="false">G78*H78</f>
        <v>0</v>
      </c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A79" s="1" t="s">
        <v>1114</v>
      </c>
      <c r="E79" s="1" t="n">
        <v>0.0068259385665529</v>
      </c>
      <c r="F79" s="1" t="s">
        <v>148</v>
      </c>
      <c r="G79" s="76" t="n">
        <f aca="false">E79*$M$2</f>
        <v>0</v>
      </c>
      <c r="H79" s="154" t="n">
        <f aca="false">'APUS COMUNICACIONES'!J131</f>
        <v>62.67</v>
      </c>
      <c r="I79" s="1" t="n">
        <f aca="false">G79*H79</f>
        <v>0</v>
      </c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A80" s="1" t="s">
        <v>1116</v>
      </c>
      <c r="E80" s="1" t="n">
        <v>0.0129692832764505</v>
      </c>
      <c r="F80" s="1" t="s">
        <v>148</v>
      </c>
      <c r="G80" s="76" t="n">
        <f aca="false">E80*$M$2</f>
        <v>0</v>
      </c>
      <c r="H80" s="154" t="n">
        <f aca="false">'APUS COMUNICACIONES'!J146</f>
        <v>58.85</v>
      </c>
      <c r="I80" s="1" t="n">
        <f aca="false">G80*H80</f>
        <v>0</v>
      </c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A81" s="1" t="s">
        <v>1118</v>
      </c>
      <c r="E81" s="1" t="n">
        <v>0.00204778156996587</v>
      </c>
      <c r="F81" s="1" t="s">
        <v>148</v>
      </c>
      <c r="G81" s="76" t="n">
        <f aca="false">E81*$M$2</f>
        <v>0</v>
      </c>
      <c r="H81" s="154" t="n">
        <f aca="false">'APUS COMUNICACIONES'!J161</f>
        <v>57.88</v>
      </c>
      <c r="I81" s="1" t="n">
        <f aca="false">G81*H81</f>
        <v>0</v>
      </c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A82" s="1" t="s">
        <v>1120</v>
      </c>
      <c r="E82" s="1" t="n">
        <v>0.0126279863481229</v>
      </c>
      <c r="F82" s="1" t="s">
        <v>143</v>
      </c>
      <c r="G82" s="76" t="n">
        <f aca="false">E82*$M$2</f>
        <v>0</v>
      </c>
      <c r="H82" s="154" t="n">
        <f aca="false">'APUS COMUNICACIONES'!J176</f>
        <v>99.34</v>
      </c>
      <c r="I82" s="1" t="n">
        <f aca="false">G82*H82</f>
        <v>0</v>
      </c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 t="s">
        <v>1121</v>
      </c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A84" s="255" t="s">
        <v>1151</v>
      </c>
    </row>
    <row r="85" customFormat="false" ht="15" hidden="false" customHeight="false" outlineLevel="0" collapsed="false">
      <c r="A85" s="1" t="s">
        <v>1155</v>
      </c>
      <c r="E85" s="1" t="n">
        <v>0.00273037542662116</v>
      </c>
      <c r="F85" s="1" t="s">
        <v>148</v>
      </c>
      <c r="G85" s="76" t="n">
        <f aca="false">E85*$M$2</f>
        <v>0</v>
      </c>
      <c r="H85" s="30" t="n">
        <f aca="false">'APUS COMUNICACIONES'!J422</f>
        <v>670.77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1157</v>
      </c>
      <c r="E86" s="1" t="n">
        <v>0.00273037542662116</v>
      </c>
      <c r="F86" s="1" t="s">
        <v>148</v>
      </c>
      <c r="G86" s="76" t="n">
        <f aca="false">E86*$M$2</f>
        <v>0</v>
      </c>
      <c r="H86" s="30" t="n">
        <f aca="false">'APUS COMUNICACIONES'!J440</f>
        <v>557.91</v>
      </c>
      <c r="I86" s="1" t="n">
        <f aca="false">G86*H86</f>
        <v>0</v>
      </c>
    </row>
    <row r="87" customFormat="false" ht="15" hidden="false" customHeight="false" outlineLevel="0" collapsed="false">
      <c r="A87" s="255" t="s">
        <v>1397</v>
      </c>
    </row>
    <row r="88" customFormat="false" ht="15" hidden="false" customHeight="false" outlineLevel="0" collapsed="false">
      <c r="A88" s="1" t="s">
        <v>1162</v>
      </c>
      <c r="E88" s="1" t="n">
        <v>0.0068259385665529</v>
      </c>
      <c r="F88" s="1" t="s">
        <v>148</v>
      </c>
      <c r="G88" s="76" t="n">
        <f aca="false">E88*$M$2</f>
        <v>0</v>
      </c>
      <c r="H88" s="30" t="n">
        <f aca="false">'APUS COMUNICACIONES'!J469</f>
        <v>404.74</v>
      </c>
      <c r="I88" s="1" t="n">
        <f aca="false">G88*H88</f>
        <v>0</v>
      </c>
    </row>
    <row r="89" customFormat="false" ht="15" hidden="false" customHeight="false" outlineLevel="0" collapsed="false">
      <c r="A89" s="255" t="s">
        <v>1163</v>
      </c>
    </row>
    <row r="90" customFormat="false" ht="15" hidden="false" customHeight="false" outlineLevel="0" collapsed="false">
      <c r="A90" s="1" t="s">
        <v>1167</v>
      </c>
      <c r="E90" s="1" t="n">
        <v>0.00273037542662116</v>
      </c>
      <c r="F90" s="1" t="s">
        <v>148</v>
      </c>
      <c r="G90" s="76" t="n">
        <f aca="false">E90*$M$2</f>
        <v>0</v>
      </c>
      <c r="H90" s="30" t="n">
        <f aca="false">'APUS COMUNICACIONES'!J497</f>
        <v>106.38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1169</v>
      </c>
      <c r="E91" s="1" t="n">
        <v>0.00273037542662116</v>
      </c>
      <c r="F91" s="1" t="s">
        <v>148</v>
      </c>
      <c r="G91" s="76" t="n">
        <f aca="false">E91*$M$2</f>
        <v>0</v>
      </c>
      <c r="H91" s="30" t="n">
        <f aca="false">'APUS COMUNICACIONES'!J513</f>
        <v>64.33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'!D63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SUM(I5:I77)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v>1.084375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 t="n">
        <v>1.7875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v>1.423375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I15" s="1" t="n">
        <f aca="false">G15*H15</f>
        <v>0</v>
      </c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I17" s="1" t="n">
        <f aca="false">G17*H17</f>
        <v>0</v>
      </c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I20" s="1" t="n">
        <f aca="false">G20*H20</f>
        <v>0</v>
      </c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 t="n">
        <v>1</v>
      </c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I27" s="1" t="n">
        <f aca="false">G27*H27</f>
        <v>0</v>
      </c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 t="n">
        <v>0.4925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/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I34" s="1" t="n">
        <f aca="false">G34*H34</f>
        <v>0</v>
      </c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 t="n">
        <v>0.105</v>
      </c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 t="n">
        <v>0.07</v>
      </c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/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I40" s="1" t="n">
        <f aca="false">G40*H40</f>
        <v>0</v>
      </c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2.7875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v>1.423375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I43" s="1" t="n">
        <f aca="false">G43*H43</f>
        <v>0</v>
      </c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v>0.025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v>0.025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v>0.025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I58" s="1" t="n">
        <f aca="false">G58*H58</f>
        <v>0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0.1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0.1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0.1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I63" s="1" t="n">
        <f aca="false">G63*H63</f>
        <v>0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0.025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0.025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'!D64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SUM(I5:I77)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v>0.744642857142857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 t="n">
        <v>0.3</v>
      </c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 t="n">
        <v>0.0857142857142857</v>
      </c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 t="n">
        <v>1.9125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v>0.819107142857143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/>
      <c r="I17" s="1" t="n">
        <f aca="false">G17*H17</f>
        <v>0</v>
      </c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/>
      <c r="I20" s="1" t="n">
        <f aca="false">G20*H20</f>
        <v>0</v>
      </c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 t="n">
        <v>1</v>
      </c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I27" s="1" t="n">
        <f aca="false">G27*H27</f>
        <v>0</v>
      </c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 t="n">
        <v>0.703571428571429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/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I34" s="1" t="n">
        <f aca="false">G34*H34</f>
        <v>0</v>
      </c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74" t="n">
        <v>0.15</v>
      </c>
      <c r="F35" s="1" t="s">
        <v>132</v>
      </c>
      <c r="G35" s="293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/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I40" s="1" t="n">
        <f aca="false">G40*H40</f>
        <v>0</v>
      </c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2.13214285714286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v>0.819107142857143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 t="n">
        <f aca="false">E43*$M$2</f>
        <v>0</v>
      </c>
      <c r="H43" s="30"/>
      <c r="I43" s="1" t="n">
        <f aca="false">G43*H43</f>
        <v>0</v>
      </c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 t="n">
        <v>0.125</v>
      </c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 t="n">
        <v>0.125</v>
      </c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 t="n">
        <v>0.125</v>
      </c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 t="n">
        <v>0.125</v>
      </c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G58" s="76" t="n">
        <f aca="false">E58*$M$2</f>
        <v>0</v>
      </c>
      <c r="I58" s="1" t="n">
        <f aca="false">G58*H58</f>
        <v>0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0.5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0.5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0.5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G63" s="76" t="n">
        <f aca="false">E63*$M$2</f>
        <v>0</v>
      </c>
      <c r="I63" s="1" t="n">
        <f aca="false">G63*H63</f>
        <v>0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0.125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0.125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'!D65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SUM(I5:I77)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 t="n">
        <v>0.5</v>
      </c>
      <c r="F6" s="231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231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231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231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231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 t="n">
        <v>0.5</v>
      </c>
      <c r="F13" s="1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 t="n">
        <v>0.5</v>
      </c>
      <c r="F14" s="1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G15" s="76" t="n">
        <f aca="false">E15*$M$2</f>
        <v>0</v>
      </c>
      <c r="H15" s="30"/>
      <c r="I15" s="1" t="n">
        <f aca="false">G15*H15</f>
        <v>0</v>
      </c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1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30"/>
      <c r="G17" s="76" t="n">
        <f aca="false">E17*$M$2</f>
        <v>0</v>
      </c>
      <c r="I17" s="1" t="n">
        <f aca="false">G17*H17</f>
        <v>0</v>
      </c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1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1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G20" s="76" t="n">
        <f aca="false">E20*$M$2</f>
        <v>0</v>
      </c>
      <c r="I20" s="1" t="n">
        <f aca="false">G20*H20</f>
        <v>0</v>
      </c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 t="n">
        <v>1</v>
      </c>
      <c r="F21" s="1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1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1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1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 t="n">
        <v>1</v>
      </c>
      <c r="F25" s="1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1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G27" s="76"/>
      <c r="I27" s="1" t="n">
        <f aca="false">G27*H27</f>
        <v>0</v>
      </c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 t="n">
        <v>0.416666666666667</v>
      </c>
      <c r="F28" s="1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 t="n">
        <v>0.409677419354839</v>
      </c>
      <c r="F29" s="1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1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1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1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1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G34" s="76"/>
      <c r="H34" s="30"/>
      <c r="I34" s="1" t="n">
        <f aca="false">G34*H34</f>
        <v>0</v>
      </c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/>
      <c r="F35" s="1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1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1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/>
      <c r="F38" s="1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1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G40" s="76"/>
      <c r="I40" s="1" t="n">
        <f aca="false">G40*H40</f>
        <v>0</v>
      </c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1.5</v>
      </c>
      <c r="F41" s="1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 t="n">
        <v>0.5</v>
      </c>
      <c r="F42" s="111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G43" s="76"/>
      <c r="H43" s="30"/>
      <c r="I43" s="1" t="n">
        <f aca="false">G43*H43</f>
        <v>0</v>
      </c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1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1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1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1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1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0.416666666666667</v>
      </c>
      <c r="F52" s="1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/>
      <c r="F53" s="1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/>
      <c r="F54" s="1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/>
      <c r="F55" s="1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1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1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I58" s="1" t="n">
        <f aca="false">G58*H58</f>
        <v>0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0.2</v>
      </c>
      <c r="F59" s="1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0.2</v>
      </c>
      <c r="F60" s="1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0.2</v>
      </c>
      <c r="F61" s="1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1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I63" s="1" t="n">
        <f aca="false">G63*H63</f>
        <v>0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0.1</v>
      </c>
      <c r="F64" s="1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0.1</v>
      </c>
      <c r="F65" s="1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1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1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H84" s="154"/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154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154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H87" s="154"/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154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H89" s="154"/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154"/>
    </row>
    <row r="91" customFormat="false" ht="15" hidden="false" customHeight="false" outlineLevel="0" collapsed="false">
      <c r="H91" s="154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'!D66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SUM(I5:I77)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/>
      <c r="F6" s="107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107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107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107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107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F11" s="6"/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F12" s="6"/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6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/>
      <c r="F14" s="6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F15" s="6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6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11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6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/>
      <c r="F19" s="6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F20" s="6"/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/>
      <c r="F21" s="6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6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6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 t="n">
        <v>1</v>
      </c>
      <c r="F24" s="6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6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6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F27" s="6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 t="n">
        <v>0.405</v>
      </c>
      <c r="F28" s="6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/>
      <c r="F29" s="6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6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6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6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6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F34" s="6"/>
      <c r="G34" s="76" t="n">
        <f aca="false">E34*$M$2</f>
        <v>0</v>
      </c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/>
      <c r="F35" s="6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6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6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/>
      <c r="F38" s="6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6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F40" s="6"/>
      <c r="G40" s="76" t="n">
        <f aca="false">E40*$M$2</f>
        <v>0</v>
      </c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0</v>
      </c>
      <c r="F41" s="6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/>
      <c r="F42" s="112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F43" s="6"/>
      <c r="G43" s="76" t="n">
        <f aca="false">E43*$M$2</f>
        <v>0</v>
      </c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6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6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6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6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6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6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/>
      <c r="F53" s="6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/>
      <c r="F54" s="6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/>
      <c r="F55" s="6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6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6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F58" s="6"/>
      <c r="G58" s="76" t="n">
        <f aca="false">E58*$M$2</f>
        <v>0</v>
      </c>
      <c r="I58" s="1" t="n">
        <f aca="false">G58*H58</f>
        <v>0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0.0480192076830732</v>
      </c>
      <c r="F59" s="6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0.0480192076830732</v>
      </c>
      <c r="F60" s="6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0.0480192076830732</v>
      </c>
      <c r="F61" s="6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6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F63" s="6"/>
      <c r="G63" s="76" t="n">
        <f aca="false">E63*$M$2</f>
        <v>0</v>
      </c>
      <c r="I63" s="1" t="n">
        <f aca="false">G63*H63</f>
        <v>0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0.0480192076830732</v>
      </c>
      <c r="F64" s="6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</v>
      </c>
      <c r="F65" s="6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6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6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F68" s="6"/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F69" s="6"/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F70" s="6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F71" s="6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'!D67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SUM(I5:I77)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/>
      <c r="F6" s="107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107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107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107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107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F11" s="6"/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F12" s="6"/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6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/>
      <c r="F14" s="6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F15" s="6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6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11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6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/>
      <c r="F19" s="6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F20" s="6"/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/>
      <c r="F21" s="6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6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6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 t="n">
        <v>1</v>
      </c>
      <c r="F24" s="6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6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6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F27" s="6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 t="n">
        <v>0.405</v>
      </c>
      <c r="F28" s="6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/>
      <c r="F29" s="6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6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6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6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6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F34" s="6"/>
      <c r="G34" s="76" t="n">
        <f aca="false">E34*$M$2</f>
        <v>0</v>
      </c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/>
      <c r="F35" s="6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6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6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/>
      <c r="F38" s="6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6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F40" s="6"/>
      <c r="G40" s="76" t="n">
        <f aca="false">E40*$M$2</f>
        <v>0</v>
      </c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 t="n">
        <v>0</v>
      </c>
      <c r="F41" s="6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/>
      <c r="F42" s="112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F43" s="6"/>
      <c r="G43" s="76" t="n">
        <f aca="false">E43*$M$2</f>
        <v>0</v>
      </c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6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6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6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6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6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 t="n">
        <v>0.096</v>
      </c>
      <c r="F52" s="6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/>
      <c r="F53" s="6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/>
      <c r="F54" s="6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/>
      <c r="F55" s="6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6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6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F58" s="6"/>
      <c r="G58" s="76" t="n">
        <f aca="false">E58*$M$2</f>
        <v>0</v>
      </c>
      <c r="I58" s="1" t="n">
        <f aca="false">G58*H58</f>
        <v>0</v>
      </c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0.0480192076830732</v>
      </c>
      <c r="F59" s="6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0.0480192076830732</v>
      </c>
      <c r="F60" s="6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0.0480192076830732</v>
      </c>
      <c r="F61" s="6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6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F63" s="6"/>
      <c r="G63" s="76" t="n">
        <f aca="false">E63*$M$2</f>
        <v>0</v>
      </c>
      <c r="I63" s="1" t="n">
        <f aca="false">G63*H63</f>
        <v>0</v>
      </c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0.0480192076830732</v>
      </c>
      <c r="F64" s="6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</v>
      </c>
      <c r="F65" s="6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6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6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F68" s="6"/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F69" s="6"/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F70" s="6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F71" s="6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9" t="s">
        <v>88</v>
      </c>
      <c r="M2" s="159" t="n">
        <f aca="false">'Datos iniciales '!D68</f>
        <v>0</v>
      </c>
    </row>
    <row r="3" customFormat="false" ht="15" hidden="false" customHeight="false" outlineLevel="0" collapsed="false">
      <c r="E3" s="38" t="s">
        <v>1223</v>
      </c>
      <c r="F3" s="38" t="s">
        <v>121</v>
      </c>
      <c r="G3" s="38" t="s">
        <v>122</v>
      </c>
      <c r="H3" s="38" t="s">
        <v>123</v>
      </c>
      <c r="I3" s="38" t="s">
        <v>452</v>
      </c>
      <c r="J3" s="38" t="s">
        <v>453</v>
      </c>
      <c r="L3" s="159"/>
      <c r="M3" s="256"/>
    </row>
    <row r="4" customFormat="false" ht="15" hidden="false" customHeight="false" outlineLevel="0" collapsed="false">
      <c r="A4" s="15"/>
      <c r="E4" s="59"/>
      <c r="F4" s="160"/>
      <c r="G4" s="76"/>
      <c r="H4" s="160"/>
      <c r="J4" s="1" t="n">
        <f aca="false">SUM(I5:I77)</f>
        <v>0</v>
      </c>
      <c r="L4" s="159" t="s">
        <v>1373</v>
      </c>
      <c r="M4" s="256" t="e">
        <f aca="false">J4/M2</f>
        <v>#DIV/0!</v>
      </c>
    </row>
    <row r="5" customFormat="false" ht="15" hidden="false" customHeight="false" outlineLevel="0" collapsed="false">
      <c r="A5" s="15" t="s">
        <v>751</v>
      </c>
      <c r="E5" s="59"/>
      <c r="G5" s="76"/>
    </row>
    <row r="6" customFormat="false" ht="16.4" hidden="false" customHeight="false" outlineLevel="0" collapsed="false">
      <c r="A6" s="1" t="s">
        <v>753</v>
      </c>
      <c r="E6" s="274"/>
      <c r="F6" s="107" t="s">
        <v>132</v>
      </c>
      <c r="G6" s="76" t="n">
        <f aca="false">E6*$M$2</f>
        <v>0</v>
      </c>
      <c r="H6" s="30" t="n">
        <f aca="false">'APUS ARQUITECTURA'!J5</f>
        <v>140.28</v>
      </c>
      <c r="I6" s="1" t="n">
        <f aca="false">G6*H6</f>
        <v>0</v>
      </c>
      <c r="O6" s="274"/>
      <c r="P6" s="274"/>
      <c r="Q6" s="274"/>
      <c r="R6" s="274"/>
      <c r="S6" s="274"/>
      <c r="T6" s="274"/>
      <c r="U6" s="275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5"/>
      <c r="AI6" s="275"/>
      <c r="AJ6" s="275"/>
      <c r="AK6" s="275"/>
      <c r="AL6" s="276"/>
      <c r="AM6" s="275"/>
      <c r="AN6" s="275"/>
      <c r="AO6" s="274"/>
      <c r="AP6" s="274"/>
      <c r="AR6" s="274"/>
      <c r="AS6" s="274"/>
      <c r="AT6" s="274"/>
      <c r="AU6" s="274"/>
      <c r="AV6" s="274"/>
      <c r="AW6" s="274"/>
      <c r="AX6" s="274"/>
      <c r="AY6" s="274"/>
    </row>
    <row r="7" customFormat="false" ht="16.4" hidden="false" customHeight="false" outlineLevel="0" collapsed="false">
      <c r="A7" s="1" t="s">
        <v>755</v>
      </c>
      <c r="E7" s="274"/>
      <c r="F7" s="107" t="s">
        <v>132</v>
      </c>
      <c r="G7" s="76" t="n">
        <f aca="false">E7*$M$2</f>
        <v>0</v>
      </c>
      <c r="H7" s="30" t="n">
        <f aca="false">'APUS ARQUITECTURA'!J32</f>
        <v>166.45</v>
      </c>
      <c r="I7" s="1" t="n">
        <f aca="false">G7*H7</f>
        <v>0</v>
      </c>
      <c r="O7" s="274"/>
      <c r="P7" s="274"/>
      <c r="Q7" s="274"/>
      <c r="R7" s="274"/>
      <c r="S7" s="274"/>
      <c r="T7" s="274"/>
      <c r="U7" s="274"/>
      <c r="V7" s="274"/>
      <c r="W7" s="274"/>
      <c r="X7" s="274"/>
      <c r="Y7" s="274"/>
      <c r="Z7" s="274"/>
      <c r="AA7" s="274"/>
      <c r="AB7" s="274"/>
      <c r="AC7" s="274"/>
      <c r="AD7" s="274"/>
      <c r="AE7" s="274"/>
      <c r="AF7" s="274"/>
      <c r="AG7" s="274"/>
      <c r="AH7" s="275"/>
      <c r="AI7" s="275"/>
      <c r="AJ7" s="275"/>
      <c r="AK7" s="275"/>
      <c r="AL7" s="276"/>
      <c r="AM7" s="275"/>
      <c r="AN7" s="275"/>
      <c r="AO7" s="274"/>
      <c r="AP7" s="274"/>
      <c r="AR7" s="274"/>
      <c r="AS7" s="274"/>
      <c r="AT7" s="274"/>
      <c r="AU7" s="274"/>
      <c r="AV7" s="274"/>
      <c r="AW7" s="274"/>
      <c r="AX7" s="274"/>
      <c r="AY7" s="274"/>
    </row>
    <row r="8" customFormat="false" ht="16.4" hidden="false" customHeight="false" outlineLevel="0" collapsed="false">
      <c r="A8" s="1" t="s">
        <v>757</v>
      </c>
      <c r="E8" s="274"/>
      <c r="F8" s="107" t="s">
        <v>132</v>
      </c>
      <c r="G8" s="76" t="n">
        <f aca="false">E8*$M$2</f>
        <v>0</v>
      </c>
      <c r="H8" s="30" t="n">
        <f aca="false">'APUS ARQUITECTURA'!J50</f>
        <v>141.07</v>
      </c>
      <c r="I8" s="1" t="n">
        <f aca="false">G8*H8</f>
        <v>0</v>
      </c>
      <c r="O8" s="274"/>
      <c r="P8" s="274"/>
      <c r="Q8" s="274"/>
      <c r="R8" s="274"/>
      <c r="S8" s="274"/>
      <c r="T8" s="274"/>
      <c r="U8" s="275"/>
      <c r="V8" s="274"/>
      <c r="W8" s="274"/>
      <c r="X8" s="274"/>
      <c r="Y8" s="274"/>
      <c r="Z8" s="274"/>
      <c r="AA8" s="274"/>
      <c r="AB8" s="274"/>
      <c r="AC8" s="274"/>
      <c r="AD8" s="275"/>
      <c r="AE8" s="275"/>
      <c r="AF8" s="274"/>
      <c r="AG8" s="274"/>
      <c r="AH8" s="275"/>
      <c r="AI8" s="275"/>
      <c r="AJ8" s="275"/>
      <c r="AK8" s="275"/>
      <c r="AL8" s="276"/>
      <c r="AM8" s="275"/>
      <c r="AN8" s="275"/>
      <c r="AO8" s="274"/>
      <c r="AP8" s="274"/>
      <c r="AR8" s="274"/>
      <c r="AS8" s="274"/>
      <c r="AT8" s="274"/>
      <c r="AU8" s="274"/>
      <c r="AV8" s="274"/>
      <c r="AW8" s="274"/>
      <c r="AX8" s="274"/>
      <c r="AY8" s="274"/>
    </row>
    <row r="9" customFormat="false" ht="15" hidden="false" customHeight="true" outlineLevel="0" collapsed="false">
      <c r="A9" s="1" t="s">
        <v>759</v>
      </c>
      <c r="E9" s="277"/>
      <c r="F9" s="107" t="s">
        <v>132</v>
      </c>
      <c r="G9" s="76" t="n">
        <f aca="false">E9*$M$2</f>
        <v>0</v>
      </c>
      <c r="H9" s="30" t="n">
        <f aca="false">'APUS ARQUITECTURA'!J74</f>
        <v>204.42</v>
      </c>
      <c r="I9" s="1" t="n">
        <f aca="false">G9*H9</f>
        <v>0</v>
      </c>
      <c r="O9" s="277"/>
      <c r="P9" s="277"/>
      <c r="Q9" s="277"/>
      <c r="R9" s="277"/>
      <c r="S9" s="277"/>
      <c r="T9" s="277"/>
      <c r="U9" s="278"/>
      <c r="V9" s="277"/>
      <c r="W9" s="277"/>
      <c r="X9" s="277"/>
      <c r="Y9" s="277"/>
      <c r="Z9" s="277"/>
      <c r="AA9" s="277"/>
      <c r="AB9" s="277"/>
      <c r="AC9" s="277"/>
      <c r="AD9" s="278"/>
      <c r="AE9" s="278"/>
      <c r="AF9" s="277"/>
      <c r="AG9" s="277"/>
      <c r="AH9" s="278"/>
      <c r="AI9" s="278"/>
      <c r="AJ9" s="278"/>
      <c r="AK9" s="278"/>
      <c r="AL9" s="279"/>
      <c r="AM9" s="278"/>
      <c r="AN9" s="278"/>
      <c r="AO9" s="277"/>
      <c r="AP9" s="277"/>
      <c r="AR9" s="277"/>
      <c r="AS9" s="277"/>
      <c r="AT9" s="277"/>
      <c r="AU9" s="277"/>
      <c r="AV9" s="277"/>
      <c r="AW9" s="277"/>
      <c r="AX9" s="277"/>
      <c r="AY9" s="277"/>
    </row>
    <row r="10" customFormat="false" ht="16.4" hidden="false" customHeight="false" outlineLevel="0" collapsed="false">
      <c r="A10" s="1" t="s">
        <v>761</v>
      </c>
      <c r="E10" s="277"/>
      <c r="F10" s="107" t="s">
        <v>132</v>
      </c>
      <c r="G10" s="76" t="n">
        <f aca="false">E10*$M$2</f>
        <v>0</v>
      </c>
      <c r="H10" s="30" t="n">
        <f aca="false">'APUS ARQUITECTURA'!J92</f>
        <v>470.89</v>
      </c>
      <c r="I10" s="1" t="n">
        <f aca="false">G10*H10</f>
        <v>0</v>
      </c>
      <c r="O10" s="277"/>
      <c r="P10" s="277"/>
      <c r="Q10" s="277"/>
      <c r="R10" s="277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278"/>
      <c r="AD10" s="278"/>
      <c r="AE10" s="278"/>
      <c r="AF10" s="278"/>
      <c r="AG10" s="278"/>
      <c r="AH10" s="278"/>
      <c r="AI10" s="278"/>
      <c r="AJ10" s="278"/>
      <c r="AK10" s="278"/>
      <c r="AL10" s="279"/>
      <c r="AM10" s="278"/>
      <c r="AN10" s="278"/>
      <c r="AO10" s="278"/>
      <c r="AP10" s="278"/>
      <c r="AQ10" s="213"/>
      <c r="AR10" s="278"/>
      <c r="AS10" s="278"/>
      <c r="AT10" s="278"/>
      <c r="AU10" s="278"/>
      <c r="AV10" s="278"/>
      <c r="AW10" s="278"/>
      <c r="AX10" s="278"/>
      <c r="AY10" s="278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</row>
    <row r="11" customFormat="false" ht="15" hidden="false" customHeight="false" outlineLevel="0" collapsed="false">
      <c r="A11" s="109" t="s">
        <v>762</v>
      </c>
      <c r="F11" s="6"/>
      <c r="G11" s="76"/>
      <c r="H11" s="30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213"/>
      <c r="AZ11" s="213"/>
      <c r="BA11" s="213"/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</row>
    <row r="12" customFormat="false" ht="15" hidden="false" customHeight="false" outlineLevel="0" collapsed="false">
      <c r="A12" s="15" t="s">
        <v>764</v>
      </c>
      <c r="F12" s="6"/>
      <c r="G12" s="76"/>
      <c r="H12" s="30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</row>
    <row r="13" customFormat="false" ht="15" hidden="false" customHeight="false" outlineLevel="0" collapsed="false">
      <c r="A13" s="1" t="s">
        <v>766</v>
      </c>
      <c r="E13" s="274"/>
      <c r="F13" s="6" t="s">
        <v>132</v>
      </c>
      <c r="G13" s="76" t="n">
        <f aca="false">E13*$M$2</f>
        <v>0</v>
      </c>
      <c r="H13" s="30" t="n">
        <f aca="false">'APUS ARQUITECTURA'!J127</f>
        <v>27.33</v>
      </c>
      <c r="I13" s="1" t="n">
        <f aca="false">G13*H13</f>
        <v>0</v>
      </c>
      <c r="O13" s="274"/>
      <c r="P13" s="274"/>
      <c r="Q13" s="274"/>
      <c r="R13" s="274"/>
      <c r="S13" s="275"/>
      <c r="T13" s="275"/>
      <c r="U13" s="275"/>
      <c r="V13" s="275"/>
      <c r="W13" s="276"/>
      <c r="X13" s="275"/>
      <c r="Y13" s="275"/>
      <c r="Z13" s="275"/>
      <c r="AA13" s="275"/>
      <c r="AB13" s="275"/>
      <c r="AC13" s="275"/>
      <c r="AD13" s="275"/>
      <c r="AE13" s="275"/>
      <c r="AF13" s="275"/>
      <c r="AG13" s="275"/>
      <c r="AH13" s="275"/>
      <c r="AI13" s="280"/>
      <c r="AJ13" s="280"/>
      <c r="AK13" s="275"/>
      <c r="AL13" s="276"/>
      <c r="AM13" s="275"/>
      <c r="AN13" s="275"/>
      <c r="AO13" s="275"/>
      <c r="AP13" s="275"/>
      <c r="AQ13" s="213"/>
      <c r="AR13" s="275"/>
      <c r="AS13" s="275"/>
      <c r="AT13" s="275"/>
      <c r="AU13" s="275"/>
      <c r="AV13" s="280"/>
      <c r="AW13" s="275"/>
      <c r="AX13" s="275"/>
      <c r="AY13" s="275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</row>
    <row r="14" customFormat="false" ht="15" hidden="false" customHeight="false" outlineLevel="0" collapsed="false">
      <c r="A14" s="1" t="s">
        <v>768</v>
      </c>
      <c r="E14" s="274"/>
      <c r="F14" s="6" t="s">
        <v>132</v>
      </c>
      <c r="G14" s="76" t="n">
        <f aca="false">E14*$M$2</f>
        <v>0</v>
      </c>
      <c r="H14" s="30" t="n">
        <f aca="false">'APUS ARQUITECTURA'!J148</f>
        <v>36.09</v>
      </c>
      <c r="I14" s="1" t="n">
        <f aca="false">G14*H14</f>
        <v>0</v>
      </c>
      <c r="O14" s="274"/>
      <c r="P14" s="274"/>
      <c r="Q14" s="274"/>
      <c r="R14" s="274"/>
      <c r="S14" s="275"/>
      <c r="T14" s="275"/>
      <c r="U14" s="275"/>
      <c r="V14" s="275"/>
      <c r="W14" s="275"/>
      <c r="X14" s="275"/>
      <c r="Y14" s="275"/>
      <c r="Z14" s="275"/>
      <c r="AA14" s="275"/>
      <c r="AB14" s="275"/>
      <c r="AC14" s="275"/>
      <c r="AD14" s="275"/>
      <c r="AE14" s="275"/>
      <c r="AF14" s="275"/>
      <c r="AG14" s="275"/>
      <c r="AH14" s="275"/>
      <c r="AI14" s="275"/>
      <c r="AJ14" s="275"/>
      <c r="AK14" s="275"/>
      <c r="AL14" s="276"/>
      <c r="AM14" s="275"/>
      <c r="AN14" s="275"/>
      <c r="AO14" s="275"/>
      <c r="AP14" s="275"/>
      <c r="AQ14" s="213"/>
      <c r="AR14" s="275"/>
      <c r="AS14" s="275"/>
      <c r="AT14" s="275"/>
      <c r="AU14" s="275"/>
      <c r="AV14" s="275"/>
      <c r="AW14" s="275"/>
      <c r="AX14" s="275"/>
      <c r="AY14" s="275"/>
      <c r="AZ14" s="213"/>
      <c r="BA14" s="213"/>
      <c r="BB14" s="213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</row>
    <row r="15" customFormat="false" ht="15" hidden="false" customHeight="false" outlineLevel="0" collapsed="false">
      <c r="A15" s="27" t="s">
        <v>770</v>
      </c>
      <c r="E15" s="274"/>
      <c r="F15" s="6"/>
      <c r="G15" s="76"/>
      <c r="H15" s="30"/>
      <c r="O15" s="274"/>
      <c r="P15" s="274"/>
      <c r="Q15" s="274"/>
      <c r="R15" s="274"/>
      <c r="S15" s="275"/>
      <c r="T15" s="275"/>
      <c r="U15" s="275"/>
      <c r="V15" s="275"/>
      <c r="W15" s="275"/>
      <c r="X15" s="275"/>
      <c r="Y15" s="275"/>
      <c r="Z15" s="275"/>
      <c r="AA15" s="275"/>
      <c r="AB15" s="275"/>
      <c r="AC15" s="275"/>
      <c r="AD15" s="275"/>
      <c r="AE15" s="275"/>
      <c r="AF15" s="275"/>
      <c r="AG15" s="275"/>
      <c r="AH15" s="275"/>
      <c r="AI15" s="275"/>
      <c r="AJ15" s="275"/>
      <c r="AK15" s="275"/>
      <c r="AL15" s="276"/>
      <c r="AM15" s="275"/>
      <c r="AN15" s="275"/>
      <c r="AO15" s="275"/>
      <c r="AP15" s="275"/>
      <c r="AQ15" s="213"/>
      <c r="AR15" s="275"/>
      <c r="AS15" s="275"/>
      <c r="AT15" s="275"/>
      <c r="AU15" s="275"/>
      <c r="AV15" s="275"/>
      <c r="AW15" s="275"/>
      <c r="AX15" s="275"/>
      <c r="AY15" s="275"/>
      <c r="AZ15" s="213"/>
      <c r="BA15" s="213"/>
      <c r="BB15" s="213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</row>
    <row r="16" customFormat="false" ht="15" hidden="false" customHeight="false" outlineLevel="0" collapsed="false">
      <c r="A16" s="1" t="s">
        <v>772</v>
      </c>
      <c r="E16" s="274"/>
      <c r="F16" s="6" t="s">
        <v>132</v>
      </c>
      <c r="G16" s="76" t="n">
        <f aca="false">E16*$M$2</f>
        <v>0</v>
      </c>
      <c r="H16" s="30" t="n">
        <f aca="false">'APUS ARQUITECTURA'!J168</f>
        <v>90.83</v>
      </c>
      <c r="I16" s="1" t="n">
        <f aca="false">G16*H16</f>
        <v>0</v>
      </c>
      <c r="O16" s="274"/>
      <c r="P16" s="274"/>
      <c r="Q16" s="274"/>
      <c r="R16" s="274"/>
      <c r="S16" s="275"/>
      <c r="T16" s="275"/>
      <c r="U16" s="275"/>
      <c r="V16" s="275"/>
      <c r="W16" s="276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6"/>
      <c r="AM16" s="275"/>
      <c r="AN16" s="275"/>
      <c r="AO16" s="275"/>
      <c r="AP16" s="275"/>
      <c r="AQ16" s="213"/>
      <c r="AR16" s="275"/>
      <c r="AS16" s="275"/>
      <c r="AT16" s="275"/>
      <c r="AU16" s="275"/>
      <c r="AV16" s="275"/>
      <c r="AW16" s="275"/>
      <c r="AX16" s="275"/>
      <c r="AY16" s="275"/>
      <c r="AZ16" s="213"/>
      <c r="BA16" s="213"/>
      <c r="BB16" s="213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</row>
    <row r="17" customFormat="false" ht="15" hidden="false" customHeight="true" outlineLevel="0" collapsed="false">
      <c r="A17" s="27" t="s">
        <v>774</v>
      </c>
      <c r="D17" s="59"/>
      <c r="F17" s="110"/>
      <c r="G17" s="76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213"/>
      <c r="AW17" s="213"/>
      <c r="AX17" s="213"/>
      <c r="AY17" s="213"/>
      <c r="AZ17" s="213"/>
      <c r="BA17" s="213"/>
      <c r="BB17" s="213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</row>
    <row r="18" customFormat="false" ht="15" hidden="false" customHeight="false" outlineLevel="0" collapsed="false">
      <c r="A18" s="1" t="s">
        <v>776</v>
      </c>
      <c r="E18" s="274"/>
      <c r="F18" s="6" t="s">
        <v>202</v>
      </c>
      <c r="G18" s="76" t="n">
        <f aca="false">E18*$M$2</f>
        <v>0</v>
      </c>
      <c r="H18" s="30" t="n">
        <f aca="false">'APUS ARQUITECTURA'!J188</f>
        <v>213.2</v>
      </c>
      <c r="I18" s="1" t="n">
        <f aca="false">G18*H18</f>
        <v>0</v>
      </c>
      <c r="O18" s="274"/>
      <c r="P18" s="274"/>
      <c r="Q18" s="274"/>
      <c r="R18" s="274"/>
      <c r="S18" s="275"/>
      <c r="T18" s="275"/>
      <c r="U18" s="275"/>
      <c r="V18" s="275"/>
      <c r="W18" s="276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6"/>
      <c r="AM18" s="275"/>
      <c r="AN18" s="275"/>
      <c r="AO18" s="275"/>
      <c r="AP18" s="275"/>
      <c r="AQ18" s="213"/>
      <c r="AR18" s="275"/>
      <c r="AS18" s="275"/>
      <c r="AT18" s="275"/>
      <c r="AU18" s="275"/>
      <c r="AV18" s="275"/>
      <c r="AW18" s="275"/>
      <c r="AX18" s="275"/>
      <c r="AY18" s="275"/>
      <c r="AZ18" s="213"/>
      <c r="BA18" s="213"/>
      <c r="BB18" s="213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</row>
    <row r="19" customFormat="false" ht="15" hidden="false" customHeight="false" outlineLevel="0" collapsed="false">
      <c r="A19" s="1" t="s">
        <v>778</v>
      </c>
      <c r="E19" s="274" t="n">
        <v>1</v>
      </c>
      <c r="F19" s="6" t="s">
        <v>202</v>
      </c>
      <c r="G19" s="76" t="n">
        <f aca="false">E19*$M$2</f>
        <v>0</v>
      </c>
      <c r="H19" s="30" t="n">
        <f aca="false">'APUS ARQUITECTURA'!J212</f>
        <v>61.77</v>
      </c>
      <c r="I19" s="1" t="n">
        <f aca="false">G19*H19</f>
        <v>0</v>
      </c>
      <c r="O19" s="274"/>
      <c r="P19" s="274"/>
      <c r="Q19" s="274"/>
      <c r="R19" s="274"/>
      <c r="S19" s="275"/>
      <c r="T19" s="275"/>
      <c r="U19" s="275"/>
      <c r="V19" s="275"/>
      <c r="W19" s="276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6"/>
      <c r="AM19" s="275"/>
      <c r="AN19" s="275"/>
      <c r="AO19" s="275"/>
      <c r="AP19" s="275"/>
      <c r="AQ19" s="213"/>
      <c r="AR19" s="275"/>
      <c r="AS19" s="275"/>
      <c r="AT19" s="275"/>
      <c r="AU19" s="275"/>
      <c r="AV19" s="275"/>
      <c r="AW19" s="275"/>
      <c r="AX19" s="275"/>
      <c r="AY19" s="275"/>
      <c r="AZ19" s="213"/>
      <c r="BA19" s="213"/>
      <c r="BB19" s="213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</row>
    <row r="20" customFormat="false" ht="15" hidden="false" customHeight="false" outlineLevel="0" collapsed="false">
      <c r="A20" s="15" t="s">
        <v>779</v>
      </c>
      <c r="F20" s="6"/>
      <c r="G20" s="76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13"/>
      <c r="AS20" s="213"/>
      <c r="AT20" s="213"/>
      <c r="AU20" s="213"/>
      <c r="AV20" s="213"/>
      <c r="AW20" s="213"/>
      <c r="AX20" s="213"/>
      <c r="AY20" s="213"/>
      <c r="AZ20" s="213"/>
      <c r="BA20" s="213"/>
      <c r="BB20" s="213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</row>
    <row r="21" customFormat="false" ht="15" hidden="false" customHeight="false" outlineLevel="0" collapsed="false">
      <c r="A21" s="1" t="s">
        <v>781</v>
      </c>
      <c r="E21" s="274"/>
      <c r="F21" s="6" t="s">
        <v>132</v>
      </c>
      <c r="G21" s="76" t="n">
        <f aca="false">E21*$M$2</f>
        <v>0</v>
      </c>
      <c r="H21" s="30" t="n">
        <f aca="false">'APUS ARQUITECTURA'!J232</f>
        <v>49.7</v>
      </c>
      <c r="I21" s="1" t="n">
        <f aca="false">G21*H21</f>
        <v>0</v>
      </c>
      <c r="O21" s="274"/>
      <c r="P21" s="274"/>
      <c r="Q21" s="274"/>
      <c r="R21" s="274"/>
      <c r="S21" s="275"/>
      <c r="T21" s="275"/>
      <c r="U21" s="275"/>
      <c r="V21" s="275"/>
      <c r="W21" s="276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6"/>
      <c r="AM21" s="275"/>
      <c r="AN21" s="275"/>
      <c r="AO21" s="275"/>
      <c r="AP21" s="275"/>
      <c r="AQ21" s="213"/>
      <c r="AR21" s="275"/>
      <c r="AS21" s="275"/>
      <c r="AT21" s="275"/>
      <c r="AU21" s="275"/>
      <c r="AV21" s="275"/>
      <c r="AW21" s="275"/>
      <c r="AX21" s="275"/>
      <c r="AY21" s="275"/>
      <c r="AZ21" s="213"/>
      <c r="BA21" s="213"/>
      <c r="BB21" s="213"/>
      <c r="BC21" s="213"/>
      <c r="BD21" s="213"/>
      <c r="BE21" s="213"/>
      <c r="BF21" s="213"/>
      <c r="BG21" s="213"/>
      <c r="BH21" s="213"/>
      <c r="BI21" s="213"/>
      <c r="BJ21" s="213"/>
      <c r="BK21" s="213"/>
      <c r="BL21" s="213"/>
      <c r="BM21" s="213"/>
      <c r="BN21" s="213"/>
      <c r="BO21" s="213"/>
      <c r="BP21" s="213"/>
    </row>
    <row r="22" customFormat="false" ht="15" hidden="false" customHeight="true" outlineLevel="0" collapsed="false">
      <c r="A22" s="1" t="s">
        <v>783</v>
      </c>
      <c r="E22" s="274"/>
      <c r="F22" s="6" t="s">
        <v>132</v>
      </c>
      <c r="G22" s="76" t="n">
        <f aca="false">E22*$M$2</f>
        <v>0</v>
      </c>
      <c r="H22" s="30" t="n">
        <f aca="false">'APUS ARQUITECTURA'!J252</f>
        <v>206.77</v>
      </c>
      <c r="I22" s="1" t="n">
        <f aca="false">G22*H22</f>
        <v>0</v>
      </c>
      <c r="O22" s="274"/>
      <c r="P22" s="274"/>
      <c r="Q22" s="274"/>
      <c r="R22" s="274"/>
      <c r="S22" s="275"/>
      <c r="T22" s="275"/>
      <c r="U22" s="275"/>
      <c r="V22" s="275"/>
      <c r="W22" s="276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6"/>
      <c r="AM22" s="275"/>
      <c r="AN22" s="275"/>
      <c r="AO22" s="275"/>
      <c r="AP22" s="275"/>
      <c r="AQ22" s="213"/>
      <c r="AR22" s="275"/>
      <c r="AS22" s="275"/>
      <c r="AT22" s="275"/>
      <c r="AU22" s="275"/>
      <c r="AV22" s="275"/>
      <c r="AW22" s="275"/>
      <c r="AX22" s="275"/>
      <c r="AY22" s="275"/>
      <c r="AZ22" s="213"/>
      <c r="BA22" s="213"/>
      <c r="BB22" s="213"/>
      <c r="BC22" s="213"/>
      <c r="BD22" s="213"/>
      <c r="BE22" s="213"/>
      <c r="BF22" s="213"/>
      <c r="BG22" s="213"/>
      <c r="BH22" s="213"/>
      <c r="BI22" s="213"/>
      <c r="BJ22" s="213"/>
      <c r="BK22" s="213"/>
      <c r="BL22" s="213"/>
      <c r="BM22" s="213"/>
      <c r="BN22" s="213"/>
      <c r="BO22" s="213"/>
      <c r="BP22" s="213"/>
    </row>
    <row r="23" customFormat="false" ht="15" hidden="false" customHeight="false" outlineLevel="0" collapsed="false">
      <c r="A23" s="1" t="s">
        <v>785</v>
      </c>
      <c r="E23" s="274"/>
      <c r="F23" s="6" t="s">
        <v>132</v>
      </c>
      <c r="G23" s="76" t="n">
        <f aca="false">E23*$M$2</f>
        <v>0</v>
      </c>
      <c r="H23" s="30" t="n">
        <f aca="false">'APUS ARQUITECTURA'!J272</f>
        <v>102.66</v>
      </c>
      <c r="I23" s="1" t="n">
        <f aca="false">G23*H23</f>
        <v>0</v>
      </c>
      <c r="O23" s="274"/>
      <c r="P23" s="274"/>
      <c r="Q23" s="274"/>
      <c r="R23" s="274"/>
      <c r="S23" s="275"/>
      <c r="T23" s="275"/>
      <c r="U23" s="275"/>
      <c r="V23" s="275"/>
      <c r="W23" s="276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6"/>
      <c r="AM23" s="275"/>
      <c r="AN23" s="275"/>
      <c r="AO23" s="275"/>
      <c r="AP23" s="275"/>
      <c r="AQ23" s="213"/>
      <c r="AR23" s="275"/>
      <c r="AS23" s="275"/>
      <c r="AT23" s="275"/>
      <c r="AU23" s="275"/>
      <c r="AV23" s="275"/>
      <c r="AW23" s="275"/>
      <c r="AX23" s="275"/>
      <c r="AY23" s="275"/>
      <c r="AZ23" s="213"/>
      <c r="BA23" s="213"/>
      <c r="BB23" s="213"/>
      <c r="BC23" s="213"/>
      <c r="BD23" s="213"/>
      <c r="BE23" s="213"/>
      <c r="BF23" s="213"/>
      <c r="BG23" s="213"/>
      <c r="BH23" s="213"/>
      <c r="BI23" s="213"/>
      <c r="BJ23" s="213"/>
      <c r="BK23" s="213"/>
      <c r="BL23" s="213"/>
      <c r="BM23" s="213"/>
      <c r="BN23" s="213"/>
      <c r="BO23" s="213"/>
      <c r="BP23" s="213"/>
    </row>
    <row r="24" customFormat="false" ht="15" hidden="false" customHeight="true" outlineLevel="0" collapsed="false">
      <c r="A24" s="1" t="s">
        <v>787</v>
      </c>
      <c r="E24" s="274"/>
      <c r="F24" s="6" t="s">
        <v>132</v>
      </c>
      <c r="G24" s="76" t="n">
        <f aca="false">E24*$M$2</f>
        <v>0</v>
      </c>
      <c r="H24" s="30" t="n">
        <f aca="false">'APUS ARQUITECTURA'!J292</f>
        <v>47.44</v>
      </c>
      <c r="I24" s="1" t="n">
        <f aca="false">G24*H24</f>
        <v>0</v>
      </c>
      <c r="O24" s="274"/>
      <c r="P24" s="274"/>
      <c r="Q24" s="274"/>
      <c r="R24" s="274"/>
      <c r="S24" s="275"/>
      <c r="T24" s="275"/>
      <c r="U24" s="275"/>
      <c r="V24" s="275"/>
      <c r="W24" s="276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6"/>
      <c r="AM24" s="275"/>
      <c r="AN24" s="275"/>
      <c r="AO24" s="275"/>
      <c r="AP24" s="275"/>
      <c r="AQ24" s="213"/>
      <c r="AR24" s="275"/>
      <c r="AS24" s="275"/>
      <c r="AT24" s="275"/>
      <c r="AU24" s="275"/>
      <c r="AV24" s="275"/>
      <c r="AW24" s="275"/>
      <c r="AX24" s="275"/>
      <c r="AY24" s="275"/>
      <c r="AZ24" s="213"/>
      <c r="BA24" s="213"/>
      <c r="BB24" s="213"/>
      <c r="BC24" s="213"/>
      <c r="BD24" s="213"/>
      <c r="BE24" s="213"/>
      <c r="BF24" s="213"/>
      <c r="BG24" s="213"/>
      <c r="BH24" s="213"/>
      <c r="BI24" s="213"/>
      <c r="BJ24" s="213"/>
      <c r="BK24" s="213"/>
      <c r="BL24" s="213"/>
      <c r="BM24" s="213"/>
      <c r="BN24" s="213"/>
      <c r="BO24" s="213"/>
      <c r="BP24" s="213"/>
    </row>
    <row r="25" customFormat="false" ht="15" hidden="false" customHeight="true" outlineLevel="0" collapsed="false">
      <c r="A25" s="1" t="s">
        <v>789</v>
      </c>
      <c r="E25" s="274"/>
      <c r="F25" s="6" t="s">
        <v>132</v>
      </c>
      <c r="G25" s="76" t="n">
        <f aca="false">E25*$M$2</f>
        <v>0</v>
      </c>
      <c r="H25" s="30" t="n">
        <f aca="false">'APUS ARQUITECTURA'!J318</f>
        <v>51.99</v>
      </c>
      <c r="I25" s="1" t="n">
        <f aca="false">G25*H25</f>
        <v>0</v>
      </c>
      <c r="O25" s="274"/>
      <c r="P25" s="274"/>
      <c r="Q25" s="274"/>
      <c r="R25" s="274"/>
      <c r="S25" s="275"/>
      <c r="T25" s="275"/>
      <c r="U25" s="275"/>
      <c r="V25" s="275"/>
      <c r="W25" s="276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6"/>
      <c r="AM25" s="275"/>
      <c r="AN25" s="275"/>
      <c r="AO25" s="275"/>
      <c r="AP25" s="275"/>
      <c r="AQ25" s="213"/>
      <c r="AR25" s="275"/>
      <c r="AS25" s="275"/>
      <c r="AT25" s="275"/>
      <c r="AU25" s="275"/>
      <c r="AV25" s="275"/>
      <c r="AW25" s="275"/>
      <c r="AX25" s="275"/>
      <c r="AY25" s="275"/>
      <c r="AZ25" s="213"/>
      <c r="BA25" s="213"/>
      <c r="BB25" s="213"/>
      <c r="BC25" s="213"/>
      <c r="BD25" s="213"/>
      <c r="BE25" s="213"/>
      <c r="BF25" s="213"/>
      <c r="BG25" s="213"/>
      <c r="BH25" s="213"/>
      <c r="BI25" s="213"/>
      <c r="BJ25" s="213"/>
      <c r="BK25" s="213"/>
      <c r="BL25" s="213"/>
      <c r="BM25" s="213"/>
      <c r="BN25" s="213"/>
      <c r="BO25" s="213"/>
      <c r="BP25" s="213"/>
    </row>
    <row r="26" customFormat="false" ht="15" hidden="false" customHeight="true" outlineLevel="0" collapsed="false">
      <c r="A26" s="1" t="s">
        <v>1393</v>
      </c>
      <c r="E26" s="274"/>
      <c r="F26" s="6" t="s">
        <v>132</v>
      </c>
      <c r="G26" s="76" t="n">
        <f aca="false">E26*$M$2</f>
        <v>0</v>
      </c>
      <c r="H26" s="30" t="n">
        <f aca="false">'APUS ARQUITECTURA'!J340</f>
        <v>201.23</v>
      </c>
      <c r="I26" s="1" t="n">
        <f aca="false">G26*H26</f>
        <v>0</v>
      </c>
      <c r="O26" s="274"/>
      <c r="P26" s="274"/>
      <c r="Q26" s="274"/>
      <c r="R26" s="274"/>
      <c r="S26" s="275"/>
      <c r="T26" s="275"/>
      <c r="U26" s="275"/>
      <c r="V26" s="275"/>
      <c r="W26" s="276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6"/>
      <c r="AM26" s="275"/>
      <c r="AN26" s="275"/>
      <c r="AO26" s="275"/>
      <c r="AP26" s="275"/>
      <c r="AQ26" s="213"/>
      <c r="AR26" s="275"/>
      <c r="AS26" s="275"/>
      <c r="AT26" s="275"/>
      <c r="AU26" s="275"/>
      <c r="AV26" s="275"/>
      <c r="AW26" s="275"/>
      <c r="AX26" s="275"/>
      <c r="AY26" s="275"/>
      <c r="AZ26" s="213"/>
      <c r="BA26" s="213"/>
      <c r="BB26" s="213"/>
      <c r="BC26" s="213"/>
      <c r="BD26" s="213"/>
      <c r="BE26" s="213"/>
      <c r="BF26" s="213"/>
      <c r="BG26" s="213"/>
      <c r="BH26" s="213"/>
      <c r="BI26" s="213"/>
      <c r="BJ26" s="213"/>
      <c r="BK26" s="213"/>
      <c r="BL26" s="213"/>
      <c r="BM26" s="213"/>
      <c r="BN26" s="213"/>
      <c r="BO26" s="213"/>
      <c r="BP26" s="213"/>
    </row>
    <row r="27" customFormat="false" ht="15" hidden="false" customHeight="true" outlineLevel="0" collapsed="false">
      <c r="A27" s="15" t="s">
        <v>792</v>
      </c>
      <c r="E27" s="274"/>
      <c r="F27" s="6"/>
      <c r="G27" s="76"/>
      <c r="O27" s="274"/>
      <c r="P27" s="274"/>
      <c r="Q27" s="274"/>
      <c r="R27" s="274"/>
      <c r="S27" s="275"/>
      <c r="T27" s="275"/>
      <c r="U27" s="275"/>
      <c r="V27" s="275"/>
      <c r="W27" s="276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6"/>
      <c r="AM27" s="275"/>
      <c r="AN27" s="275"/>
      <c r="AO27" s="275"/>
      <c r="AP27" s="275"/>
      <c r="AQ27" s="213"/>
      <c r="AR27" s="275"/>
      <c r="AS27" s="275"/>
      <c r="AT27" s="275"/>
      <c r="AU27" s="275"/>
      <c r="AV27" s="275"/>
      <c r="AW27" s="275"/>
      <c r="AX27" s="275"/>
      <c r="AY27" s="275"/>
      <c r="AZ27" s="213"/>
      <c r="BA27" s="213"/>
      <c r="BB27" s="213"/>
      <c r="BC27" s="213"/>
      <c r="BD27" s="213"/>
      <c r="BE27" s="213"/>
      <c r="BF27" s="213"/>
      <c r="BG27" s="213"/>
      <c r="BH27" s="213"/>
      <c r="BI27" s="213"/>
      <c r="BJ27" s="213"/>
      <c r="BK27" s="213"/>
      <c r="BL27" s="213"/>
      <c r="BM27" s="213"/>
      <c r="BN27" s="213"/>
      <c r="BO27" s="213"/>
      <c r="BP27" s="213"/>
    </row>
    <row r="28" customFormat="false" ht="15" hidden="false" customHeight="true" outlineLevel="0" collapsed="false">
      <c r="A28" s="1" t="s">
        <v>794</v>
      </c>
      <c r="E28" s="274"/>
      <c r="F28" s="6" t="s">
        <v>143</v>
      </c>
      <c r="G28" s="76" t="n">
        <f aca="false">E28*$M$2</f>
        <v>0</v>
      </c>
      <c r="H28" s="30" t="n">
        <f aca="false">'APUS ARQUITECTURA'!J347</f>
        <v>20.57</v>
      </c>
      <c r="I28" s="1" t="n">
        <f aca="false">G28*H28</f>
        <v>0</v>
      </c>
      <c r="O28" s="274"/>
      <c r="P28" s="274"/>
      <c r="Q28" s="274"/>
      <c r="R28" s="274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6"/>
      <c r="AM28" s="275"/>
      <c r="AN28" s="275"/>
      <c r="AO28" s="275"/>
      <c r="AP28" s="275"/>
      <c r="AQ28" s="213"/>
      <c r="AR28" s="275"/>
      <c r="AS28" s="275"/>
      <c r="AT28" s="275"/>
      <c r="AU28" s="275"/>
      <c r="AV28" s="275"/>
      <c r="AW28" s="275"/>
      <c r="AX28" s="275"/>
      <c r="AY28" s="275"/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213"/>
      <c r="BO28" s="213"/>
      <c r="BP28" s="213"/>
    </row>
    <row r="29" customFormat="false" ht="15" hidden="false" customHeight="true" outlineLevel="0" collapsed="false">
      <c r="A29" s="1" t="s">
        <v>796</v>
      </c>
      <c r="E29" s="274"/>
      <c r="F29" s="6" t="s">
        <v>143</v>
      </c>
      <c r="G29" s="76" t="n">
        <f aca="false">E29*$M$2</f>
        <v>0</v>
      </c>
      <c r="H29" s="30" t="n">
        <f aca="false">'APUS ARQUITECTURA'!J364</f>
        <v>26.69</v>
      </c>
      <c r="I29" s="1" t="n">
        <f aca="false">G29*H29</f>
        <v>0</v>
      </c>
      <c r="O29" s="274"/>
      <c r="P29" s="274"/>
      <c r="Q29" s="274"/>
      <c r="R29" s="274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6"/>
      <c r="AM29" s="275"/>
      <c r="AN29" s="275"/>
      <c r="AO29" s="275"/>
      <c r="AP29" s="275"/>
      <c r="AQ29" s="213"/>
      <c r="AR29" s="275"/>
      <c r="AS29" s="275"/>
      <c r="AT29" s="275"/>
      <c r="AU29" s="275"/>
      <c r="AV29" s="275"/>
      <c r="AW29" s="275"/>
      <c r="AX29" s="275"/>
      <c r="AY29" s="275"/>
      <c r="AZ29" s="213"/>
      <c r="BA29" s="213"/>
      <c r="BB29" s="213"/>
      <c r="BC29" s="213"/>
      <c r="BD29" s="213"/>
      <c r="BE29" s="213"/>
      <c r="BF29" s="213"/>
      <c r="BG29" s="213"/>
      <c r="BH29" s="213"/>
      <c r="BI29" s="213"/>
      <c r="BJ29" s="213"/>
      <c r="BK29" s="213"/>
      <c r="BL29" s="213"/>
      <c r="BM29" s="213"/>
      <c r="BN29" s="213"/>
      <c r="BO29" s="213"/>
      <c r="BP29" s="213"/>
    </row>
    <row r="30" customFormat="false" ht="15" hidden="false" customHeight="true" outlineLevel="0" collapsed="false">
      <c r="A30" s="1" t="s">
        <v>798</v>
      </c>
      <c r="E30" s="274"/>
      <c r="F30" s="6" t="s">
        <v>143</v>
      </c>
      <c r="G30" s="76" t="n">
        <f aca="false">E30*$M$2</f>
        <v>0</v>
      </c>
      <c r="H30" s="30" t="n">
        <f aca="false">'APUS ARQUITECTURA'!J383</f>
        <v>36.53</v>
      </c>
      <c r="I30" s="1" t="n">
        <f aca="false">G30*H30</f>
        <v>0</v>
      </c>
      <c r="O30" s="274"/>
      <c r="P30" s="274"/>
      <c r="Q30" s="274"/>
      <c r="R30" s="274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6"/>
      <c r="AM30" s="275"/>
      <c r="AN30" s="275"/>
      <c r="AO30" s="275"/>
      <c r="AP30" s="275"/>
      <c r="AQ30" s="213"/>
      <c r="AR30" s="275"/>
      <c r="AS30" s="275"/>
      <c r="AT30" s="275"/>
      <c r="AU30" s="275"/>
      <c r="AV30" s="275"/>
      <c r="AW30" s="275"/>
      <c r="AX30" s="275"/>
      <c r="AY30" s="275"/>
      <c r="AZ30" s="213"/>
      <c r="BA30" s="213"/>
      <c r="BB30" s="213"/>
      <c r="BC30" s="213"/>
      <c r="BD30" s="213"/>
      <c r="BE30" s="213"/>
      <c r="BF30" s="213"/>
      <c r="BG30" s="213"/>
      <c r="BH30" s="213"/>
      <c r="BI30" s="213"/>
      <c r="BJ30" s="213"/>
      <c r="BK30" s="213"/>
      <c r="BL30" s="213"/>
      <c r="BM30" s="213"/>
      <c r="BN30" s="213"/>
      <c r="BO30" s="213"/>
      <c r="BP30" s="213"/>
    </row>
    <row r="31" customFormat="false" ht="15" hidden="false" customHeight="true" outlineLevel="0" collapsed="false">
      <c r="A31" s="1" t="s">
        <v>800</v>
      </c>
      <c r="E31" s="274"/>
      <c r="F31" s="6" t="s">
        <v>143</v>
      </c>
      <c r="G31" s="76" t="n">
        <f aca="false">E31*$M$2</f>
        <v>0</v>
      </c>
      <c r="H31" s="30" t="n">
        <f aca="false">'APUS ARQUITECTURA'!J403</f>
        <v>25</v>
      </c>
      <c r="I31" s="1" t="n">
        <f aca="false">G31*H31</f>
        <v>0</v>
      </c>
      <c r="O31" s="274"/>
      <c r="P31" s="274"/>
      <c r="Q31" s="274"/>
      <c r="R31" s="274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6"/>
      <c r="AM31" s="275"/>
      <c r="AN31" s="275"/>
      <c r="AO31" s="275"/>
      <c r="AP31" s="275"/>
      <c r="AQ31" s="213"/>
      <c r="AR31" s="275"/>
      <c r="AS31" s="275"/>
      <c r="AT31" s="275"/>
      <c r="AU31" s="275"/>
      <c r="AV31" s="275"/>
      <c r="AW31" s="275"/>
      <c r="AX31" s="275"/>
      <c r="AY31" s="275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</row>
    <row r="32" customFormat="false" ht="15" hidden="false" customHeight="true" outlineLevel="0" collapsed="false">
      <c r="A32" s="1" t="s">
        <v>802</v>
      </c>
      <c r="E32" s="274"/>
      <c r="F32" s="6" t="s">
        <v>143</v>
      </c>
      <c r="G32" s="76" t="n">
        <f aca="false">E32*$M$2</f>
        <v>0</v>
      </c>
      <c r="H32" s="30" t="n">
        <f aca="false">'APUS ARQUITECTURA'!J410</f>
        <v>44.19</v>
      </c>
      <c r="I32" s="1" t="n">
        <f aca="false">G32*H32</f>
        <v>0</v>
      </c>
      <c r="O32" s="274"/>
      <c r="P32" s="274"/>
      <c r="Q32" s="274"/>
      <c r="R32" s="274"/>
      <c r="S32" s="275"/>
      <c r="T32" s="275"/>
      <c r="U32" s="275"/>
      <c r="V32" s="275"/>
      <c r="W32" s="276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6"/>
      <c r="AM32" s="275"/>
      <c r="AN32" s="275"/>
      <c r="AO32" s="275"/>
      <c r="AP32" s="275"/>
      <c r="AQ32" s="213"/>
      <c r="AR32" s="275"/>
      <c r="AS32" s="275"/>
      <c r="AT32" s="275"/>
      <c r="AU32" s="275"/>
      <c r="AV32" s="275"/>
      <c r="AW32" s="275"/>
      <c r="AX32" s="275"/>
      <c r="AY32" s="275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  <c r="BK32" s="213"/>
      <c r="BL32" s="213"/>
      <c r="BM32" s="213"/>
      <c r="BN32" s="213"/>
      <c r="BO32" s="213"/>
      <c r="BP32" s="213"/>
    </row>
    <row r="33" customFormat="false" ht="15" hidden="false" customHeight="true" outlineLevel="0" collapsed="false">
      <c r="A33" s="1" t="s">
        <v>804</v>
      </c>
      <c r="E33" s="274"/>
      <c r="F33" s="6" t="s">
        <v>143</v>
      </c>
      <c r="G33" s="76" t="n">
        <f aca="false">E33*$M$2</f>
        <v>0</v>
      </c>
      <c r="H33" s="30" t="n">
        <f aca="false">'APUS ARQUITECTURA'!J430</f>
        <v>84.43</v>
      </c>
      <c r="I33" s="1" t="n">
        <f aca="false">G33*H33</f>
        <v>0</v>
      </c>
      <c r="O33" s="274"/>
      <c r="P33" s="274"/>
      <c r="Q33" s="274"/>
      <c r="R33" s="274"/>
      <c r="S33" s="275"/>
      <c r="T33" s="275"/>
      <c r="U33" s="275"/>
      <c r="V33" s="275"/>
      <c r="W33" s="276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6"/>
      <c r="AM33" s="275"/>
      <c r="AN33" s="275"/>
      <c r="AO33" s="275"/>
      <c r="AP33" s="275"/>
      <c r="AQ33" s="213"/>
      <c r="AR33" s="275"/>
      <c r="AS33" s="275"/>
      <c r="AT33" s="275"/>
      <c r="AU33" s="275"/>
      <c r="AV33" s="275"/>
      <c r="AW33" s="275"/>
      <c r="AX33" s="275"/>
      <c r="AY33" s="275"/>
      <c r="AZ33" s="213"/>
      <c r="BA33" s="213"/>
      <c r="BB33" s="213"/>
      <c r="BC33" s="213"/>
      <c r="BD33" s="213"/>
      <c r="BE33" s="213"/>
      <c r="BF33" s="213"/>
      <c r="BG33" s="213"/>
      <c r="BH33" s="213"/>
      <c r="BI33" s="213"/>
      <c r="BJ33" s="213"/>
      <c r="BK33" s="213"/>
      <c r="BL33" s="213"/>
      <c r="BM33" s="213"/>
      <c r="BN33" s="213"/>
      <c r="BO33" s="213"/>
      <c r="BP33" s="213"/>
    </row>
    <row r="34" customFormat="false" ht="15" hidden="false" customHeight="true" outlineLevel="0" collapsed="false">
      <c r="A34" s="15" t="s">
        <v>805</v>
      </c>
      <c r="E34" s="274"/>
      <c r="F34" s="6"/>
      <c r="G34" s="76"/>
      <c r="H34" s="30"/>
      <c r="O34" s="274"/>
      <c r="P34" s="274"/>
      <c r="Q34" s="274"/>
      <c r="R34" s="274"/>
      <c r="S34" s="275"/>
      <c r="T34" s="275"/>
      <c r="U34" s="275"/>
      <c r="V34" s="275"/>
      <c r="W34" s="276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6"/>
      <c r="AM34" s="275"/>
      <c r="AN34" s="275"/>
      <c r="AO34" s="275"/>
      <c r="AP34" s="275"/>
      <c r="AQ34" s="213"/>
      <c r="AR34" s="275"/>
      <c r="AS34" s="275"/>
      <c r="AT34" s="275"/>
      <c r="AU34" s="275"/>
      <c r="AV34" s="275"/>
      <c r="AW34" s="275"/>
      <c r="AX34" s="275"/>
      <c r="AY34" s="275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</row>
    <row r="35" customFormat="false" ht="15" hidden="false" customHeight="true" outlineLevel="0" collapsed="false">
      <c r="A35" s="1" t="s">
        <v>807</v>
      </c>
      <c r="E35" s="281"/>
      <c r="F35" s="6" t="s">
        <v>132</v>
      </c>
      <c r="G35" s="76" t="n">
        <f aca="false">E35*$M$2</f>
        <v>0</v>
      </c>
      <c r="H35" s="30" t="n">
        <f aca="false">'APUS ARQUITECTURA'!J449</f>
        <v>560.62</v>
      </c>
      <c r="I35" s="1" t="n">
        <f aca="false">G35*H35</f>
        <v>0</v>
      </c>
      <c r="O35" s="277"/>
      <c r="P35" s="281"/>
      <c r="Q35" s="281"/>
      <c r="R35" s="281"/>
      <c r="S35" s="282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3"/>
      <c r="AE35" s="282"/>
      <c r="AF35" s="282"/>
      <c r="AG35" s="282"/>
      <c r="AH35" s="282"/>
      <c r="AI35" s="282"/>
      <c r="AJ35" s="282"/>
      <c r="AK35" s="282"/>
      <c r="AL35" s="279"/>
      <c r="AM35" s="282"/>
      <c r="AN35" s="282"/>
      <c r="AO35" s="282"/>
      <c r="AP35" s="282"/>
      <c r="AQ35" s="213"/>
      <c r="AR35" s="282"/>
      <c r="AS35" s="282"/>
      <c r="AT35" s="282"/>
      <c r="AU35" s="282"/>
      <c r="AV35" s="282"/>
      <c r="AW35" s="282"/>
      <c r="AX35" s="282"/>
      <c r="AY35" s="282"/>
      <c r="AZ35" s="213"/>
      <c r="BA35" s="213"/>
      <c r="BB35" s="213"/>
      <c r="BC35" s="213"/>
      <c r="BD35" s="213"/>
      <c r="BE35" s="213"/>
      <c r="BF35" s="213"/>
      <c r="BG35" s="213"/>
      <c r="BH35" s="213"/>
      <c r="BI35" s="213"/>
      <c r="BJ35" s="213"/>
      <c r="BK35" s="213"/>
      <c r="BL35" s="213"/>
      <c r="BM35" s="213"/>
      <c r="BN35" s="213"/>
      <c r="BO35" s="213"/>
      <c r="BP35" s="213"/>
    </row>
    <row r="36" customFormat="false" ht="15" hidden="false" customHeight="false" outlineLevel="0" collapsed="false">
      <c r="A36" s="1" t="s">
        <v>809</v>
      </c>
      <c r="E36" s="274"/>
      <c r="F36" s="6" t="s">
        <v>132</v>
      </c>
      <c r="G36" s="76" t="n">
        <f aca="false">E36*$M$2</f>
        <v>0</v>
      </c>
      <c r="H36" s="30" t="n">
        <f aca="false">'APUS ARQUITECTURA'!J456</f>
        <v>367.87</v>
      </c>
      <c r="I36" s="1" t="n">
        <f aca="false">G36*H36</f>
        <v>0</v>
      </c>
      <c r="O36" s="274"/>
      <c r="P36" s="274"/>
      <c r="Q36" s="274"/>
      <c r="R36" s="274"/>
      <c r="S36" s="275"/>
      <c r="T36" s="275"/>
      <c r="U36" s="275"/>
      <c r="V36" s="275"/>
      <c r="W36" s="276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6"/>
      <c r="AM36" s="275"/>
      <c r="AN36" s="275"/>
      <c r="AO36" s="275"/>
      <c r="AP36" s="275"/>
      <c r="AQ36" s="213"/>
      <c r="AR36" s="275"/>
      <c r="AS36" s="275"/>
      <c r="AT36" s="275"/>
      <c r="AU36" s="275"/>
      <c r="AV36" s="275"/>
      <c r="AW36" s="275"/>
      <c r="AX36" s="275"/>
      <c r="AY36" s="275"/>
      <c r="AZ36" s="213"/>
      <c r="BA36" s="213"/>
      <c r="BB36" s="213"/>
      <c r="BC36" s="213"/>
      <c r="BD36" s="213"/>
      <c r="BE36" s="213"/>
      <c r="BF36" s="213"/>
      <c r="BG36" s="213"/>
      <c r="BH36" s="213"/>
      <c r="BI36" s="213"/>
      <c r="BJ36" s="213"/>
      <c r="BK36" s="213"/>
      <c r="BL36" s="213"/>
      <c r="BM36" s="213"/>
      <c r="BN36" s="213"/>
      <c r="BO36" s="213"/>
      <c r="BP36" s="213"/>
    </row>
    <row r="37" customFormat="false" ht="15" hidden="false" customHeight="true" outlineLevel="0" collapsed="false">
      <c r="A37" s="1" t="s">
        <v>811</v>
      </c>
      <c r="E37" s="284"/>
      <c r="F37" s="6" t="s">
        <v>132</v>
      </c>
      <c r="G37" s="76" t="n">
        <f aca="false">E37*$M$2</f>
        <v>0</v>
      </c>
      <c r="H37" s="30" t="n">
        <f aca="false">'APUS ARQUITECTURA'!J463</f>
        <v>514.54</v>
      </c>
      <c r="I37" s="1" t="n">
        <f aca="false">G37*H37</f>
        <v>0</v>
      </c>
      <c r="K37" s="85"/>
      <c r="O37" s="285"/>
      <c r="P37" s="284"/>
      <c r="Q37" s="284"/>
      <c r="R37" s="284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  <c r="AE37" s="286"/>
      <c r="AF37" s="286"/>
      <c r="AG37" s="286"/>
      <c r="AH37" s="286"/>
      <c r="AI37" s="286"/>
      <c r="AJ37" s="286"/>
      <c r="AK37" s="286"/>
      <c r="AL37" s="286"/>
      <c r="AM37" s="286"/>
      <c r="AN37" s="286"/>
      <c r="AO37" s="286"/>
      <c r="AP37" s="286"/>
      <c r="AQ37" s="213"/>
      <c r="AR37" s="286"/>
      <c r="AS37" s="286"/>
      <c r="AT37" s="286"/>
      <c r="AU37" s="286"/>
      <c r="AV37" s="286"/>
      <c r="AW37" s="286"/>
      <c r="AX37" s="286"/>
      <c r="AY37" s="286"/>
      <c r="AZ37" s="213"/>
      <c r="BA37" s="213"/>
      <c r="BB37" s="213"/>
      <c r="BC37" s="213"/>
      <c r="BD37" s="213"/>
      <c r="BE37" s="213"/>
      <c r="BF37" s="213"/>
      <c r="BG37" s="213"/>
      <c r="BH37" s="213"/>
      <c r="BI37" s="213"/>
      <c r="BJ37" s="213"/>
      <c r="BK37" s="213"/>
      <c r="BL37" s="213"/>
      <c r="BM37" s="213"/>
      <c r="BN37" s="213"/>
      <c r="BO37" s="213"/>
      <c r="BP37" s="213"/>
    </row>
    <row r="38" customFormat="false" ht="15" hidden="false" customHeight="false" outlineLevel="0" collapsed="false">
      <c r="A38" s="1" t="s">
        <v>813</v>
      </c>
      <c r="E38" s="277"/>
      <c r="F38" s="6" t="s">
        <v>143</v>
      </c>
      <c r="G38" s="76" t="n">
        <f aca="false">E38*$M$2</f>
        <v>0</v>
      </c>
      <c r="H38" s="30" t="n">
        <f aca="false">'APUS ARQUITECTURA'!J470</f>
        <v>622.13</v>
      </c>
      <c r="I38" s="1" t="n">
        <f aca="false">G38*H38</f>
        <v>0</v>
      </c>
      <c r="K38" s="85"/>
      <c r="O38" s="277"/>
      <c r="P38" s="277"/>
      <c r="Q38" s="277"/>
      <c r="R38" s="277"/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278"/>
      <c r="AD38" s="278"/>
      <c r="AE38" s="278"/>
      <c r="AF38" s="278"/>
      <c r="AG38" s="278"/>
      <c r="AH38" s="278"/>
      <c r="AI38" s="278"/>
      <c r="AJ38" s="278"/>
      <c r="AK38" s="278"/>
      <c r="AL38" s="278"/>
      <c r="AM38" s="278"/>
      <c r="AN38" s="278"/>
      <c r="AO38" s="278"/>
      <c r="AP38" s="278"/>
      <c r="AQ38" s="213"/>
      <c r="AR38" s="278"/>
      <c r="AS38" s="278"/>
      <c r="AT38" s="278"/>
      <c r="AU38" s="278"/>
      <c r="AV38" s="278"/>
      <c r="AW38" s="278"/>
      <c r="AX38" s="278"/>
      <c r="AY38" s="278"/>
      <c r="AZ38" s="213"/>
      <c r="BA38" s="213"/>
      <c r="BB38" s="213"/>
      <c r="BC38" s="213"/>
      <c r="BD38" s="213"/>
      <c r="BE38" s="213"/>
      <c r="BF38" s="213"/>
      <c r="BG38" s="213"/>
      <c r="BH38" s="213"/>
      <c r="BI38" s="213"/>
      <c r="BJ38" s="213"/>
      <c r="BK38" s="213"/>
      <c r="BL38" s="213"/>
      <c r="BM38" s="213"/>
      <c r="BN38" s="213"/>
      <c r="BO38" s="213"/>
      <c r="BP38" s="213"/>
    </row>
    <row r="39" customFormat="false" ht="15" hidden="false" customHeight="true" outlineLevel="0" collapsed="false">
      <c r="A39" s="1" t="s">
        <v>815</v>
      </c>
      <c r="E39" s="274"/>
      <c r="F39" s="6" t="s">
        <v>132</v>
      </c>
      <c r="G39" s="76" t="n">
        <f aca="false">E39*$M$2</f>
        <v>0</v>
      </c>
      <c r="H39" s="30" t="n">
        <f aca="false">'APUS ARQUITECTURA'!J477</f>
        <v>54.78</v>
      </c>
      <c r="I39" s="1" t="n">
        <f aca="false">G39*H39</f>
        <v>0</v>
      </c>
      <c r="K39" s="85"/>
      <c r="O39" s="274"/>
      <c r="P39" s="274"/>
      <c r="Q39" s="274"/>
      <c r="R39" s="274"/>
      <c r="S39" s="275"/>
      <c r="T39" s="275"/>
      <c r="U39" s="275"/>
      <c r="V39" s="275"/>
      <c r="W39" s="276"/>
      <c r="X39" s="275"/>
      <c r="Y39" s="275"/>
      <c r="Z39" s="275"/>
      <c r="AA39" s="275"/>
      <c r="AB39" s="275"/>
      <c r="AC39" s="275"/>
      <c r="AD39" s="275"/>
      <c r="AE39" s="275"/>
      <c r="AF39" s="275"/>
      <c r="AG39" s="275"/>
      <c r="AH39" s="275"/>
      <c r="AI39" s="275"/>
      <c r="AJ39" s="275"/>
      <c r="AK39" s="275"/>
      <c r="AL39" s="276"/>
      <c r="AM39" s="275"/>
      <c r="AN39" s="275"/>
      <c r="AO39" s="275"/>
      <c r="AP39" s="275"/>
      <c r="AQ39" s="213"/>
      <c r="AR39" s="275"/>
      <c r="AS39" s="275"/>
      <c r="AT39" s="275"/>
      <c r="AU39" s="275"/>
      <c r="AV39" s="275"/>
      <c r="AW39" s="275"/>
      <c r="AX39" s="275"/>
      <c r="AY39" s="275"/>
      <c r="AZ39" s="213"/>
      <c r="BA39" s="213"/>
      <c r="BB39" s="213"/>
      <c r="BC39" s="213"/>
      <c r="BD39" s="213"/>
      <c r="BE39" s="213"/>
      <c r="BF39" s="213"/>
      <c r="BG39" s="213"/>
      <c r="BH39" s="213"/>
      <c r="BI39" s="213"/>
      <c r="BJ39" s="213"/>
      <c r="BK39" s="213"/>
      <c r="BL39" s="213"/>
      <c r="BM39" s="213"/>
      <c r="BN39" s="213"/>
      <c r="BO39" s="213"/>
      <c r="BP39" s="213"/>
    </row>
    <row r="40" customFormat="false" ht="15" hidden="false" customHeight="false" outlineLevel="0" collapsed="false">
      <c r="A40" s="15" t="s">
        <v>816</v>
      </c>
      <c r="F40" s="6"/>
      <c r="G40" s="76"/>
      <c r="K40" s="85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3"/>
      <c r="AM40" s="213"/>
      <c r="AN40" s="213"/>
      <c r="AO40" s="213"/>
      <c r="AP40" s="213"/>
      <c r="AQ40" s="213"/>
      <c r="AR40" s="213"/>
      <c r="AS40" s="213"/>
      <c r="AT40" s="213"/>
      <c r="AU40" s="213"/>
      <c r="AV40" s="213"/>
      <c r="AW40" s="213"/>
      <c r="AX40" s="213"/>
      <c r="AY40" s="213"/>
      <c r="AZ40" s="213"/>
      <c r="BA40" s="213"/>
      <c r="BB40" s="213"/>
      <c r="BC40" s="213"/>
      <c r="BD40" s="213"/>
      <c r="BE40" s="213"/>
      <c r="BF40" s="213"/>
      <c r="BG40" s="213"/>
      <c r="BH40" s="213"/>
      <c r="BI40" s="213"/>
      <c r="BJ40" s="213"/>
      <c r="BK40" s="213"/>
      <c r="BL40" s="213"/>
      <c r="BM40" s="213"/>
      <c r="BN40" s="213"/>
      <c r="BO40" s="213"/>
      <c r="BP40" s="213"/>
    </row>
    <row r="41" customFormat="false" ht="15" hidden="false" customHeight="true" outlineLevel="0" collapsed="false">
      <c r="A41" s="1" t="s">
        <v>818</v>
      </c>
      <c r="E41" s="274"/>
      <c r="F41" s="6" t="s">
        <v>132</v>
      </c>
      <c r="G41" s="76" t="n">
        <f aca="false">E41*$M$2</f>
        <v>0</v>
      </c>
      <c r="H41" s="30" t="n">
        <f aca="false">'APUS ARQUITECTURA'!J484</f>
        <v>15.62</v>
      </c>
      <c r="I41" s="1" t="n">
        <f aca="false">G41*H41</f>
        <v>0</v>
      </c>
      <c r="K41" s="85"/>
      <c r="O41" s="274"/>
      <c r="P41" s="274"/>
      <c r="Q41" s="274"/>
      <c r="R41" s="274"/>
      <c r="S41" s="275"/>
      <c r="T41" s="275"/>
      <c r="U41" s="275"/>
      <c r="V41" s="275"/>
      <c r="W41" s="276"/>
      <c r="X41" s="275"/>
      <c r="Y41" s="275"/>
      <c r="Z41" s="275"/>
      <c r="AA41" s="275"/>
      <c r="AB41" s="275"/>
      <c r="AC41" s="275"/>
      <c r="AD41" s="275"/>
      <c r="AE41" s="275"/>
      <c r="AF41" s="275"/>
      <c r="AG41" s="275"/>
      <c r="AH41" s="275"/>
      <c r="AI41" s="275"/>
      <c r="AJ41" s="275"/>
      <c r="AK41" s="275"/>
      <c r="AL41" s="276"/>
      <c r="AM41" s="275"/>
      <c r="AN41" s="275"/>
      <c r="AO41" s="275"/>
      <c r="AP41" s="275"/>
      <c r="AQ41" s="213"/>
      <c r="AR41" s="275"/>
      <c r="AS41" s="275"/>
      <c r="AT41" s="275"/>
      <c r="AU41" s="275"/>
      <c r="AV41" s="275"/>
      <c r="AW41" s="275"/>
      <c r="AX41" s="275"/>
      <c r="AY41" s="275"/>
      <c r="AZ41" s="213"/>
      <c r="BA41" s="213"/>
      <c r="BB41" s="213"/>
      <c r="BC41" s="213"/>
      <c r="BD41" s="213"/>
      <c r="BE41" s="213"/>
      <c r="BF41" s="213"/>
      <c r="BG41" s="213"/>
      <c r="BH41" s="213"/>
      <c r="BI41" s="213"/>
      <c r="BJ41" s="213"/>
      <c r="BK41" s="213"/>
      <c r="BL41" s="213"/>
      <c r="BM41" s="213"/>
      <c r="BN41" s="213"/>
      <c r="BO41" s="213"/>
      <c r="BP41" s="213"/>
    </row>
    <row r="42" customFormat="false" ht="15" hidden="false" customHeight="false" outlineLevel="0" collapsed="false">
      <c r="A42" s="1" t="s">
        <v>820</v>
      </c>
      <c r="B42" s="111"/>
      <c r="C42" s="111"/>
      <c r="D42" s="111"/>
      <c r="E42" s="274"/>
      <c r="F42" s="112" t="s">
        <v>132</v>
      </c>
      <c r="G42" s="76" t="n">
        <f aca="false">E42*$M$2</f>
        <v>0</v>
      </c>
      <c r="H42" s="30" t="n">
        <f aca="false">'APUS ARQUITECTURA'!J504</f>
        <v>15.96</v>
      </c>
      <c r="I42" s="1" t="n">
        <f aca="false">G42*H42</f>
        <v>0</v>
      </c>
      <c r="O42" s="274"/>
      <c r="P42" s="274"/>
      <c r="Q42" s="274"/>
      <c r="R42" s="274"/>
      <c r="S42" s="275"/>
      <c r="T42" s="275"/>
      <c r="U42" s="275"/>
      <c r="V42" s="275"/>
      <c r="W42" s="276"/>
      <c r="X42" s="275"/>
      <c r="Y42" s="275"/>
      <c r="Z42" s="275"/>
      <c r="AA42" s="275"/>
      <c r="AB42" s="275"/>
      <c r="AC42" s="275"/>
      <c r="AD42" s="275"/>
      <c r="AE42" s="275"/>
      <c r="AF42" s="275"/>
      <c r="AG42" s="275"/>
      <c r="AH42" s="275"/>
      <c r="AI42" s="275"/>
      <c r="AJ42" s="275"/>
      <c r="AK42" s="275"/>
      <c r="AL42" s="276"/>
      <c r="AM42" s="275"/>
      <c r="AN42" s="275"/>
      <c r="AO42" s="275"/>
      <c r="AP42" s="275"/>
      <c r="AQ42" s="213"/>
      <c r="AR42" s="275"/>
      <c r="AS42" s="275"/>
      <c r="AT42" s="275"/>
      <c r="AU42" s="275"/>
      <c r="AV42" s="275"/>
      <c r="AW42" s="275"/>
      <c r="AX42" s="275"/>
      <c r="AY42" s="275"/>
      <c r="AZ42" s="213"/>
      <c r="BA42" s="213"/>
      <c r="BB42" s="213"/>
      <c r="BC42" s="213"/>
      <c r="BD42" s="213"/>
      <c r="BE42" s="213"/>
      <c r="BF42" s="213"/>
      <c r="BG42" s="213"/>
      <c r="BH42" s="213"/>
      <c r="BI42" s="213"/>
      <c r="BJ42" s="213"/>
      <c r="BK42" s="213"/>
      <c r="BL42" s="213"/>
      <c r="BM42" s="213"/>
      <c r="BN42" s="213"/>
      <c r="BO42" s="213"/>
      <c r="BP42" s="213"/>
    </row>
    <row r="43" customFormat="false" ht="15" hidden="false" customHeight="false" outlineLevel="0" collapsed="false">
      <c r="A43" s="15" t="s">
        <v>976</v>
      </c>
      <c r="F43" s="6"/>
      <c r="G43" s="76"/>
      <c r="H43" s="30"/>
      <c r="L43" s="30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</row>
    <row r="44" customFormat="false" ht="15" hidden="false" customHeight="true" outlineLevel="0" collapsed="false">
      <c r="A44" s="1" t="s">
        <v>979</v>
      </c>
      <c r="F44" s="1" t="s">
        <v>1394</v>
      </c>
      <c r="G44" s="76" t="n">
        <f aca="false">E44*$M$2</f>
        <v>0</v>
      </c>
      <c r="H44" s="30" t="n">
        <f aca="false">'APUS SANITARIAS'!J5</f>
        <v>193.33</v>
      </c>
      <c r="I44" s="1" t="n">
        <f aca="false">G44*H44</f>
        <v>0</v>
      </c>
      <c r="O44" s="274"/>
      <c r="P44" s="274"/>
      <c r="Q44" s="274"/>
      <c r="R44" s="274"/>
      <c r="S44" s="275"/>
      <c r="T44" s="275"/>
      <c r="U44" s="275"/>
      <c r="V44" s="275"/>
      <c r="W44" s="276"/>
      <c r="X44" s="275"/>
      <c r="Y44" s="275"/>
      <c r="Z44" s="275"/>
      <c r="AA44" s="275"/>
      <c r="AB44" s="275"/>
      <c r="AC44" s="275"/>
      <c r="AD44" s="275"/>
      <c r="AE44" s="275"/>
      <c r="AF44" s="275"/>
      <c r="AG44" s="275"/>
      <c r="AH44" s="275"/>
      <c r="AI44" s="275"/>
      <c r="AJ44" s="275"/>
      <c r="AK44" s="275"/>
      <c r="AL44" s="276"/>
      <c r="AM44" s="275"/>
      <c r="AN44" s="275"/>
      <c r="AO44" s="275"/>
      <c r="AP44" s="275"/>
      <c r="AQ44" s="213"/>
      <c r="AR44" s="275"/>
      <c r="AS44" s="275"/>
      <c r="AT44" s="275"/>
      <c r="AU44" s="275"/>
      <c r="AV44" s="275"/>
      <c r="AW44" s="275"/>
      <c r="AX44" s="275"/>
      <c r="AY44" s="275"/>
      <c r="AZ44" s="213"/>
      <c r="BA44" s="213"/>
      <c r="BB44" s="213"/>
      <c r="BC44" s="213"/>
      <c r="BD44" s="213"/>
      <c r="BE44" s="213"/>
      <c r="BF44" s="213"/>
      <c r="BG44" s="213"/>
      <c r="BH44" s="213"/>
      <c r="BI44" s="213"/>
      <c r="BJ44" s="213"/>
      <c r="BK44" s="213"/>
      <c r="BL44" s="213"/>
      <c r="BM44" s="213"/>
      <c r="BN44" s="213"/>
      <c r="BO44" s="213"/>
      <c r="BP44" s="213"/>
    </row>
    <row r="45" customFormat="false" ht="15" hidden="false" customHeight="true" outlineLevel="0" collapsed="false">
      <c r="A45" s="1" t="s">
        <v>981</v>
      </c>
      <c r="F45" s="1" t="s">
        <v>1394</v>
      </c>
      <c r="G45" s="76" t="n">
        <f aca="false">E45*$M$2</f>
        <v>0</v>
      </c>
      <c r="H45" s="30" t="n">
        <f aca="false">'APUS SANITARIAS'!J12</f>
        <v>192.42</v>
      </c>
      <c r="I45" s="1" t="n">
        <f aca="false">G45*H45</f>
        <v>0</v>
      </c>
      <c r="O45" s="274"/>
      <c r="P45" s="274"/>
      <c r="Q45" s="274"/>
      <c r="R45" s="274"/>
      <c r="S45" s="275"/>
      <c r="T45" s="275"/>
      <c r="U45" s="275"/>
      <c r="V45" s="275"/>
      <c r="W45" s="276"/>
      <c r="X45" s="275"/>
      <c r="Y45" s="275"/>
      <c r="Z45" s="275"/>
      <c r="AA45" s="275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5"/>
      <c r="AN45" s="275"/>
      <c r="AO45" s="275"/>
      <c r="AP45" s="275"/>
      <c r="AQ45" s="213"/>
      <c r="AR45" s="275"/>
      <c r="AS45" s="275"/>
      <c r="AT45" s="275"/>
      <c r="AU45" s="275"/>
      <c r="AV45" s="275"/>
      <c r="AW45" s="275"/>
      <c r="AX45" s="275"/>
      <c r="AY45" s="275"/>
      <c r="AZ45" s="213"/>
      <c r="BA45" s="213"/>
      <c r="BB45" s="213"/>
      <c r="BC45" s="213"/>
      <c r="BD45" s="213"/>
      <c r="BE45" s="213"/>
      <c r="BF45" s="213"/>
      <c r="BG45" s="213"/>
      <c r="BH45" s="213"/>
      <c r="BI45" s="213"/>
      <c r="BJ45" s="213"/>
      <c r="BK45" s="213"/>
      <c r="BL45" s="213"/>
      <c r="BM45" s="213"/>
      <c r="BN45" s="213"/>
      <c r="BO45" s="213"/>
      <c r="BP45" s="213"/>
    </row>
    <row r="46" customFormat="false" ht="15" hidden="false" customHeight="true" outlineLevel="0" collapsed="false">
      <c r="A46" s="1" t="s">
        <v>1017</v>
      </c>
      <c r="F46" s="1" t="s">
        <v>1394</v>
      </c>
      <c r="G46" s="76" t="n">
        <f aca="false">E46*$M$2</f>
        <v>0</v>
      </c>
      <c r="H46" s="30" t="n">
        <f aca="false">'APUS SANITARIAS'!J19</f>
        <v>67.52</v>
      </c>
      <c r="I46" s="1" t="n">
        <f aca="false">G46*H46</f>
        <v>0</v>
      </c>
      <c r="O46" s="274"/>
      <c r="P46" s="274"/>
      <c r="Q46" s="274"/>
      <c r="R46" s="274"/>
      <c r="S46" s="275"/>
      <c r="T46" s="275"/>
      <c r="U46" s="275"/>
      <c r="V46" s="275"/>
      <c r="W46" s="276"/>
      <c r="X46" s="275"/>
      <c r="Y46" s="275"/>
      <c r="Z46" s="275"/>
      <c r="AA46" s="275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5"/>
      <c r="AN46" s="275"/>
      <c r="AO46" s="275"/>
      <c r="AP46" s="275"/>
      <c r="AQ46" s="213"/>
      <c r="AR46" s="275"/>
      <c r="AS46" s="275"/>
      <c r="AT46" s="275"/>
      <c r="AU46" s="275"/>
      <c r="AV46" s="275"/>
      <c r="AW46" s="275"/>
      <c r="AX46" s="275"/>
      <c r="AY46" s="275"/>
      <c r="AZ46" s="213"/>
      <c r="BA46" s="213"/>
      <c r="BB46" s="213"/>
      <c r="BC46" s="213"/>
      <c r="BD46" s="213"/>
      <c r="BE46" s="213"/>
      <c r="BF46" s="213"/>
      <c r="BG46" s="213"/>
      <c r="BH46" s="213"/>
      <c r="BI46" s="213"/>
      <c r="BJ46" s="213"/>
      <c r="BK46" s="213"/>
      <c r="BL46" s="213"/>
      <c r="BM46" s="213"/>
      <c r="BN46" s="213"/>
      <c r="BO46" s="213"/>
      <c r="BP46" s="213"/>
    </row>
    <row r="47" customFormat="false" ht="15" hidden="false" customHeight="true" outlineLevel="0" collapsed="false">
      <c r="A47" s="1" t="s">
        <v>985</v>
      </c>
      <c r="E47" s="274"/>
      <c r="F47" s="6" t="s">
        <v>153</v>
      </c>
      <c r="G47" s="76" t="n">
        <f aca="false">E47*$M$2</f>
        <v>0</v>
      </c>
      <c r="H47" s="30" t="n">
        <f aca="false">'APUS SANITARIAS'!J26</f>
        <v>750</v>
      </c>
      <c r="I47" s="1" t="n">
        <f aca="false">G47*H47</f>
        <v>0</v>
      </c>
      <c r="O47" s="274"/>
      <c r="P47" s="274"/>
      <c r="Q47" s="274"/>
      <c r="R47" s="274"/>
      <c r="S47" s="275"/>
      <c r="T47" s="275"/>
      <c r="U47" s="275"/>
      <c r="V47" s="275"/>
      <c r="W47" s="276"/>
      <c r="X47" s="275"/>
      <c r="Y47" s="275"/>
      <c r="Z47" s="275"/>
      <c r="AA47" s="275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5"/>
      <c r="AN47" s="275"/>
      <c r="AO47" s="275"/>
      <c r="AP47" s="275"/>
      <c r="AQ47" s="213"/>
      <c r="AR47" s="275"/>
      <c r="AS47" s="275"/>
      <c r="AT47" s="275"/>
      <c r="AU47" s="275"/>
      <c r="AV47" s="275"/>
      <c r="AW47" s="275"/>
      <c r="AX47" s="275"/>
      <c r="AY47" s="275"/>
      <c r="AZ47" s="213"/>
      <c r="BA47" s="213"/>
      <c r="BB47" s="213"/>
      <c r="BC47" s="213"/>
      <c r="BD47" s="213"/>
      <c r="BE47" s="213"/>
      <c r="BF47" s="213"/>
      <c r="BG47" s="213"/>
      <c r="BH47" s="213"/>
      <c r="BI47" s="213"/>
      <c r="BJ47" s="213"/>
      <c r="BK47" s="213"/>
      <c r="BL47" s="213"/>
      <c r="BM47" s="213"/>
      <c r="BN47" s="213"/>
      <c r="BO47" s="213"/>
      <c r="BP47" s="213"/>
    </row>
    <row r="48" customFormat="false" ht="15" hidden="false" customHeight="false" outlineLevel="0" collapsed="false">
      <c r="A48" s="1" t="s">
        <v>1395</v>
      </c>
      <c r="E48" s="274"/>
      <c r="F48" s="6" t="s">
        <v>213</v>
      </c>
      <c r="G48" s="76" t="n">
        <f aca="false">E48*$M$2</f>
        <v>0</v>
      </c>
      <c r="H48" s="30" t="n">
        <f aca="false">'APUS SANITARIAS'!J32</f>
        <v>131.73</v>
      </c>
      <c r="I48" s="1" t="n">
        <f aca="false">G48*H48</f>
        <v>0</v>
      </c>
      <c r="O48" s="274"/>
      <c r="P48" s="274"/>
      <c r="Q48" s="274"/>
      <c r="R48" s="274"/>
      <c r="S48" s="275"/>
      <c r="T48" s="275"/>
      <c r="U48" s="275"/>
      <c r="V48" s="275"/>
      <c r="W48" s="276"/>
      <c r="X48" s="275"/>
      <c r="Y48" s="275"/>
      <c r="Z48" s="275"/>
      <c r="AA48" s="275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5"/>
      <c r="AN48" s="275"/>
      <c r="AO48" s="275"/>
      <c r="AP48" s="275"/>
      <c r="AQ48" s="213"/>
      <c r="AR48" s="275"/>
      <c r="AS48" s="275"/>
      <c r="AT48" s="275"/>
      <c r="AU48" s="275"/>
      <c r="AV48" s="275"/>
      <c r="AW48" s="275"/>
      <c r="AX48" s="275"/>
      <c r="AY48" s="275"/>
      <c r="AZ48" s="213"/>
      <c r="BA48" s="213"/>
      <c r="BB48" s="213"/>
      <c r="BC48" s="213"/>
      <c r="BD48" s="213"/>
      <c r="BE48" s="213"/>
      <c r="BF48" s="213"/>
      <c r="BG48" s="213"/>
      <c r="BH48" s="213"/>
      <c r="BI48" s="213"/>
      <c r="BJ48" s="213"/>
      <c r="BK48" s="213"/>
      <c r="BL48" s="213"/>
      <c r="BM48" s="213"/>
      <c r="BN48" s="213"/>
      <c r="BO48" s="213"/>
      <c r="BP48" s="213"/>
    </row>
    <row r="49" customFormat="false" ht="15" hidden="false" customHeight="false" outlineLevel="0" collapsed="false">
      <c r="A49" s="1" t="s">
        <v>1396</v>
      </c>
      <c r="E49" s="274"/>
      <c r="F49" s="6" t="s">
        <v>213</v>
      </c>
      <c r="G49" s="76" t="n">
        <f aca="false">E49*$M$2</f>
        <v>0</v>
      </c>
      <c r="H49" s="30" t="n">
        <f aca="false">'APUS SANITARIAS'!J50</f>
        <v>210.6</v>
      </c>
      <c r="I49" s="1" t="n">
        <f aca="false">G49*H49</f>
        <v>0</v>
      </c>
      <c r="O49" s="274"/>
      <c r="P49" s="274"/>
      <c r="Q49" s="274"/>
      <c r="R49" s="274"/>
      <c r="S49" s="275"/>
      <c r="T49" s="275"/>
      <c r="U49" s="275"/>
      <c r="V49" s="275"/>
      <c r="W49" s="287"/>
      <c r="X49" s="275"/>
      <c r="Y49" s="275"/>
      <c r="Z49" s="275"/>
      <c r="AA49" s="275"/>
      <c r="AB49" s="275"/>
      <c r="AC49" s="275"/>
      <c r="AD49" s="275"/>
      <c r="AE49" s="275"/>
      <c r="AF49" s="275"/>
      <c r="AG49" s="275"/>
      <c r="AH49" s="275"/>
      <c r="AI49" s="275"/>
      <c r="AJ49" s="275"/>
      <c r="AK49" s="275"/>
      <c r="AL49" s="276"/>
      <c r="AM49" s="275"/>
      <c r="AN49" s="275"/>
      <c r="AO49" s="275"/>
      <c r="AP49" s="275"/>
      <c r="AQ49" s="213"/>
      <c r="AR49" s="275"/>
      <c r="AS49" s="275"/>
      <c r="AT49" s="275"/>
      <c r="AU49" s="275"/>
      <c r="AV49" s="275"/>
      <c r="AW49" s="275"/>
      <c r="AX49" s="275"/>
      <c r="AY49" s="275"/>
      <c r="AZ49" s="213"/>
      <c r="BA49" s="213"/>
      <c r="BB49" s="213"/>
      <c r="BC49" s="213"/>
      <c r="BD49" s="213"/>
      <c r="BE49" s="213"/>
      <c r="BF49" s="213"/>
      <c r="BG49" s="213"/>
      <c r="BH49" s="213"/>
      <c r="BI49" s="213"/>
      <c r="BJ49" s="213"/>
      <c r="BK49" s="213"/>
      <c r="BL49" s="213"/>
      <c r="BM49" s="213"/>
      <c r="BN49" s="213"/>
      <c r="BO49" s="213"/>
      <c r="BP49" s="213"/>
    </row>
    <row r="50" customFormat="false" ht="15" hidden="false" customHeight="false" outlineLevel="0" collapsed="false">
      <c r="A50" s="1" t="s">
        <v>993</v>
      </c>
      <c r="E50" s="274"/>
      <c r="F50" s="6" t="s">
        <v>153</v>
      </c>
      <c r="G50" s="76" t="n">
        <f aca="false">E50*$M$2</f>
        <v>0</v>
      </c>
      <c r="H50" s="30" t="n">
        <f aca="false">'APUS SANITARIAS'!J69</f>
        <v>200</v>
      </c>
      <c r="I50" s="1" t="n">
        <f aca="false">G50*H50</f>
        <v>0</v>
      </c>
      <c r="O50" s="274"/>
      <c r="P50" s="274"/>
      <c r="Q50" s="274"/>
      <c r="R50" s="274"/>
      <c r="S50" s="275"/>
      <c r="T50" s="275"/>
      <c r="U50" s="275"/>
      <c r="V50" s="275"/>
      <c r="W50" s="287"/>
      <c r="X50" s="275"/>
      <c r="Y50" s="275"/>
      <c r="Z50" s="275"/>
      <c r="AA50" s="275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5"/>
      <c r="AN50" s="275"/>
      <c r="AO50" s="275"/>
      <c r="AP50" s="275"/>
      <c r="AQ50" s="213"/>
      <c r="AR50" s="275"/>
      <c r="AS50" s="275"/>
      <c r="AT50" s="275"/>
      <c r="AU50" s="275"/>
      <c r="AV50" s="275"/>
      <c r="AW50" s="275"/>
      <c r="AX50" s="275"/>
      <c r="AY50" s="275"/>
      <c r="AZ50" s="213"/>
      <c r="BA50" s="213"/>
      <c r="BB50" s="213"/>
      <c r="BC50" s="213"/>
      <c r="BD50" s="213"/>
      <c r="BE50" s="213"/>
      <c r="BF50" s="213"/>
      <c r="BG50" s="213"/>
      <c r="BH50" s="213"/>
      <c r="BI50" s="213"/>
      <c r="BJ50" s="213"/>
      <c r="BK50" s="213"/>
      <c r="BL50" s="213"/>
      <c r="BM50" s="213"/>
      <c r="BN50" s="213"/>
      <c r="BO50" s="213"/>
      <c r="BP50" s="213"/>
    </row>
    <row r="51" customFormat="false" ht="15" hidden="false" customHeight="false" outlineLevel="0" collapsed="false">
      <c r="A51" s="1" t="s">
        <v>994</v>
      </c>
      <c r="E51" s="274"/>
      <c r="F51" s="6" t="s">
        <v>153</v>
      </c>
      <c r="G51" s="76" t="n">
        <f aca="false">E51*$M$2</f>
        <v>0</v>
      </c>
      <c r="H51" s="30" t="n">
        <f aca="false">'APUS SANITARIAS'!J76</f>
        <v>537.22</v>
      </c>
      <c r="I51" s="1" t="n">
        <f aca="false">G51*H51</f>
        <v>0</v>
      </c>
      <c r="O51" s="274"/>
      <c r="P51" s="274"/>
      <c r="Q51" s="274"/>
      <c r="R51" s="274"/>
      <c r="S51" s="275"/>
      <c r="T51" s="275"/>
      <c r="U51" s="275"/>
      <c r="V51" s="275"/>
      <c r="W51" s="287"/>
      <c r="X51" s="275"/>
      <c r="Y51" s="275"/>
      <c r="Z51" s="275"/>
      <c r="AA51" s="275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5"/>
      <c r="AN51" s="275"/>
      <c r="AO51" s="275"/>
      <c r="AP51" s="275"/>
      <c r="AQ51" s="213"/>
      <c r="AR51" s="275"/>
      <c r="AS51" s="275"/>
      <c r="AT51" s="275"/>
      <c r="AU51" s="275"/>
      <c r="AV51" s="275"/>
      <c r="AW51" s="275"/>
      <c r="AX51" s="275"/>
      <c r="AY51" s="275"/>
      <c r="AZ51" s="213"/>
      <c r="BA51" s="213"/>
      <c r="BB51" s="213"/>
      <c r="BC51" s="213"/>
      <c r="BD51" s="213"/>
      <c r="BE51" s="213"/>
      <c r="BF51" s="213"/>
      <c r="BG51" s="213"/>
      <c r="BH51" s="213"/>
      <c r="BI51" s="213"/>
      <c r="BJ51" s="213"/>
      <c r="BK51" s="213"/>
      <c r="BL51" s="213"/>
      <c r="BM51" s="213"/>
      <c r="BN51" s="213"/>
      <c r="BO51" s="213"/>
      <c r="BP51" s="213"/>
    </row>
    <row r="52" customFormat="false" ht="15" hidden="false" customHeight="false" outlineLevel="0" collapsed="false">
      <c r="A52" s="1" t="s">
        <v>998</v>
      </c>
      <c r="E52" s="274"/>
      <c r="F52" s="6" t="s">
        <v>213</v>
      </c>
      <c r="G52" s="76" t="n">
        <f aca="false">E52*$M$2</f>
        <v>0</v>
      </c>
      <c r="H52" s="30" t="n">
        <f aca="false">'APUS SANITARIAS'!J91</f>
        <v>158.16</v>
      </c>
      <c r="I52" s="1" t="n">
        <f aca="false">G52*H52</f>
        <v>0</v>
      </c>
      <c r="O52" s="274"/>
      <c r="P52" s="274"/>
      <c r="Q52" s="274"/>
      <c r="R52" s="274"/>
      <c r="S52" s="275"/>
      <c r="T52" s="275"/>
      <c r="U52" s="275"/>
      <c r="V52" s="275"/>
      <c r="W52" s="275"/>
      <c r="X52" s="275"/>
      <c r="Y52" s="275"/>
      <c r="Z52" s="275"/>
      <c r="AA52" s="275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5"/>
      <c r="AM52" s="275"/>
      <c r="AN52" s="275"/>
      <c r="AO52" s="275"/>
      <c r="AP52" s="275"/>
      <c r="AQ52" s="213"/>
      <c r="AR52" s="275"/>
      <c r="AS52" s="275"/>
      <c r="AT52" s="275"/>
      <c r="AU52" s="275"/>
      <c r="AV52" s="275"/>
      <c r="AW52" s="275"/>
      <c r="AX52" s="275"/>
      <c r="AY52" s="275"/>
      <c r="AZ52" s="213"/>
      <c r="BA52" s="213"/>
      <c r="BB52" s="213"/>
      <c r="BC52" s="213"/>
      <c r="BD52" s="213"/>
      <c r="BE52" s="213"/>
      <c r="BF52" s="213"/>
      <c r="BG52" s="213"/>
      <c r="BH52" s="213"/>
      <c r="BI52" s="213"/>
      <c r="BJ52" s="213"/>
      <c r="BK52" s="213"/>
      <c r="BL52" s="213"/>
      <c r="BM52" s="213"/>
      <c r="BN52" s="213"/>
      <c r="BO52" s="213"/>
      <c r="BP52" s="213"/>
    </row>
    <row r="53" customFormat="false" ht="15" hidden="false" customHeight="false" outlineLevel="0" collapsed="false">
      <c r="A53" s="1" t="s">
        <v>1001</v>
      </c>
      <c r="E53" s="274"/>
      <c r="F53" s="6" t="s">
        <v>213</v>
      </c>
      <c r="G53" s="76" t="n">
        <f aca="false">E53*$M$2</f>
        <v>0</v>
      </c>
      <c r="H53" s="30" t="n">
        <f aca="false">'APUS SANITARIAS'!J108</f>
        <v>138.65</v>
      </c>
      <c r="I53" s="1" t="n">
        <f aca="false">G53*H53</f>
        <v>0</v>
      </c>
      <c r="O53" s="274"/>
      <c r="P53" s="274"/>
      <c r="Q53" s="274"/>
      <c r="R53" s="274"/>
      <c r="S53" s="275"/>
      <c r="T53" s="275"/>
      <c r="U53" s="275"/>
      <c r="V53" s="275"/>
      <c r="W53" s="276"/>
      <c r="X53" s="275"/>
      <c r="Y53" s="275"/>
      <c r="Z53" s="275"/>
      <c r="AA53" s="275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5"/>
      <c r="AN53" s="275"/>
      <c r="AO53" s="275"/>
      <c r="AP53" s="275"/>
      <c r="AQ53" s="213"/>
      <c r="AR53" s="275"/>
      <c r="AS53" s="275"/>
      <c r="AT53" s="275"/>
      <c r="AU53" s="275"/>
      <c r="AV53" s="275"/>
      <c r="AW53" s="275"/>
      <c r="AX53" s="275"/>
      <c r="AY53" s="275"/>
      <c r="AZ53" s="213"/>
      <c r="BA53" s="213"/>
      <c r="BB53" s="213"/>
      <c r="BC53" s="213"/>
      <c r="BD53" s="213"/>
      <c r="BE53" s="213"/>
      <c r="BF53" s="213"/>
      <c r="BG53" s="213"/>
      <c r="BH53" s="213"/>
      <c r="BI53" s="213"/>
      <c r="BJ53" s="213"/>
      <c r="BK53" s="213"/>
      <c r="BL53" s="213"/>
      <c r="BM53" s="213"/>
      <c r="BN53" s="213"/>
      <c r="BO53" s="213"/>
      <c r="BP53" s="213"/>
    </row>
    <row r="54" customFormat="false" ht="15" hidden="false" customHeight="false" outlineLevel="0" collapsed="false">
      <c r="A54" s="1" t="s">
        <v>1003</v>
      </c>
      <c r="E54" s="274"/>
      <c r="F54" s="6" t="s">
        <v>213</v>
      </c>
      <c r="G54" s="76" t="n">
        <f aca="false">E54*$M$2</f>
        <v>0</v>
      </c>
      <c r="H54" s="30" t="n">
        <f aca="false">'APUS SANITARIAS'!J127</f>
        <v>145.94</v>
      </c>
      <c r="I54" s="1" t="n">
        <f aca="false">G54*H54</f>
        <v>0</v>
      </c>
      <c r="O54" s="274"/>
      <c r="P54" s="274"/>
      <c r="Q54" s="274"/>
      <c r="R54" s="274"/>
      <c r="S54" s="275"/>
      <c r="T54" s="275"/>
      <c r="U54" s="275"/>
      <c r="V54" s="275"/>
      <c r="W54" s="276"/>
      <c r="X54" s="275"/>
      <c r="Y54" s="275"/>
      <c r="Z54" s="275"/>
      <c r="AA54" s="275"/>
      <c r="AB54" s="275"/>
      <c r="AC54" s="275"/>
      <c r="AD54" s="275"/>
      <c r="AE54" s="275"/>
      <c r="AF54" s="275"/>
      <c r="AG54" s="275"/>
      <c r="AH54" s="275"/>
      <c r="AI54" s="275"/>
      <c r="AJ54" s="275"/>
      <c r="AK54" s="275"/>
      <c r="AL54" s="276"/>
      <c r="AM54" s="275"/>
      <c r="AN54" s="275"/>
      <c r="AO54" s="275"/>
      <c r="AP54" s="275"/>
      <c r="AQ54" s="213"/>
      <c r="AR54" s="275"/>
      <c r="AS54" s="275"/>
      <c r="AT54" s="275"/>
      <c r="AU54" s="275"/>
      <c r="AV54" s="275"/>
      <c r="AW54" s="275"/>
      <c r="AX54" s="275"/>
      <c r="AY54" s="275"/>
      <c r="AZ54" s="213"/>
      <c r="BA54" s="213"/>
      <c r="BB54" s="213"/>
      <c r="BC54" s="213"/>
      <c r="BD54" s="213"/>
      <c r="BE54" s="213"/>
      <c r="BF54" s="213"/>
      <c r="BG54" s="213"/>
      <c r="BH54" s="213"/>
      <c r="BI54" s="213"/>
      <c r="BJ54" s="213"/>
      <c r="BK54" s="213"/>
      <c r="BL54" s="213"/>
      <c r="BM54" s="213"/>
      <c r="BN54" s="213"/>
      <c r="BO54" s="213"/>
      <c r="BP54" s="213"/>
    </row>
    <row r="55" customFormat="false" ht="15" hidden="false" customHeight="false" outlineLevel="0" collapsed="false">
      <c r="A55" s="1" t="s">
        <v>1006</v>
      </c>
      <c r="E55" s="274"/>
      <c r="F55" s="6" t="s">
        <v>213</v>
      </c>
      <c r="G55" s="76" t="n">
        <f aca="false">E55*$M$2</f>
        <v>0</v>
      </c>
      <c r="H55" s="30" t="n">
        <f aca="false">'APUS SANITARIAS'!J145</f>
        <v>141.08</v>
      </c>
      <c r="I55" s="1" t="n">
        <f aca="false">G55*H55</f>
        <v>0</v>
      </c>
      <c r="O55" s="274"/>
      <c r="P55" s="274"/>
      <c r="Q55" s="274"/>
      <c r="R55" s="274"/>
      <c r="S55" s="275"/>
      <c r="T55" s="275"/>
      <c r="U55" s="275"/>
      <c r="V55" s="275"/>
      <c r="W55" s="276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5"/>
      <c r="AN55" s="275"/>
      <c r="AO55" s="275"/>
      <c r="AP55" s="275"/>
      <c r="AQ55" s="213"/>
      <c r="AR55" s="275"/>
      <c r="AS55" s="275"/>
      <c r="AT55" s="275"/>
      <c r="AU55" s="275"/>
      <c r="AV55" s="275"/>
      <c r="AW55" s="275"/>
      <c r="AX55" s="275"/>
      <c r="AY55" s="275"/>
      <c r="AZ55" s="213"/>
      <c r="BA55" s="213"/>
      <c r="BB55" s="213"/>
      <c r="BC55" s="213"/>
      <c r="BD55" s="213"/>
      <c r="BE55" s="213"/>
      <c r="BF55" s="213"/>
      <c r="BG55" s="213"/>
      <c r="BH55" s="213"/>
      <c r="BI55" s="213"/>
      <c r="BJ55" s="213"/>
      <c r="BK55" s="213"/>
      <c r="BL55" s="213"/>
      <c r="BM55" s="213"/>
      <c r="BN55" s="213"/>
      <c r="BO55" s="213"/>
      <c r="BP55" s="213"/>
    </row>
    <row r="56" customFormat="false" ht="15" hidden="false" customHeight="false" outlineLevel="0" collapsed="false">
      <c r="A56" s="1" t="s">
        <v>1009</v>
      </c>
      <c r="E56" s="274"/>
      <c r="F56" s="6" t="s">
        <v>148</v>
      </c>
      <c r="G56" s="76" t="n">
        <f aca="false">E56*$M$2</f>
        <v>0</v>
      </c>
      <c r="H56" s="30" t="n">
        <f aca="false">'APUS SANITARIAS'!J163</f>
        <v>214.33</v>
      </c>
      <c r="I56" s="1" t="n">
        <f aca="false">G56*H56</f>
        <v>0</v>
      </c>
      <c r="O56" s="274"/>
      <c r="P56" s="274"/>
      <c r="Q56" s="274"/>
      <c r="R56" s="274"/>
      <c r="S56" s="275"/>
      <c r="T56" s="275"/>
      <c r="U56" s="275"/>
      <c r="V56" s="275"/>
      <c r="W56" s="276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5"/>
      <c r="AN56" s="275"/>
      <c r="AO56" s="275"/>
      <c r="AP56" s="275"/>
      <c r="AQ56" s="213"/>
      <c r="AR56" s="275"/>
      <c r="AS56" s="275"/>
      <c r="AT56" s="275"/>
      <c r="AU56" s="275"/>
      <c r="AV56" s="275"/>
      <c r="AW56" s="275"/>
      <c r="AX56" s="275"/>
      <c r="AY56" s="275"/>
      <c r="AZ56" s="213"/>
      <c r="BA56" s="213"/>
      <c r="BB56" s="213"/>
      <c r="BC56" s="213"/>
      <c r="BD56" s="213"/>
      <c r="BE56" s="213"/>
      <c r="BF56" s="213"/>
      <c r="BG56" s="213"/>
      <c r="BH56" s="213"/>
      <c r="BI56" s="213"/>
      <c r="BJ56" s="213"/>
      <c r="BK56" s="213"/>
      <c r="BL56" s="213"/>
      <c r="BM56" s="213"/>
      <c r="BN56" s="213"/>
      <c r="BO56" s="213"/>
      <c r="BP56" s="213"/>
    </row>
    <row r="57" customFormat="false" ht="15" hidden="false" customHeight="false" outlineLevel="0" collapsed="false">
      <c r="A57" s="1" t="s">
        <v>1011</v>
      </c>
      <c r="E57" s="274"/>
      <c r="F57" s="6" t="s">
        <v>148</v>
      </c>
      <c r="G57" s="76" t="n">
        <f aca="false">E57*$M$2</f>
        <v>0</v>
      </c>
      <c r="H57" s="30" t="n">
        <f aca="false">'APUS SANITARIAS'!J178</f>
        <v>103.69</v>
      </c>
      <c r="I57" s="1" t="n">
        <f aca="false">G57*H57</f>
        <v>0</v>
      </c>
      <c r="O57" s="274"/>
      <c r="P57" s="274"/>
      <c r="Q57" s="274"/>
      <c r="R57" s="274"/>
      <c r="S57" s="275"/>
      <c r="T57" s="275"/>
      <c r="U57" s="275"/>
      <c r="V57" s="275"/>
      <c r="W57" s="276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5"/>
      <c r="AN57" s="275"/>
      <c r="AO57" s="275"/>
      <c r="AP57" s="275"/>
      <c r="AQ57" s="213"/>
      <c r="AR57" s="275"/>
      <c r="AS57" s="275"/>
      <c r="AT57" s="275"/>
      <c r="AU57" s="275"/>
      <c r="AV57" s="275"/>
      <c r="AW57" s="275"/>
      <c r="AX57" s="275"/>
      <c r="AY57" s="275"/>
      <c r="AZ57" s="213"/>
      <c r="BA57" s="213"/>
      <c r="BB57" s="213"/>
      <c r="BC57" s="213"/>
      <c r="BD57" s="213"/>
      <c r="BE57" s="213"/>
      <c r="BF57" s="213"/>
      <c r="BG57" s="213"/>
      <c r="BH57" s="213"/>
      <c r="BI57" s="213"/>
      <c r="BJ57" s="213"/>
      <c r="BK57" s="213"/>
      <c r="BL57" s="213"/>
      <c r="BM57" s="213"/>
      <c r="BN57" s="213"/>
      <c r="BO57" s="213"/>
      <c r="BP57" s="213"/>
    </row>
    <row r="58" customFormat="false" ht="15" hidden="false" customHeight="false" outlineLevel="0" collapsed="false">
      <c r="A58" s="15" t="s">
        <v>1047</v>
      </c>
      <c r="F58" s="6"/>
      <c r="S58" s="213"/>
      <c r="T58" s="213"/>
      <c r="U58" s="213"/>
      <c r="V58" s="213"/>
      <c r="W58" s="213"/>
      <c r="X58" s="213"/>
      <c r="Y58" s="213"/>
      <c r="Z58" s="213"/>
      <c r="AA58" s="213"/>
      <c r="AB58" s="213"/>
      <c r="AC58" s="213"/>
      <c r="AD58" s="213"/>
      <c r="AE58" s="213"/>
      <c r="AF58" s="213"/>
      <c r="AG58" s="213"/>
      <c r="AH58" s="213"/>
      <c r="AI58" s="213"/>
      <c r="AJ58" s="213"/>
      <c r="AK58" s="213"/>
      <c r="AL58" s="213"/>
      <c r="AM58" s="213"/>
      <c r="AN58" s="213"/>
      <c r="AO58" s="213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BF58" s="213"/>
      <c r="BG58" s="213"/>
      <c r="BH58" s="213"/>
      <c r="BI58" s="213"/>
      <c r="BJ58" s="213"/>
      <c r="BK58" s="213"/>
      <c r="BL58" s="213"/>
      <c r="BM58" s="213"/>
      <c r="BN58" s="213"/>
      <c r="BO58" s="213"/>
      <c r="BP58" s="213"/>
    </row>
    <row r="59" customFormat="false" ht="15" hidden="false" customHeight="false" outlineLevel="0" collapsed="false">
      <c r="A59" s="1" t="s">
        <v>1050</v>
      </c>
      <c r="E59" s="274" t="n">
        <v>0.09</v>
      </c>
      <c r="F59" s="6" t="s">
        <v>213</v>
      </c>
      <c r="G59" s="76" t="n">
        <f aca="false">E59*$M$2</f>
        <v>0</v>
      </c>
      <c r="H59" s="30" t="n">
        <f aca="false">'APUS ELECTRICAS'!J5</f>
        <v>121.05</v>
      </c>
      <c r="I59" s="1" t="n">
        <f aca="false">G59*H59</f>
        <v>0</v>
      </c>
      <c r="O59" s="274"/>
      <c r="P59" s="274"/>
      <c r="Q59" s="274"/>
      <c r="R59" s="274"/>
      <c r="S59" s="275"/>
      <c r="T59" s="275"/>
      <c r="U59" s="275"/>
      <c r="V59" s="275"/>
      <c r="W59" s="276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6"/>
      <c r="AM59" s="275"/>
      <c r="AN59" s="275"/>
      <c r="AO59" s="275"/>
      <c r="AP59" s="275"/>
      <c r="AQ59" s="213"/>
      <c r="AR59" s="275"/>
      <c r="AS59" s="275"/>
      <c r="AT59" s="275"/>
      <c r="AU59" s="275"/>
      <c r="AV59" s="275"/>
      <c r="AW59" s="275"/>
      <c r="AX59" s="275"/>
      <c r="AY59" s="275"/>
      <c r="AZ59" s="213"/>
      <c r="BA59" s="213"/>
      <c r="BB59" s="213"/>
      <c r="BC59" s="213"/>
      <c r="BD59" s="213"/>
      <c r="BE59" s="213"/>
      <c r="BF59" s="213"/>
      <c r="BG59" s="213"/>
      <c r="BH59" s="213"/>
      <c r="BI59" s="213"/>
      <c r="BJ59" s="213"/>
      <c r="BK59" s="213"/>
      <c r="BL59" s="213"/>
      <c r="BM59" s="213"/>
      <c r="BN59" s="213"/>
      <c r="BO59" s="213"/>
      <c r="BP59" s="213"/>
    </row>
    <row r="60" customFormat="false" ht="15" hidden="false" customHeight="false" outlineLevel="0" collapsed="false">
      <c r="A60" s="1" t="s">
        <v>1052</v>
      </c>
      <c r="E60" s="274" t="n">
        <v>0.09</v>
      </c>
      <c r="F60" s="6" t="s">
        <v>213</v>
      </c>
      <c r="G60" s="76" t="n">
        <f aca="false">E60*$M$2</f>
        <v>0</v>
      </c>
      <c r="H60" s="30" t="n">
        <f aca="false">'APUS ELECTRICAS'!J26</f>
        <v>163.75</v>
      </c>
      <c r="I60" s="1" t="n">
        <f aca="false">G60*H60</f>
        <v>0</v>
      </c>
      <c r="O60" s="274"/>
      <c r="P60" s="274"/>
      <c r="Q60" s="274"/>
      <c r="R60" s="274"/>
      <c r="S60" s="275"/>
      <c r="T60" s="275"/>
      <c r="U60" s="275"/>
      <c r="V60" s="275"/>
      <c r="W60" s="276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5"/>
      <c r="AN60" s="275"/>
      <c r="AO60" s="275"/>
      <c r="AP60" s="275"/>
      <c r="AQ60" s="213"/>
      <c r="AR60" s="275"/>
      <c r="AS60" s="275"/>
      <c r="AT60" s="275"/>
      <c r="AU60" s="275"/>
      <c r="AV60" s="275"/>
      <c r="AW60" s="275"/>
      <c r="AX60" s="275"/>
      <c r="AY60" s="275"/>
      <c r="AZ60" s="213"/>
      <c r="BA60" s="213"/>
      <c r="BB60" s="213"/>
      <c r="BC60" s="213"/>
      <c r="BD60" s="213"/>
      <c r="BE60" s="213"/>
      <c r="BF60" s="213"/>
      <c r="BG60" s="213"/>
      <c r="BH60" s="213"/>
      <c r="BI60" s="213"/>
      <c r="BJ60" s="213"/>
      <c r="BK60" s="213"/>
      <c r="BL60" s="213"/>
      <c r="BM60" s="213"/>
      <c r="BN60" s="213"/>
      <c r="BO60" s="213"/>
      <c r="BP60" s="213"/>
    </row>
    <row r="61" customFormat="false" ht="15" hidden="false" customHeight="false" outlineLevel="0" collapsed="false">
      <c r="A61" s="1" t="s">
        <v>1054</v>
      </c>
      <c r="E61" s="274" t="n">
        <v>0.09</v>
      </c>
      <c r="F61" s="6" t="s">
        <v>213</v>
      </c>
      <c r="G61" s="76" t="n">
        <f aca="false">E61*$M$2</f>
        <v>0</v>
      </c>
      <c r="H61" s="30" t="n">
        <f aca="false">'APUS ELECTRICAS'!J48</f>
        <v>118.3</v>
      </c>
      <c r="I61" s="1" t="n">
        <f aca="false">G61*H61</f>
        <v>0</v>
      </c>
      <c r="O61" s="274"/>
      <c r="P61" s="274"/>
      <c r="Q61" s="274"/>
      <c r="R61" s="274"/>
      <c r="S61" s="275"/>
      <c r="T61" s="275"/>
      <c r="U61" s="275"/>
      <c r="V61" s="275"/>
      <c r="W61" s="276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5"/>
      <c r="AN61" s="275"/>
      <c r="AO61" s="275"/>
      <c r="AP61" s="275"/>
      <c r="AQ61" s="213"/>
      <c r="AR61" s="275"/>
      <c r="AS61" s="275"/>
      <c r="AT61" s="275"/>
      <c r="AU61" s="275"/>
      <c r="AV61" s="275"/>
      <c r="AW61" s="275"/>
      <c r="AX61" s="275"/>
      <c r="AY61" s="275"/>
      <c r="AZ61" s="213"/>
      <c r="BA61" s="213"/>
      <c r="BB61" s="213"/>
      <c r="BC61" s="213"/>
      <c r="BD61" s="213"/>
      <c r="BE61" s="213"/>
      <c r="BF61" s="213"/>
      <c r="BG61" s="213"/>
      <c r="BH61" s="213"/>
      <c r="BI61" s="213"/>
      <c r="BJ61" s="213"/>
      <c r="BK61" s="213"/>
      <c r="BL61" s="213"/>
      <c r="BM61" s="213"/>
      <c r="BN61" s="213"/>
      <c r="BO61" s="213"/>
      <c r="BP61" s="213"/>
    </row>
    <row r="62" customFormat="false" ht="15" hidden="false" customHeight="false" outlineLevel="0" collapsed="false">
      <c r="A62" s="1" t="s">
        <v>1056</v>
      </c>
      <c r="E62" s="274"/>
      <c r="F62" s="6" t="s">
        <v>213</v>
      </c>
      <c r="G62" s="76" t="n">
        <f aca="false">E62*$M$2</f>
        <v>0</v>
      </c>
      <c r="H62" s="30" t="n">
        <f aca="false">'APUS ELECTRICAS'!J66</f>
        <v>7.34</v>
      </c>
      <c r="I62" s="1" t="n">
        <f aca="false">G62*H62</f>
        <v>0</v>
      </c>
      <c r="O62" s="274"/>
      <c r="P62" s="274"/>
      <c r="Q62" s="274"/>
      <c r="R62" s="274"/>
      <c r="S62" s="275"/>
      <c r="T62" s="275"/>
      <c r="U62" s="275"/>
      <c r="V62" s="275"/>
      <c r="W62" s="276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5"/>
      <c r="AN62" s="275"/>
      <c r="AO62" s="275"/>
      <c r="AP62" s="275"/>
      <c r="AQ62" s="213"/>
      <c r="AR62" s="275"/>
      <c r="AS62" s="275"/>
      <c r="AT62" s="275"/>
      <c r="AU62" s="275"/>
      <c r="AV62" s="275"/>
      <c r="AW62" s="275"/>
      <c r="AX62" s="275"/>
      <c r="AY62" s="275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</row>
    <row r="63" customFormat="false" ht="15" hidden="false" customHeight="false" outlineLevel="0" collapsed="false">
      <c r="A63" s="15" t="s">
        <v>1057</v>
      </c>
      <c r="F63" s="6"/>
      <c r="S63" s="213"/>
      <c r="T63" s="213"/>
      <c r="U63" s="213"/>
      <c r="V63" s="213"/>
      <c r="W63" s="213"/>
      <c r="X63" s="213"/>
      <c r="Y63" s="213"/>
      <c r="Z63" s="213"/>
      <c r="AA63" s="213"/>
      <c r="AB63" s="213"/>
      <c r="AC63" s="213"/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3"/>
      <c r="AV63" s="213"/>
      <c r="AW63" s="213"/>
      <c r="AX63" s="213"/>
      <c r="AY63" s="213"/>
      <c r="AZ63" s="213"/>
      <c r="BA63" s="213"/>
      <c r="BB63" s="213"/>
      <c r="BC63" s="213"/>
      <c r="BD63" s="213"/>
      <c r="BE63" s="213"/>
      <c r="BF63" s="213"/>
      <c r="BG63" s="213"/>
      <c r="BH63" s="213"/>
      <c r="BI63" s="213"/>
      <c r="BJ63" s="213"/>
      <c r="BK63" s="213"/>
      <c r="BL63" s="213"/>
      <c r="BM63" s="213"/>
      <c r="BN63" s="213"/>
      <c r="BO63" s="213"/>
      <c r="BP63" s="213"/>
    </row>
    <row r="64" customFormat="false" ht="15" hidden="false" customHeight="false" outlineLevel="0" collapsed="false">
      <c r="A64" s="1" t="s">
        <v>1059</v>
      </c>
      <c r="E64" s="274" t="n">
        <v>0.09</v>
      </c>
      <c r="F64" s="6" t="s">
        <v>148</v>
      </c>
      <c r="G64" s="76" t="n">
        <f aca="false">E64*$M$2</f>
        <v>0</v>
      </c>
      <c r="H64" s="30" t="n">
        <f aca="false">'APUS ELECTRICAS'!J74</f>
        <v>396.14</v>
      </c>
      <c r="I64" s="1" t="n">
        <f aca="false">G64*H64</f>
        <v>0</v>
      </c>
      <c r="O64" s="274"/>
      <c r="P64" s="274"/>
      <c r="Q64" s="274"/>
      <c r="R64" s="274"/>
      <c r="S64" s="275"/>
      <c r="T64" s="275"/>
      <c r="U64" s="275"/>
      <c r="V64" s="275"/>
      <c r="W64" s="276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6"/>
      <c r="AM64" s="275"/>
      <c r="AN64" s="275"/>
      <c r="AO64" s="275"/>
      <c r="AP64" s="275"/>
      <c r="AQ64" s="213"/>
      <c r="AR64" s="275"/>
      <c r="AS64" s="275"/>
      <c r="AT64" s="275"/>
      <c r="AU64" s="275"/>
      <c r="AV64" s="275"/>
      <c r="AW64" s="275"/>
      <c r="AX64" s="275"/>
      <c r="AY64" s="275"/>
      <c r="AZ64" s="213"/>
      <c r="BA64" s="213"/>
      <c r="BB64" s="213"/>
      <c r="BC64" s="213"/>
      <c r="BD64" s="213"/>
      <c r="BE64" s="213"/>
      <c r="BF64" s="213"/>
      <c r="BG64" s="213"/>
      <c r="BH64" s="213"/>
      <c r="BI64" s="213"/>
      <c r="BJ64" s="213"/>
      <c r="BK64" s="213"/>
      <c r="BL64" s="213"/>
      <c r="BM64" s="213"/>
      <c r="BN64" s="213"/>
      <c r="BO64" s="213"/>
      <c r="BP64" s="213"/>
    </row>
    <row r="65" customFormat="false" ht="15" hidden="false" customHeight="false" outlineLevel="0" collapsed="false">
      <c r="A65" s="1" t="s">
        <v>1061</v>
      </c>
      <c r="E65" s="274" t="n">
        <v>0.09</v>
      </c>
      <c r="F65" s="6" t="s">
        <v>148</v>
      </c>
      <c r="G65" s="76" t="n">
        <f aca="false">E65*$M$2</f>
        <v>0</v>
      </c>
      <c r="H65" s="30" t="n">
        <f aca="false">'APUS ELECTRICAS'!J88</f>
        <v>105.97</v>
      </c>
      <c r="I65" s="1" t="n">
        <f aca="false">G65*H65</f>
        <v>0</v>
      </c>
      <c r="O65" s="274"/>
      <c r="P65" s="274"/>
      <c r="Q65" s="274"/>
      <c r="R65" s="274"/>
      <c r="S65" s="275"/>
      <c r="T65" s="275"/>
      <c r="U65" s="275"/>
      <c r="V65" s="275"/>
      <c r="W65" s="276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5"/>
      <c r="AN65" s="275"/>
      <c r="AO65" s="275"/>
      <c r="AP65" s="275"/>
      <c r="AQ65" s="213"/>
      <c r="AR65" s="275"/>
      <c r="AS65" s="275"/>
      <c r="AT65" s="275"/>
      <c r="AU65" s="275"/>
      <c r="AV65" s="275"/>
      <c r="AW65" s="275"/>
      <c r="AX65" s="275"/>
      <c r="AY65" s="275"/>
      <c r="AZ65" s="213"/>
      <c r="BA65" s="213"/>
      <c r="BB65" s="213"/>
      <c r="BC65" s="213"/>
      <c r="BD65" s="213"/>
      <c r="BE65" s="213"/>
      <c r="BF65" s="213"/>
      <c r="BG65" s="213"/>
      <c r="BH65" s="213"/>
      <c r="BI65" s="213"/>
      <c r="BJ65" s="213"/>
      <c r="BK65" s="213"/>
      <c r="BL65" s="213"/>
      <c r="BM65" s="213"/>
      <c r="BN65" s="213"/>
      <c r="BO65" s="213"/>
      <c r="BP65" s="213"/>
    </row>
    <row r="66" customFormat="false" ht="15" hidden="false" customHeight="false" outlineLevel="0" collapsed="false">
      <c r="A66" s="1" t="s">
        <v>1063</v>
      </c>
      <c r="E66" s="274"/>
      <c r="F66" s="6" t="s">
        <v>148</v>
      </c>
      <c r="G66" s="76" t="n">
        <f aca="false">E66*$M$2</f>
        <v>0</v>
      </c>
      <c r="H66" s="30" t="n">
        <f aca="false">'APUS ELECTRICAS'!J106</f>
        <v>143.11</v>
      </c>
      <c r="I66" s="1" t="n">
        <f aca="false">G66*H66</f>
        <v>0</v>
      </c>
      <c r="O66" s="274"/>
      <c r="P66" s="274"/>
      <c r="Q66" s="274"/>
      <c r="R66" s="274"/>
      <c r="S66" s="275"/>
      <c r="T66" s="275"/>
      <c r="U66" s="275"/>
      <c r="V66" s="275"/>
      <c r="W66" s="276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5"/>
      <c r="AN66" s="275"/>
      <c r="AO66" s="275"/>
      <c r="AP66" s="275"/>
      <c r="AQ66" s="213"/>
      <c r="AR66" s="275"/>
      <c r="AS66" s="275"/>
      <c r="AT66" s="275"/>
      <c r="AU66" s="275"/>
      <c r="AV66" s="275"/>
      <c r="AW66" s="275"/>
      <c r="AX66" s="275"/>
      <c r="AY66" s="275"/>
      <c r="AZ66" s="213"/>
      <c r="BA66" s="213"/>
      <c r="BB66" s="213"/>
      <c r="BC66" s="213"/>
      <c r="BD66" s="213"/>
      <c r="BE66" s="213"/>
      <c r="BF66" s="213"/>
      <c r="BG66" s="213"/>
      <c r="BH66" s="213"/>
      <c r="BI66" s="213"/>
      <c r="BJ66" s="213"/>
      <c r="BK66" s="213"/>
      <c r="BL66" s="213"/>
      <c r="BM66" s="213"/>
      <c r="BN66" s="213"/>
      <c r="BO66" s="213"/>
      <c r="BP66" s="213"/>
    </row>
    <row r="67" customFormat="false" ht="15" hidden="false" customHeight="true" outlineLevel="0" collapsed="false">
      <c r="A67" s="1" t="s">
        <v>1065</v>
      </c>
      <c r="E67" s="274"/>
      <c r="F67" s="6" t="s">
        <v>148</v>
      </c>
      <c r="G67" s="76" t="n">
        <f aca="false">E67*$M$2</f>
        <v>0</v>
      </c>
      <c r="H67" s="30" t="n">
        <f aca="false">'APUS ELECTRICAS'!J114</f>
        <v>86.82</v>
      </c>
      <c r="I67" s="1" t="n">
        <f aca="false">G67*H67</f>
        <v>0</v>
      </c>
      <c r="K67" s="30"/>
      <c r="O67" s="274"/>
      <c r="P67" s="274"/>
      <c r="Q67" s="274"/>
      <c r="R67" s="274"/>
      <c r="S67" s="275"/>
      <c r="T67" s="275"/>
      <c r="U67" s="275"/>
      <c r="V67" s="275"/>
      <c r="W67" s="276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5"/>
      <c r="AN67" s="275"/>
      <c r="AO67" s="275"/>
      <c r="AP67" s="275"/>
      <c r="AQ67" s="213"/>
      <c r="AR67" s="275"/>
      <c r="AS67" s="275"/>
      <c r="AT67" s="275"/>
      <c r="AU67" s="275"/>
      <c r="AV67" s="275"/>
      <c r="AW67" s="275"/>
      <c r="AX67" s="275"/>
      <c r="AY67" s="275"/>
      <c r="AZ67" s="213"/>
      <c r="BA67" s="213"/>
      <c r="BB67" s="213"/>
      <c r="BC67" s="213"/>
      <c r="BD67" s="213"/>
      <c r="BE67" s="213"/>
      <c r="BF67" s="213"/>
      <c r="BG67" s="213"/>
      <c r="BH67" s="213"/>
      <c r="BI67" s="213"/>
      <c r="BJ67" s="213"/>
      <c r="BK67" s="213"/>
      <c r="BL67" s="213"/>
      <c r="BM67" s="213"/>
      <c r="BN67" s="213"/>
      <c r="BO67" s="213"/>
      <c r="BP67" s="213"/>
    </row>
    <row r="68" customFormat="false" ht="15" hidden="false" customHeight="true" outlineLevel="0" collapsed="false">
      <c r="K68" s="30"/>
      <c r="O68" s="274"/>
      <c r="P68" s="274"/>
      <c r="Q68" s="274"/>
      <c r="R68" s="274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13"/>
      <c r="AR68" s="275"/>
      <c r="AS68" s="275"/>
      <c r="AT68" s="275"/>
      <c r="AU68" s="275"/>
      <c r="AV68" s="275"/>
      <c r="AW68" s="275"/>
      <c r="AX68" s="275"/>
      <c r="AY68" s="275"/>
      <c r="AZ68" s="213"/>
      <c r="BA68" s="213"/>
      <c r="BB68" s="213"/>
      <c r="BC68" s="213"/>
      <c r="BD68" s="213"/>
      <c r="BE68" s="213"/>
      <c r="BF68" s="213"/>
      <c r="BG68" s="213"/>
      <c r="BH68" s="213"/>
      <c r="BI68" s="213"/>
      <c r="BJ68" s="213"/>
      <c r="BK68" s="213"/>
      <c r="BL68" s="213"/>
      <c r="BM68" s="213"/>
      <c r="BN68" s="213"/>
      <c r="BO68" s="213"/>
      <c r="BP68" s="213"/>
    </row>
    <row r="69" customFormat="false" ht="15" hidden="false" customHeight="true" outlineLevel="0" collapsed="false">
      <c r="O69" s="274"/>
      <c r="P69" s="274"/>
      <c r="Q69" s="274"/>
      <c r="R69" s="274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13"/>
      <c r="AR69" s="275"/>
      <c r="AS69" s="275"/>
      <c r="AT69" s="275"/>
      <c r="AU69" s="275"/>
      <c r="AV69" s="275"/>
      <c r="AW69" s="275"/>
      <c r="AX69" s="275"/>
      <c r="AY69" s="275"/>
      <c r="AZ69" s="213"/>
      <c r="BA69" s="213"/>
      <c r="BB69" s="213"/>
      <c r="BC69" s="213"/>
      <c r="BD69" s="213"/>
      <c r="BE69" s="213"/>
      <c r="BF69" s="213"/>
      <c r="BG69" s="213"/>
      <c r="BH69" s="213"/>
      <c r="BI69" s="213"/>
      <c r="BJ69" s="213"/>
      <c r="BK69" s="213"/>
      <c r="BL69" s="213"/>
      <c r="BM69" s="213"/>
      <c r="BN69" s="213"/>
      <c r="BO69" s="213"/>
      <c r="BP69" s="213"/>
    </row>
    <row r="70" customFormat="false" ht="15" hidden="false" customHeight="true" outlineLevel="0" collapsed="false">
      <c r="A70" s="15"/>
      <c r="G70" s="76"/>
      <c r="H70" s="30"/>
      <c r="O70" s="274"/>
      <c r="P70" s="274"/>
      <c r="Q70" s="274"/>
      <c r="R70" s="274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13"/>
      <c r="AR70" s="275"/>
      <c r="AS70" s="275"/>
      <c r="AT70" s="275"/>
      <c r="AU70" s="275"/>
      <c r="AV70" s="275"/>
      <c r="AW70" s="275"/>
      <c r="AX70" s="275"/>
      <c r="AY70" s="275"/>
      <c r="AZ70" s="213"/>
      <c r="BA70" s="213"/>
      <c r="BB70" s="213"/>
      <c r="BC70" s="213"/>
      <c r="BD70" s="213"/>
      <c r="BE70" s="213"/>
      <c r="BF70" s="213"/>
      <c r="BG70" s="213"/>
      <c r="BH70" s="213"/>
      <c r="BI70" s="213"/>
      <c r="BJ70" s="213"/>
      <c r="BK70" s="213"/>
      <c r="BL70" s="213"/>
      <c r="BM70" s="213"/>
      <c r="BN70" s="213"/>
      <c r="BO70" s="213"/>
      <c r="BP70" s="213"/>
    </row>
    <row r="71" customFormat="false" ht="15" hidden="false" customHeight="true" outlineLevel="0" collapsed="false">
      <c r="A71" s="109"/>
      <c r="O71" s="274"/>
      <c r="P71" s="274"/>
      <c r="Q71" s="274"/>
      <c r="R71" s="274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13"/>
      <c r="AR71" s="275"/>
      <c r="AS71" s="275"/>
      <c r="AT71" s="275"/>
      <c r="AU71" s="275"/>
      <c r="AV71" s="275"/>
      <c r="AW71" s="275"/>
      <c r="AX71" s="275"/>
      <c r="AY71" s="275"/>
      <c r="AZ71" s="213"/>
      <c r="BA71" s="213"/>
      <c r="BB71" s="213"/>
      <c r="BC71" s="213"/>
      <c r="BD71" s="213"/>
      <c r="BE71" s="213"/>
      <c r="BF71" s="213"/>
      <c r="BG71" s="213"/>
      <c r="BH71" s="213"/>
      <c r="BI71" s="213"/>
      <c r="BJ71" s="213"/>
      <c r="BK71" s="213"/>
      <c r="BL71" s="213"/>
      <c r="BM71" s="213"/>
      <c r="BN71" s="213"/>
      <c r="BO71" s="213"/>
      <c r="BP71" s="213"/>
    </row>
    <row r="72" customFormat="false" ht="15" hidden="false" customHeight="true" outlineLevel="0" collapsed="false">
      <c r="G72" s="76"/>
      <c r="H72" s="154"/>
      <c r="O72" s="274"/>
      <c r="P72" s="274"/>
      <c r="Q72" s="274"/>
      <c r="R72" s="274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13"/>
      <c r="AG72" s="275"/>
      <c r="AH72" s="275"/>
      <c r="AI72" s="275"/>
      <c r="AJ72" s="275"/>
      <c r="AK72" s="275"/>
      <c r="AL72" s="213"/>
      <c r="AM72" s="275"/>
      <c r="AN72" s="275"/>
      <c r="AO72" s="275"/>
      <c r="AP72" s="275"/>
      <c r="AQ72" s="213"/>
      <c r="AR72" s="275"/>
      <c r="AS72" s="275"/>
      <c r="AT72" s="275"/>
      <c r="AU72" s="275"/>
      <c r="AV72" s="275"/>
      <c r="AW72" s="275"/>
      <c r="AX72" s="275"/>
      <c r="AY72" s="275"/>
      <c r="AZ72" s="213"/>
      <c r="BA72" s="213"/>
      <c r="BB72" s="213"/>
      <c r="BC72" s="213"/>
      <c r="BD72" s="213"/>
      <c r="BE72" s="213"/>
      <c r="BF72" s="213"/>
      <c r="BG72" s="213"/>
      <c r="BH72" s="213"/>
      <c r="BI72" s="213"/>
      <c r="BJ72" s="213"/>
      <c r="BK72" s="213"/>
      <c r="BL72" s="213"/>
      <c r="BM72" s="213"/>
      <c r="BN72" s="213"/>
      <c r="BO72" s="213"/>
      <c r="BP72" s="213"/>
    </row>
    <row r="73" customFormat="false" ht="15" hidden="false" customHeight="true" outlineLevel="0" collapsed="false">
      <c r="G73" s="76"/>
      <c r="H73" s="154"/>
      <c r="O73" s="274"/>
      <c r="P73" s="274"/>
      <c r="Q73" s="274"/>
      <c r="R73" s="274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13"/>
      <c r="AD73" s="275"/>
      <c r="AE73" s="213"/>
      <c r="AF73" s="213"/>
      <c r="AG73" s="275"/>
      <c r="AH73" s="275"/>
      <c r="AI73" s="275"/>
      <c r="AJ73" s="275"/>
      <c r="AK73" s="275"/>
      <c r="AL73" s="213"/>
      <c r="AM73" s="275"/>
      <c r="AN73" s="213"/>
      <c r="AO73" s="275"/>
      <c r="AP73" s="275"/>
      <c r="AQ73" s="213"/>
      <c r="AR73" s="275"/>
      <c r="AS73" s="275"/>
      <c r="AT73" s="275"/>
      <c r="AU73" s="275"/>
      <c r="AV73" s="213"/>
      <c r="AW73" s="275"/>
      <c r="AX73" s="213"/>
      <c r="AY73" s="275"/>
      <c r="AZ73" s="213"/>
      <c r="BA73" s="213"/>
      <c r="BB73" s="213"/>
      <c r="BC73" s="213"/>
      <c r="BD73" s="213"/>
      <c r="BE73" s="213"/>
      <c r="BF73" s="213"/>
      <c r="BG73" s="213"/>
      <c r="BH73" s="213"/>
      <c r="BI73" s="213"/>
      <c r="BJ73" s="213"/>
      <c r="BK73" s="213"/>
      <c r="BL73" s="213"/>
      <c r="BM73" s="213"/>
      <c r="BN73" s="213"/>
      <c r="BO73" s="213"/>
      <c r="BP73" s="213"/>
    </row>
    <row r="74" customFormat="false" ht="15" hidden="false" customHeight="false" outlineLevel="0" collapsed="false">
      <c r="G74" s="76"/>
      <c r="H74" s="154"/>
      <c r="S74" s="213"/>
      <c r="T74" s="213"/>
      <c r="U74" s="288"/>
      <c r="V74" s="213"/>
      <c r="W74" s="213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213"/>
      <c r="AN74" s="213"/>
      <c r="AO74" s="213"/>
      <c r="AP74" s="213"/>
      <c r="AQ74" s="213"/>
      <c r="AR74" s="289"/>
      <c r="AS74" s="289"/>
      <c r="AT74" s="213"/>
      <c r="AU74" s="213"/>
      <c r="AV74" s="213"/>
      <c r="AW74" s="213"/>
      <c r="AX74" s="213"/>
      <c r="AY74" s="288"/>
      <c r="AZ74" s="213"/>
      <c r="BA74" s="213"/>
      <c r="BB74" s="213"/>
      <c r="BC74" s="213"/>
      <c r="BD74" s="213"/>
      <c r="BE74" s="213"/>
      <c r="BF74" s="213"/>
      <c r="BG74" s="213"/>
      <c r="BH74" s="213"/>
      <c r="BI74" s="213"/>
      <c r="BJ74" s="213"/>
      <c r="BK74" s="213"/>
      <c r="BL74" s="213"/>
      <c r="BM74" s="213"/>
      <c r="BN74" s="213"/>
      <c r="BO74" s="213"/>
      <c r="BP74" s="213"/>
    </row>
    <row r="75" customFormat="false" ht="15" hidden="false" customHeight="false" outlineLevel="0" collapsed="false">
      <c r="G75" s="76"/>
      <c r="H75" s="154"/>
      <c r="S75" s="213"/>
      <c r="T75" s="213"/>
      <c r="U75" s="275"/>
      <c r="V75" s="213"/>
      <c r="W75" s="213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213"/>
      <c r="AN75" s="213"/>
      <c r="AO75" s="213"/>
      <c r="AP75" s="213"/>
      <c r="AQ75" s="213"/>
      <c r="AR75" s="213"/>
      <c r="AS75" s="276"/>
      <c r="AT75" s="213"/>
      <c r="AU75" s="213"/>
      <c r="AV75" s="213"/>
      <c r="AW75" s="213"/>
      <c r="AX75" s="213"/>
      <c r="AY75" s="275"/>
      <c r="AZ75" s="213"/>
      <c r="BA75" s="213"/>
      <c r="BB75" s="213"/>
      <c r="BC75" s="213"/>
      <c r="BD75" s="213"/>
      <c r="BE75" s="213"/>
      <c r="BF75" s="213"/>
      <c r="BG75" s="213"/>
      <c r="BH75" s="213"/>
      <c r="BI75" s="213"/>
      <c r="BJ75" s="213"/>
      <c r="BK75" s="213"/>
      <c r="BL75" s="213"/>
      <c r="BM75" s="213"/>
      <c r="BN75" s="213"/>
      <c r="BO75" s="213"/>
      <c r="BP75" s="213"/>
    </row>
    <row r="76" customFormat="false" ht="15" hidden="false" customHeight="false" outlineLevel="0" collapsed="false">
      <c r="G76" s="76"/>
      <c r="H76" s="154"/>
      <c r="S76" s="213"/>
      <c r="T76" s="213"/>
      <c r="U76" s="275"/>
      <c r="V76" s="213"/>
      <c r="W76" s="213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213"/>
      <c r="AN76" s="213"/>
      <c r="AO76" s="213"/>
      <c r="AP76" s="213"/>
      <c r="AQ76" s="213"/>
      <c r="AR76" s="213"/>
      <c r="AS76" s="276"/>
      <c r="AT76" s="213"/>
      <c r="AU76" s="213"/>
      <c r="AV76" s="213"/>
      <c r="AW76" s="213"/>
      <c r="AX76" s="213"/>
      <c r="AY76" s="213"/>
      <c r="AZ76" s="213"/>
      <c r="BA76" s="213"/>
      <c r="BB76" s="213"/>
      <c r="BC76" s="213"/>
      <c r="BD76" s="213"/>
      <c r="BE76" s="213"/>
      <c r="BF76" s="213"/>
      <c r="BG76" s="213"/>
      <c r="BH76" s="213"/>
      <c r="BI76" s="213"/>
      <c r="BJ76" s="213"/>
      <c r="BK76" s="213"/>
      <c r="BL76" s="213"/>
      <c r="BM76" s="213"/>
      <c r="BN76" s="213"/>
      <c r="BO76" s="213"/>
      <c r="BP76" s="213"/>
    </row>
    <row r="77" customFormat="false" ht="15" hidden="false" customHeight="false" outlineLevel="0" collapsed="false">
      <c r="G77" s="76"/>
      <c r="H77" s="154"/>
      <c r="S77" s="213"/>
      <c r="T77" s="213"/>
      <c r="U77" s="275"/>
      <c r="V77" s="213"/>
      <c r="W77" s="213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213"/>
      <c r="AN77" s="213"/>
      <c r="AO77" s="213"/>
      <c r="AP77" s="213"/>
      <c r="AQ77" s="213"/>
      <c r="AR77" s="213"/>
      <c r="AS77" s="276"/>
      <c r="AT77" s="213"/>
      <c r="AU77" s="213"/>
      <c r="AV77" s="213"/>
      <c r="AW77" s="213"/>
      <c r="AX77" s="213"/>
      <c r="AY77" s="213"/>
      <c r="AZ77" s="213"/>
      <c r="BA77" s="213"/>
      <c r="BB77" s="213"/>
      <c r="BC77" s="213"/>
      <c r="BD77" s="213"/>
      <c r="BE77" s="213"/>
      <c r="BF77" s="213"/>
      <c r="BG77" s="213"/>
      <c r="BH77" s="213"/>
      <c r="BI77" s="213"/>
      <c r="BJ77" s="213"/>
      <c r="BK77" s="213"/>
      <c r="BL77" s="213"/>
      <c r="BM77" s="213"/>
      <c r="BN77" s="213"/>
      <c r="BO77" s="213"/>
      <c r="BP77" s="213"/>
    </row>
    <row r="78" customFormat="false" ht="15" hidden="false" customHeight="false" outlineLevel="0" collapsed="false">
      <c r="G78" s="76"/>
      <c r="H78" s="154"/>
      <c r="S78" s="213"/>
      <c r="T78" s="213"/>
      <c r="U78" s="275"/>
      <c r="V78" s="213"/>
      <c r="W78" s="213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213"/>
      <c r="AN78" s="213"/>
      <c r="AO78" s="213"/>
      <c r="AP78" s="213"/>
      <c r="AQ78" s="213"/>
      <c r="AR78" s="213"/>
      <c r="AS78" s="276"/>
      <c r="AT78" s="213"/>
      <c r="AU78" s="213"/>
      <c r="AV78" s="213"/>
      <c r="AW78" s="213"/>
      <c r="AX78" s="213"/>
      <c r="AY78" s="213"/>
      <c r="AZ78" s="213"/>
      <c r="BA78" s="213"/>
      <c r="BB78" s="213"/>
      <c r="BC78" s="213"/>
      <c r="BD78" s="213"/>
      <c r="BE78" s="213"/>
      <c r="BF78" s="213"/>
      <c r="BG78" s="213"/>
      <c r="BH78" s="213"/>
      <c r="BI78" s="213"/>
      <c r="BJ78" s="213"/>
      <c r="BK78" s="213"/>
      <c r="BL78" s="213"/>
      <c r="BM78" s="213"/>
      <c r="BN78" s="213"/>
      <c r="BO78" s="213"/>
      <c r="BP78" s="213"/>
    </row>
    <row r="79" customFormat="false" ht="15" hidden="false" customHeight="false" outlineLevel="0" collapsed="false">
      <c r="G79" s="76"/>
      <c r="H79" s="154"/>
      <c r="S79" s="213"/>
      <c r="T79" s="213"/>
      <c r="U79" s="275"/>
      <c r="V79" s="213"/>
      <c r="W79" s="213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213"/>
      <c r="AN79" s="213"/>
      <c r="AO79" s="213"/>
      <c r="AP79" s="213"/>
      <c r="AQ79" s="213"/>
      <c r="AR79" s="213"/>
      <c r="AS79" s="276"/>
      <c r="AT79" s="213"/>
      <c r="AU79" s="213"/>
      <c r="AV79" s="213"/>
      <c r="AW79" s="213"/>
      <c r="AX79" s="213"/>
      <c r="AY79" s="213"/>
      <c r="AZ79" s="213"/>
      <c r="BA79" s="213"/>
      <c r="BB79" s="213"/>
      <c r="BC79" s="213"/>
      <c r="BD79" s="213"/>
      <c r="BE79" s="213"/>
      <c r="BF79" s="213"/>
      <c r="BG79" s="213"/>
      <c r="BH79" s="213"/>
      <c r="BI79" s="213"/>
      <c r="BJ79" s="213"/>
      <c r="BK79" s="213"/>
      <c r="BL79" s="213"/>
      <c r="BM79" s="213"/>
      <c r="BN79" s="213"/>
      <c r="BO79" s="213"/>
      <c r="BP79" s="213"/>
    </row>
    <row r="80" customFormat="false" ht="15" hidden="false" customHeight="false" outlineLevel="0" collapsed="false">
      <c r="G80" s="76"/>
      <c r="H80" s="154"/>
      <c r="S80" s="213"/>
      <c r="T80" s="213"/>
      <c r="U80" s="275"/>
      <c r="V80" s="213"/>
      <c r="W80" s="213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213"/>
      <c r="AN80" s="213"/>
      <c r="AO80" s="213"/>
      <c r="AP80" s="213"/>
      <c r="AQ80" s="213"/>
      <c r="AR80" s="213"/>
      <c r="AS80" s="276"/>
      <c r="AT80" s="213"/>
      <c r="AU80" s="213"/>
      <c r="AV80" s="213"/>
      <c r="AW80" s="213"/>
      <c r="AX80" s="213"/>
      <c r="AY80" s="213"/>
      <c r="AZ80" s="213"/>
      <c r="BA80" s="213"/>
      <c r="BB80" s="213"/>
      <c r="BC80" s="213"/>
      <c r="BD80" s="213"/>
      <c r="BE80" s="213"/>
      <c r="BF80" s="213"/>
      <c r="BG80" s="213"/>
      <c r="BH80" s="213"/>
      <c r="BI80" s="213"/>
      <c r="BJ80" s="213"/>
      <c r="BK80" s="213"/>
      <c r="BL80" s="213"/>
      <c r="BM80" s="213"/>
      <c r="BN80" s="213"/>
      <c r="BO80" s="213"/>
      <c r="BP80" s="213"/>
    </row>
    <row r="81" customFormat="false" ht="15" hidden="false" customHeight="false" outlineLevel="0" collapsed="false">
      <c r="G81" s="76"/>
      <c r="H81" s="154"/>
      <c r="S81" s="213"/>
      <c r="T81" s="213"/>
      <c r="U81" s="275"/>
      <c r="V81" s="213"/>
      <c r="W81" s="213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213"/>
      <c r="AN81" s="213"/>
      <c r="AO81" s="213"/>
      <c r="AP81" s="213"/>
      <c r="AQ81" s="213"/>
      <c r="AR81" s="213"/>
      <c r="AS81" s="276"/>
      <c r="AT81" s="213"/>
      <c r="AU81" s="213"/>
      <c r="AV81" s="213"/>
      <c r="AW81" s="213"/>
      <c r="AX81" s="213"/>
      <c r="AY81" s="213"/>
      <c r="AZ81" s="213"/>
      <c r="BA81" s="213"/>
      <c r="BB81" s="213"/>
      <c r="BC81" s="213"/>
      <c r="BD81" s="213"/>
      <c r="BE81" s="213"/>
      <c r="BF81" s="213"/>
      <c r="BG81" s="213"/>
      <c r="BH81" s="213"/>
      <c r="BI81" s="213"/>
      <c r="BJ81" s="213"/>
      <c r="BK81" s="213"/>
      <c r="BL81" s="213"/>
      <c r="BM81" s="213"/>
      <c r="BN81" s="213"/>
      <c r="BO81" s="213"/>
      <c r="BP81" s="213"/>
    </row>
    <row r="82" customFormat="false" ht="15" hidden="false" customHeight="false" outlineLevel="0" collapsed="false">
      <c r="G82" s="76"/>
      <c r="H82" s="154"/>
      <c r="S82" s="213"/>
      <c r="T82" s="213"/>
      <c r="U82" s="275"/>
      <c r="V82" s="213"/>
      <c r="W82" s="213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213"/>
      <c r="AN82" s="213"/>
      <c r="AO82" s="213"/>
      <c r="AP82" s="213"/>
      <c r="AQ82" s="213"/>
      <c r="AR82" s="213"/>
      <c r="AS82" s="276"/>
      <c r="AT82" s="213"/>
      <c r="AU82" s="213"/>
      <c r="AV82" s="213"/>
      <c r="AW82" s="213"/>
      <c r="AX82" s="213"/>
      <c r="AY82" s="213"/>
      <c r="AZ82" s="213"/>
      <c r="BA82" s="213"/>
      <c r="BB82" s="213"/>
      <c r="BC82" s="213"/>
      <c r="BD82" s="213"/>
      <c r="BE82" s="213"/>
      <c r="BF82" s="213"/>
      <c r="BG82" s="213"/>
      <c r="BH82" s="213"/>
      <c r="BI82" s="213"/>
      <c r="BJ82" s="213"/>
      <c r="BK82" s="213"/>
      <c r="BL82" s="213"/>
      <c r="BM82" s="213"/>
      <c r="BN82" s="213"/>
      <c r="BO82" s="213"/>
      <c r="BP82" s="213"/>
    </row>
    <row r="83" customFormat="false" ht="15" hidden="false" customHeight="false" outlineLevel="0" collapsed="false">
      <c r="A83" s="255"/>
      <c r="S83" s="213"/>
      <c r="T83" s="213"/>
      <c r="U83" s="275"/>
      <c r="V83" s="213"/>
      <c r="W83" s="213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213"/>
      <c r="AN83" s="213"/>
      <c r="AO83" s="213"/>
      <c r="AP83" s="213"/>
      <c r="AQ83" s="213"/>
      <c r="AR83" s="213"/>
      <c r="AS83" s="276"/>
      <c r="AT83" s="213"/>
      <c r="AU83" s="213"/>
      <c r="AV83" s="213"/>
      <c r="AW83" s="213"/>
      <c r="AX83" s="213"/>
      <c r="AY83" s="213"/>
      <c r="AZ83" s="213"/>
      <c r="BA83" s="213"/>
      <c r="BB83" s="213"/>
      <c r="BC83" s="213"/>
      <c r="BD83" s="213"/>
      <c r="BE83" s="213"/>
      <c r="BF83" s="213"/>
      <c r="BG83" s="213"/>
      <c r="BH83" s="213"/>
      <c r="BI83" s="213"/>
      <c r="BJ83" s="213"/>
      <c r="BK83" s="213"/>
      <c r="BL83" s="213"/>
      <c r="BM83" s="213"/>
      <c r="BN83" s="213"/>
      <c r="BO83" s="213"/>
      <c r="BP83" s="213"/>
    </row>
    <row r="84" customFormat="false" ht="15" hidden="false" customHeight="false" outlineLevel="0" collapsed="false">
      <c r="S84" s="213"/>
      <c r="T84" s="213"/>
      <c r="U84" s="275"/>
      <c r="V84" s="213"/>
      <c r="W84" s="213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213"/>
      <c r="AN84" s="213"/>
      <c r="AO84" s="213"/>
      <c r="AP84" s="213"/>
      <c r="AQ84" s="213"/>
      <c r="AR84" s="213"/>
      <c r="AS84" s="276"/>
      <c r="AT84" s="213"/>
      <c r="AU84" s="213"/>
      <c r="AV84" s="213"/>
      <c r="AW84" s="213"/>
      <c r="AX84" s="213"/>
      <c r="AY84" s="213"/>
      <c r="AZ84" s="213"/>
      <c r="BA84" s="213"/>
      <c r="BB84" s="213"/>
      <c r="BC84" s="213"/>
      <c r="BD84" s="213"/>
      <c r="BE84" s="213"/>
      <c r="BF84" s="213"/>
      <c r="BG84" s="213"/>
      <c r="BH84" s="213"/>
      <c r="BI84" s="213"/>
      <c r="BJ84" s="213"/>
      <c r="BK84" s="213"/>
      <c r="BL84" s="213"/>
      <c r="BM84" s="213"/>
      <c r="BN84" s="213"/>
      <c r="BO84" s="213"/>
      <c r="BP84" s="213"/>
    </row>
    <row r="85" customFormat="false" ht="15" hidden="false" customHeight="false" outlineLevel="0" collapsed="false">
      <c r="H85" s="30"/>
      <c r="S85" s="213"/>
      <c r="T85" s="213"/>
      <c r="U85" s="275"/>
      <c r="V85" s="213"/>
      <c r="W85" s="213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213"/>
      <c r="AN85" s="213"/>
      <c r="AO85" s="213"/>
      <c r="AP85" s="213"/>
      <c r="AQ85" s="213"/>
      <c r="AR85" s="213"/>
      <c r="AS85" s="276"/>
      <c r="AT85" s="213"/>
      <c r="AU85" s="213"/>
      <c r="AV85" s="213"/>
      <c r="AW85" s="213"/>
      <c r="AX85" s="213"/>
      <c r="AY85" s="213"/>
      <c r="AZ85" s="213"/>
      <c r="BA85" s="213"/>
      <c r="BB85" s="213"/>
      <c r="BC85" s="213"/>
      <c r="BD85" s="213"/>
      <c r="BE85" s="213"/>
      <c r="BF85" s="213"/>
      <c r="BG85" s="213"/>
      <c r="BH85" s="213"/>
      <c r="BI85" s="213"/>
      <c r="BJ85" s="213"/>
      <c r="BK85" s="213"/>
      <c r="BL85" s="213"/>
      <c r="BM85" s="213"/>
      <c r="BN85" s="213"/>
      <c r="BO85" s="213"/>
      <c r="BP85" s="213"/>
    </row>
    <row r="86" customFormat="false" ht="15" hidden="false" customHeight="false" outlineLevel="0" collapsed="false">
      <c r="H86" s="30"/>
      <c r="S86" s="213"/>
      <c r="T86" s="213"/>
      <c r="U86" s="275"/>
      <c r="V86" s="213"/>
      <c r="W86" s="213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213"/>
      <c r="AN86" s="213"/>
      <c r="AO86" s="213"/>
      <c r="AP86" s="213"/>
      <c r="AQ86" s="213"/>
      <c r="AR86" s="213"/>
      <c r="AS86" s="290"/>
      <c r="AT86" s="213"/>
      <c r="AU86" s="213"/>
      <c r="AV86" s="213"/>
      <c r="AW86" s="213"/>
      <c r="AX86" s="213"/>
      <c r="AY86" s="213"/>
      <c r="AZ86" s="213"/>
      <c r="BA86" s="213"/>
      <c r="BB86" s="213"/>
      <c r="BC86" s="213"/>
      <c r="BD86" s="213"/>
      <c r="BE86" s="213"/>
      <c r="BF86" s="213"/>
      <c r="BG86" s="213"/>
      <c r="BH86" s="213"/>
      <c r="BI86" s="213"/>
      <c r="BJ86" s="213"/>
      <c r="BK86" s="213"/>
      <c r="BL86" s="213"/>
      <c r="BM86" s="213"/>
      <c r="BN86" s="213"/>
      <c r="BO86" s="213"/>
      <c r="BP86" s="213"/>
    </row>
    <row r="87" customFormat="false" ht="15" hidden="false" customHeight="true" outlineLevel="0" collapsed="false">
      <c r="S87" s="213"/>
      <c r="T87" s="213"/>
      <c r="U87" s="213"/>
      <c r="V87" s="213"/>
      <c r="W87" s="213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76"/>
      <c r="AT87" s="213"/>
      <c r="AU87" s="213"/>
      <c r="AV87" s="213"/>
      <c r="AW87" s="213"/>
      <c r="AX87" s="213"/>
      <c r="AY87" s="213"/>
      <c r="AZ87" s="213"/>
      <c r="BA87" s="213"/>
      <c r="BB87" s="213"/>
      <c r="BC87" s="213"/>
      <c r="BD87" s="213"/>
      <c r="BE87" s="213"/>
      <c r="BF87" s="213"/>
      <c r="BG87" s="213"/>
      <c r="BH87" s="213"/>
      <c r="BI87" s="213"/>
      <c r="BJ87" s="213"/>
      <c r="BK87" s="213"/>
      <c r="BL87" s="213"/>
      <c r="BM87" s="213"/>
      <c r="BN87" s="213"/>
      <c r="BO87" s="213"/>
      <c r="BP87" s="213"/>
    </row>
    <row r="88" customFormat="false" ht="15" hidden="false" customHeight="false" outlineLevel="0" collapsed="false">
      <c r="H88" s="30"/>
      <c r="S88" s="213"/>
      <c r="T88" s="213"/>
      <c r="U88" s="213"/>
      <c r="V88" s="213"/>
      <c r="W88" s="213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213"/>
      <c r="AN88" s="213"/>
      <c r="AO88" s="213"/>
      <c r="AP88" s="213"/>
      <c r="AQ88" s="213"/>
      <c r="AR88" s="213"/>
      <c r="AS88" s="276"/>
      <c r="AT88" s="213"/>
      <c r="AU88" s="213"/>
      <c r="AV88" s="213"/>
      <c r="AW88" s="213"/>
      <c r="AX88" s="213"/>
      <c r="AY88" s="213"/>
      <c r="AZ88" s="213"/>
      <c r="BA88" s="213"/>
      <c r="BB88" s="213"/>
      <c r="BC88" s="213"/>
      <c r="BD88" s="213"/>
      <c r="BE88" s="213"/>
      <c r="BF88" s="213"/>
      <c r="BG88" s="213"/>
      <c r="BH88" s="213"/>
      <c r="BI88" s="213"/>
      <c r="BJ88" s="213"/>
      <c r="BK88" s="213"/>
      <c r="BL88" s="213"/>
      <c r="BM88" s="213"/>
      <c r="BN88" s="213"/>
      <c r="BO88" s="213"/>
      <c r="BP88" s="213"/>
    </row>
    <row r="89" customFormat="false" ht="15" hidden="false" customHeight="false" outlineLevel="0" collapsed="false">
      <c r="S89" s="213"/>
      <c r="T89" s="213"/>
      <c r="U89" s="213"/>
      <c r="V89" s="213"/>
      <c r="W89" s="213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213"/>
      <c r="AN89" s="213"/>
      <c r="AO89" s="213"/>
      <c r="AP89" s="213"/>
      <c r="AQ89" s="213"/>
      <c r="AR89" s="213"/>
      <c r="AS89" s="213"/>
      <c r="AT89" s="213"/>
      <c r="AU89" s="213"/>
      <c r="AV89" s="213"/>
      <c r="AW89" s="213"/>
      <c r="AX89" s="213"/>
      <c r="AY89" s="213"/>
      <c r="AZ89" s="213"/>
      <c r="BA89" s="213"/>
      <c r="BB89" s="213"/>
      <c r="BC89" s="213"/>
      <c r="BD89" s="213"/>
      <c r="BE89" s="213"/>
      <c r="BF89" s="213"/>
      <c r="BG89" s="213"/>
      <c r="BH89" s="213"/>
      <c r="BI89" s="213"/>
      <c r="BJ89" s="213"/>
      <c r="BK89" s="213"/>
      <c r="BL89" s="213"/>
      <c r="BM89" s="213"/>
      <c r="BN89" s="213"/>
      <c r="BO89" s="213"/>
      <c r="BP89" s="213"/>
    </row>
    <row r="90" customFormat="false" ht="15" hidden="false" customHeight="false" outlineLevel="0" collapsed="false">
      <c r="H90" s="30"/>
    </row>
    <row r="91" customFormat="false" ht="15" hidden="false" customHeight="false" outlineLevel="0" collapsed="false">
      <c r="H91" s="30"/>
    </row>
    <row r="92" customFormat="false" ht="15" hidden="false" customHeight="false" outlineLevel="0" collapsed="false">
      <c r="H92" s="154"/>
    </row>
    <row r="93" customFormat="false" ht="15" hidden="false" customHeight="false" outlineLevel="0" collapsed="false">
      <c r="H93" s="154"/>
    </row>
    <row r="94" customFormat="false" ht="15" hidden="false" customHeight="false" outlineLevel="0" collapsed="false">
      <c r="H94" s="154"/>
    </row>
    <row r="95" customFormat="false" ht="15" hidden="false" customHeight="false" outlineLevel="0" collapsed="false">
      <c r="H95" s="154"/>
    </row>
    <row r="96" customFormat="false" ht="15" hidden="false" customHeight="false" outlineLevel="0" collapsed="false">
      <c r="H96" s="154"/>
    </row>
    <row r="97" customFormat="false" ht="15" hidden="false" customHeight="false" outlineLevel="0" collapsed="false">
      <c r="H97" s="154"/>
    </row>
    <row r="98" customFormat="false" ht="15" hidden="false" customHeight="false" outlineLevel="0" collapsed="false">
      <c r="H98" s="154"/>
    </row>
    <row r="99" customFormat="false" ht="15" hidden="false" customHeight="false" outlineLevel="0" collapsed="false">
      <c r="A99" s="255"/>
    </row>
    <row r="100" customFormat="false" ht="15" hidden="false" customHeight="false" outlineLevel="0" collapsed="false">
      <c r="H100" s="30"/>
    </row>
    <row r="101" customFormat="false" ht="15" hidden="false" customHeight="false" outlineLevel="0" collapsed="false">
      <c r="G101" s="76"/>
      <c r="H101" s="30"/>
    </row>
    <row r="102" customFormat="false" ht="15" hidden="false" customHeight="false" outlineLevel="0" collapsed="false">
      <c r="G102" s="76"/>
      <c r="H102" s="30"/>
    </row>
    <row r="103" customFormat="false" ht="15" hidden="false" customHeight="false" outlineLevel="0" collapsed="false">
      <c r="A103" s="255"/>
    </row>
    <row r="104" customFormat="false" ht="15" hidden="false" customHeight="false" outlineLevel="0" collapsed="false">
      <c r="H104" s="30"/>
    </row>
    <row r="105" customFormat="false" ht="15" hidden="false" customHeight="false" outlineLevel="0" collapsed="false">
      <c r="G105" s="76"/>
      <c r="H105" s="30"/>
    </row>
    <row r="106" customFormat="false" ht="15" hidden="false" customHeight="false" outlineLevel="0" collapsed="false">
      <c r="A106" s="255"/>
    </row>
    <row r="107" customFormat="false" ht="15" hidden="false" customHeight="false" outlineLevel="0" collapsed="false">
      <c r="H107" s="30"/>
    </row>
    <row r="108" customFormat="false" ht="15" hidden="false" customHeight="false" outlineLevel="0" collapsed="false">
      <c r="G108" s="76"/>
      <c r="H108" s="30"/>
    </row>
    <row r="109" customFormat="false" ht="15" hidden="false" customHeight="false" outlineLevel="0" collapsed="false">
      <c r="G109" s="76"/>
      <c r="H109" s="30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AAEC54-2942-405C-B270-B5006380C773}"/>
</file>

<file path=customXml/itemProps2.xml><?xml version="1.0" encoding="utf-8"?>
<ds:datastoreItem xmlns:ds="http://schemas.openxmlformats.org/officeDocument/2006/customXml" ds:itemID="{464975C8-887B-45AA-BB3C-CAB56B033324}"/>
</file>

<file path=customXml/itemProps3.xml><?xml version="1.0" encoding="utf-8"?>
<ds:datastoreItem xmlns:ds="http://schemas.openxmlformats.org/officeDocument/2006/customXml" ds:itemID="{964118B6-C948-4738-B8B9-B0809397E6D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2026-02-19T02:52:41Z</dcterms:created>
  <dc:creator/>
  <dc:description/>
  <dc:language>es-PE</dc:language>
  <cp:lastModifiedBy/>
  <dcterms:modified xsi:type="dcterms:W3CDTF">2026-06-24T13:09:11Z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